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xml" ContentType="application/vnd.openxmlformats-officedocument.drawing+xml"/>
  <Override PartName="/xl/comments2.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drawings/drawing3.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style1.xml" ContentType="application/vnd.ms-office.chartstyle+xml"/>
  <Override PartName="/xl/charts/colors1.xml" ContentType="application/vnd.ms-office.chartcolorstyle+xml"/>
  <Override PartName="/xl/charts/chart17.xml" ContentType="application/vnd.openxmlformats-officedocument.drawingml.chart+xml"/>
  <Override PartName="/xl/charts/style2.xml" ContentType="application/vnd.ms-office.chartstyle+xml"/>
  <Override PartName="/xl/charts/colors2.xml" ContentType="application/vnd.ms-office.chartcolorstyle+xml"/>
  <Override PartName="/xl/charts/chart18.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19.xml" ContentType="application/vnd.openxmlformats-officedocument.drawingml.chart+xml"/>
  <Override PartName="/xl/charts/chart20.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21.xml" ContentType="application/vnd.openxmlformats-officedocument.drawingml.chart+xml"/>
  <Override PartName="/xl/charts/chart22.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drawings/drawing8.xml" ContentType="application/vnd.openxmlformats-officedocument.drawing+xml"/>
  <Override PartName="/xl/comments5.xml" ContentType="application/vnd.openxmlformats-officedocument.spreadsheetml.comments+xml"/>
  <Override PartName="/xl/pivotTables/pivotTable1.xml" ContentType="application/vnd.openxmlformats-officedocument.spreadsheetml.pivotTable+xml"/>
  <Override PartName="/xl/drawings/drawing9.xml" ContentType="application/vnd.openxmlformats-officedocument.drawing+xml"/>
  <Override PartName="/xl/charts/chart23.xml" ContentType="application/vnd.openxmlformats-officedocument.drawingml.chart+xml"/>
  <Override PartName="/xl/drawings/drawing10.xml" ContentType="application/vnd.openxmlformats-officedocument.drawing+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97" codeName="{3D1A710C-6663-3D7B-7F91-EC182F24A4BC}"/>
  <workbookPr codeName="ThisWorkbook"/>
  <mc:AlternateContent xmlns:mc="http://schemas.openxmlformats.org/markup-compatibility/2006">
    <mc:Choice Requires="x15">
      <x15ac:absPath xmlns:x15ac="http://schemas.microsoft.com/office/spreadsheetml/2010/11/ac" url="C:\Users\uib\Documents\Chandra\Sheffield projects (excl CDREG)\c3-c4 evolu\N model\"/>
    </mc:Choice>
  </mc:AlternateContent>
  <xr:revisionPtr revIDLastSave="0" documentId="13_ncr:1_{27015DA0-933A-4C5D-8AF9-80C44F734363}" xr6:coauthVersionLast="36" xr6:coauthVersionMax="36" xr10:uidLastSave="{00000000-0000-0000-0000-000000000000}"/>
  <bookViews>
    <workbookView xWindow="0" yWindow="0" windowWidth="21300" windowHeight="8568" tabRatio="676" firstSheet="1" activeTab="9" xr2:uid="{00000000-000D-0000-FFFF-FFFF00000000}"/>
  </bookViews>
  <sheets>
    <sheet name="Sheet1" sheetId="6" r:id="rId1"/>
    <sheet name="enzyme limited" sheetId="3" r:id="rId2"/>
    <sheet name="Electron transport" sheetId="7" r:id="rId3"/>
    <sheet name="light limited" sheetId="4" r:id="rId4"/>
    <sheet name="Model" sheetId="1" r:id="rId5"/>
    <sheet name="Render" sheetId="2" r:id="rId6"/>
    <sheet name="fitting" sheetId="5" r:id="rId7"/>
    <sheet name="Nmodel" sheetId="10" r:id="rId8"/>
    <sheet name="pivot chart" sheetId="13" r:id="rId9"/>
    <sheet name="sheet2" sheetId="8" r:id="rId10"/>
  </sheets>
  <functionGroups builtInGroupCount="19"/>
  <definedNames>
    <definedName name="_alpha">Nmodel!$D$43</definedName>
    <definedName name="_CL">Nmodel!$D$20</definedName>
    <definedName name="_CR">Nmodel!$D$26</definedName>
    <definedName name="_fNR_CR">Nmodel!$D$21</definedName>
    <definedName name="_GammaR">Nmodel!$D$39</definedName>
    <definedName name="_KR">Nmodel!$D$18</definedName>
    <definedName name="_m">Nmodel!$D$35</definedName>
    <definedName name="_Nl">Nmodel!$D$16</definedName>
    <definedName name="_NMAX">Nmodel!$D$19</definedName>
    <definedName name="_q">Nmodel!$D$42</definedName>
    <definedName name="_RR">Nmodel!$D$24</definedName>
    <definedName name="_TL">Nmodel!$D$22</definedName>
    <definedName name="_TR">Nmodel!$D$23</definedName>
    <definedName name="alpha">Sheet1!$B$30</definedName>
    <definedName name="assimilation">Model!$F$6</definedName>
    <definedName name="atp_demand_enzyme">'enzyme limited'!$F$16</definedName>
    <definedName name="chi_rubisco">fitting!$B$5</definedName>
    <definedName name="cm">fitting!$B$22</definedName>
    <definedName name="csiGDC">Sheet1!$B$31</definedName>
    <definedName name="fC">'enzyme limited'!$F$20</definedName>
    <definedName name="fCS">Sheet1!$B$38</definedName>
    <definedName name="fcyc">fitting!$B$7</definedName>
    <definedName name="fPPDK">Sheet1!$B$39</definedName>
    <definedName name="fPR">Sheet1!$B$37</definedName>
    <definedName name="frlight">Sheet1!$B$34</definedName>
    <definedName name="gBs_t">Sheet1!$D$11</definedName>
    <definedName name="gM_t">Sheet1!$D$14</definedName>
    <definedName name="growth_rate">Nmodel!$D$41</definedName>
    <definedName name="Jatp">'Electron transport'!$E$24</definedName>
    <definedName name="jNADPH">'Electron transport'!$E$25</definedName>
    <definedName name="jsat">Sheet1!$B$21</definedName>
    <definedName name="Jsat_t">Sheet1!$D$21</definedName>
    <definedName name="Kc_t">Sheet1!$D$17</definedName>
    <definedName name="KO_t">Sheet1!$D$18</definedName>
    <definedName name="Kp_t">Sheet1!$D$9</definedName>
    <definedName name="N_level">fitting!$B$17</definedName>
    <definedName name="NADPH_demand_enzyme">'enzyme limited'!$F$15</definedName>
    <definedName name="Nadph_demand_light">'light limited'!$F$15</definedName>
    <definedName name="OM">Sheet1!$B$29</definedName>
    <definedName name="par">'Electron transport'!$B$6</definedName>
    <definedName name="_xlnm.Print_Area" localSheetId="3">'light limited'!$A$1:$P$30</definedName>
    <definedName name="_xlnm.Print_Area" localSheetId="4">Model!$A$1:$P$30</definedName>
    <definedName name="R_light">Nmodel!$F$4</definedName>
    <definedName name="Rlight_t">Sheet1!$D$4</definedName>
    <definedName name="rPEPCK">Sheet1!$B$33</definedName>
    <definedName name="SCO_t">Sheet1!$D$19</definedName>
    <definedName name="solver_adj" localSheetId="6" hidden="1">fitting!$B$22</definedName>
    <definedName name="solver_adj" localSheetId="3" hidden="1">'light limited'!$C$17,'light limited'!$C$23,'light limited'!$C$24</definedName>
    <definedName name="solver_adj" localSheetId="4" hidden="1">Model!$B$5</definedName>
    <definedName name="solver_adj" localSheetId="9" hidden="1">sheet2!$B$5,sheet2!$B$8,sheet2!$B$9,sheet2!$B$23</definedName>
    <definedName name="solver_cvg" localSheetId="6" hidden="1">0.0000001</definedName>
    <definedName name="solver_cvg" localSheetId="3" hidden="1">0.0001</definedName>
    <definedName name="solver_cvg" localSheetId="4" hidden="1">0.0001</definedName>
    <definedName name="solver_cvg" localSheetId="7" hidden="1">0.00000000000001</definedName>
    <definedName name="solver_cvg" localSheetId="9" hidden="1">0.00001</definedName>
    <definedName name="solver_drv" localSheetId="6" hidden="1">1</definedName>
    <definedName name="solver_drv" localSheetId="3" hidden="1">2</definedName>
    <definedName name="solver_drv" localSheetId="4" hidden="1">2</definedName>
    <definedName name="solver_drv" localSheetId="7" hidden="1">2</definedName>
    <definedName name="solver_drv" localSheetId="9" hidden="1">1</definedName>
    <definedName name="solver_eng" localSheetId="6" hidden="1">1</definedName>
    <definedName name="solver_eng" localSheetId="3" hidden="1">1</definedName>
    <definedName name="solver_eng" localSheetId="4" hidden="1">1</definedName>
    <definedName name="solver_eng" localSheetId="7" hidden="1">1</definedName>
    <definedName name="solver_eng" localSheetId="9" hidden="1">1</definedName>
    <definedName name="solver_est" localSheetId="6" hidden="1">1</definedName>
    <definedName name="solver_est" localSheetId="3" hidden="1">1</definedName>
    <definedName name="solver_est" localSheetId="4" hidden="1">1</definedName>
    <definedName name="solver_est" localSheetId="7" hidden="1">1</definedName>
    <definedName name="solver_est" localSheetId="9" hidden="1">1</definedName>
    <definedName name="solver_itr" localSheetId="6" hidden="1">2147483647</definedName>
    <definedName name="solver_itr" localSheetId="3" hidden="1">2147483647</definedName>
    <definedName name="solver_itr" localSheetId="4" hidden="1">2147483647</definedName>
    <definedName name="solver_itr" localSheetId="7" hidden="1">2147483647</definedName>
    <definedName name="solver_itr" localSheetId="9" hidden="1">10000000</definedName>
    <definedName name="solver_lhs1" localSheetId="6" hidden="1">fitting!$B$5</definedName>
    <definedName name="solver_lhs1" localSheetId="3" hidden="1">'light limited'!$C$24</definedName>
    <definedName name="solver_lhs1" localSheetId="4" hidden="1">Model!$B$5</definedName>
    <definedName name="solver_lhs1" localSheetId="9" hidden="1">sheet2!$B$9</definedName>
    <definedName name="solver_lhs10" localSheetId="6" hidden="1">fitting!$B$9</definedName>
    <definedName name="solver_lhs10" localSheetId="3" hidden="1">'light limited'!$F$9</definedName>
    <definedName name="solver_lhs10" localSheetId="4" hidden="1">Model!$F$9</definedName>
    <definedName name="solver_lhs10" localSheetId="9" hidden="1">sheet2!$B$7</definedName>
    <definedName name="solver_lhs100" localSheetId="3" hidden="1">'light limited'!$C$24</definedName>
    <definedName name="solver_lhs100" localSheetId="4" hidden="1">Model!$C$24</definedName>
    <definedName name="solver_lhs101" localSheetId="3" hidden="1">'light limited'!$C$24</definedName>
    <definedName name="solver_lhs101" localSheetId="4" hidden="1">Model!$C$24</definedName>
    <definedName name="solver_lhs102" localSheetId="3" hidden="1">'light limited'!$C$24</definedName>
    <definedName name="solver_lhs102" localSheetId="4" hidden="1">Model!$C$24</definedName>
    <definedName name="solver_lhs103" localSheetId="3" hidden="1">'light limited'!$C$24</definedName>
    <definedName name="solver_lhs103" localSheetId="4" hidden="1">Model!$C$24</definedName>
    <definedName name="solver_lhs104" localSheetId="3" hidden="1">'light limited'!$C$24</definedName>
    <definedName name="solver_lhs104" localSheetId="4" hidden="1">Model!$C$24</definedName>
    <definedName name="solver_lhs105" localSheetId="3" hidden="1">'light limited'!$C$24</definedName>
    <definedName name="solver_lhs105" localSheetId="4" hidden="1">Model!$C$24</definedName>
    <definedName name="solver_lhs106" localSheetId="3" hidden="1">'light limited'!$C$24</definedName>
    <definedName name="solver_lhs106" localSheetId="4" hidden="1">Model!$C$24</definedName>
    <definedName name="solver_lhs107" localSheetId="3" hidden="1">'light limited'!$C$24</definedName>
    <definedName name="solver_lhs107" localSheetId="4" hidden="1">Model!$C$24</definedName>
    <definedName name="solver_lhs108" localSheetId="3" hidden="1">'light limited'!$C$24</definedName>
    <definedName name="solver_lhs108" localSheetId="4" hidden="1">Model!$C$24</definedName>
    <definedName name="solver_lhs109" localSheetId="3" hidden="1">'light limited'!$C$24</definedName>
    <definedName name="solver_lhs109" localSheetId="4" hidden="1">Model!$C$24</definedName>
    <definedName name="solver_lhs11" localSheetId="6" hidden="1">fitting!$B$28</definedName>
    <definedName name="solver_lhs11" localSheetId="3" hidden="1">'light limited'!$C$10</definedName>
    <definedName name="solver_lhs11" localSheetId="4" hidden="1">Model!$C$10</definedName>
    <definedName name="solver_lhs110" localSheetId="3" hidden="1">'light limited'!$C$24</definedName>
    <definedName name="solver_lhs110" localSheetId="4" hidden="1">Model!$C$24</definedName>
    <definedName name="solver_lhs111" localSheetId="3" hidden="1">'light limited'!$C$24</definedName>
    <definedName name="solver_lhs111" localSheetId="4" hidden="1">Model!$C$24</definedName>
    <definedName name="solver_lhs112" localSheetId="3" hidden="1">'light limited'!$C$24</definedName>
    <definedName name="solver_lhs112" localSheetId="4" hidden="1">Model!$C$24</definedName>
    <definedName name="solver_lhs113" localSheetId="3" hidden="1">'light limited'!$C$24</definedName>
    <definedName name="solver_lhs113" localSheetId="4" hidden="1">Model!$C$24</definedName>
    <definedName name="solver_lhs114" localSheetId="3" hidden="1">'light limited'!$C$24</definedName>
    <definedName name="solver_lhs114" localSheetId="4" hidden="1">Model!$C$24</definedName>
    <definedName name="solver_lhs115" localSheetId="3" hidden="1">'light limited'!$C$24</definedName>
    <definedName name="solver_lhs115" localSheetId="4" hidden="1">Model!$C$24</definedName>
    <definedName name="solver_lhs116" localSheetId="3" hidden="1">'light limited'!$C$24</definedName>
    <definedName name="solver_lhs116" localSheetId="4" hidden="1">Model!$C$24</definedName>
    <definedName name="solver_lhs117" localSheetId="3" hidden="1">'light limited'!$C$24</definedName>
    <definedName name="solver_lhs117" localSheetId="4" hidden="1">Model!$C$24</definedName>
    <definedName name="solver_lhs118" localSheetId="3" hidden="1">'light limited'!$C$24</definedName>
    <definedName name="solver_lhs118" localSheetId="4" hidden="1">Model!$C$24</definedName>
    <definedName name="solver_lhs119" localSheetId="3" hidden="1">'light limited'!$C$24</definedName>
    <definedName name="solver_lhs119" localSheetId="4" hidden="1">Model!$C$24</definedName>
    <definedName name="solver_lhs12" localSheetId="6" hidden="1">fitting!$B$9</definedName>
    <definedName name="solver_lhs12" localSheetId="3" hidden="1">'light limited'!$C$10</definedName>
    <definedName name="solver_lhs12" localSheetId="4" hidden="1">Model!$C$10</definedName>
    <definedName name="solver_lhs120" localSheetId="3" hidden="1">'light limited'!$C$24</definedName>
    <definedName name="solver_lhs120" localSheetId="4" hidden="1">Model!$C$24</definedName>
    <definedName name="solver_lhs121" localSheetId="3" hidden="1">'light limited'!$C$24</definedName>
    <definedName name="solver_lhs121" localSheetId="4" hidden="1">Model!$C$24</definedName>
    <definedName name="solver_lhs122" localSheetId="3" hidden="1">'light limited'!$C$24</definedName>
    <definedName name="solver_lhs122" localSheetId="4" hidden="1">Model!$C$24</definedName>
    <definedName name="solver_lhs123" localSheetId="3" hidden="1">'light limited'!$C$24</definedName>
    <definedName name="solver_lhs123" localSheetId="4" hidden="1">Model!$C$24</definedName>
    <definedName name="solver_lhs124" localSheetId="3" hidden="1">'light limited'!$C$24</definedName>
    <definedName name="solver_lhs124" localSheetId="4" hidden="1">Model!$C$24</definedName>
    <definedName name="solver_lhs125" localSheetId="3" hidden="1">'light limited'!$C$24</definedName>
    <definedName name="solver_lhs125" localSheetId="4" hidden="1">Model!$C$24</definedName>
    <definedName name="solver_lhs126" localSheetId="3" hidden="1">'light limited'!$C$24</definedName>
    <definedName name="solver_lhs126" localSheetId="4" hidden="1">Model!$C$24</definedName>
    <definedName name="solver_lhs127" localSheetId="3" hidden="1">'light limited'!$C$24</definedName>
    <definedName name="solver_lhs127" localSheetId="4" hidden="1">Model!$C$24</definedName>
    <definedName name="solver_lhs128" localSheetId="3" hidden="1">'light limited'!$C$24</definedName>
    <definedName name="solver_lhs128" localSheetId="4" hidden="1">Model!$C$24</definedName>
    <definedName name="solver_lhs129" localSheetId="3" hidden="1">'light limited'!$C$24</definedName>
    <definedName name="solver_lhs129" localSheetId="4" hidden="1">Model!$C$24</definedName>
    <definedName name="solver_lhs13" localSheetId="6" hidden="1">fitting!$B$5</definedName>
    <definedName name="solver_lhs13" localSheetId="3" hidden="1">'light limited'!$C$10</definedName>
    <definedName name="solver_lhs13" localSheetId="4" hidden="1">Model!$C$10</definedName>
    <definedName name="solver_lhs130" localSheetId="3" hidden="1">'light limited'!$C$24</definedName>
    <definedName name="solver_lhs130" localSheetId="4" hidden="1">Model!$C$24</definedName>
    <definedName name="solver_lhs131" localSheetId="3" hidden="1">'light limited'!$C$24</definedName>
    <definedName name="solver_lhs131" localSheetId="4" hidden="1">Model!$C$24</definedName>
    <definedName name="solver_lhs132" localSheetId="3" hidden="1">'light limited'!$C$24</definedName>
    <definedName name="solver_lhs132" localSheetId="4" hidden="1">Model!$C$24</definedName>
    <definedName name="solver_lhs133" localSheetId="3" hidden="1">'light limited'!$C$24</definedName>
    <definedName name="solver_lhs133" localSheetId="4" hidden="1">Model!$C$24</definedName>
    <definedName name="solver_lhs134" localSheetId="3" hidden="1">'light limited'!$C$24</definedName>
    <definedName name="solver_lhs134" localSheetId="4" hidden="1">Model!$C$24</definedName>
    <definedName name="solver_lhs135" localSheetId="3" hidden="1">'light limited'!$C$24</definedName>
    <definedName name="solver_lhs135" localSheetId="4" hidden="1">Model!$C$24</definedName>
    <definedName name="solver_lhs136" localSheetId="3" hidden="1">'light limited'!$C$24</definedName>
    <definedName name="solver_lhs136" localSheetId="4" hidden="1">Model!$C$24</definedName>
    <definedName name="solver_lhs137" localSheetId="3" hidden="1">'light limited'!$C$24</definedName>
    <definedName name="solver_lhs137" localSheetId="4" hidden="1">Model!$C$24</definedName>
    <definedName name="solver_lhs138" localSheetId="3" hidden="1">'light limited'!$C$24</definedName>
    <definedName name="solver_lhs138" localSheetId="4" hidden="1">Model!$C$24</definedName>
    <definedName name="solver_lhs139" localSheetId="3" hidden="1">'light limited'!$C$24</definedName>
    <definedName name="solver_lhs139" localSheetId="4" hidden="1">Model!$C$24</definedName>
    <definedName name="solver_lhs14" localSheetId="6" hidden="1">fitting!$B$5</definedName>
    <definedName name="solver_lhs14" localSheetId="3" hidden="1">'light limited'!$C$10</definedName>
    <definedName name="solver_lhs14" localSheetId="4" hidden="1">Model!$C$10</definedName>
    <definedName name="solver_lhs140" localSheetId="3" hidden="1">'light limited'!$C$24</definedName>
    <definedName name="solver_lhs140" localSheetId="4" hidden="1">Model!$C$24</definedName>
    <definedName name="solver_lhs141" localSheetId="3" hidden="1">'light limited'!$C$24</definedName>
    <definedName name="solver_lhs141" localSheetId="4" hidden="1">Model!$C$24</definedName>
    <definedName name="solver_lhs142" localSheetId="3" hidden="1">'light limited'!$C$24</definedName>
    <definedName name="solver_lhs142" localSheetId="4" hidden="1">Model!$C$24</definedName>
    <definedName name="solver_lhs143" localSheetId="3" hidden="1">'light limited'!$C$24</definedName>
    <definedName name="solver_lhs143" localSheetId="4" hidden="1">Model!$C$24</definedName>
    <definedName name="solver_lhs144" localSheetId="3" hidden="1">'light limited'!$C$24</definedName>
    <definedName name="solver_lhs144" localSheetId="4" hidden="1">Model!$C$24</definedName>
    <definedName name="solver_lhs145" localSheetId="3" hidden="1">'light limited'!$C$24</definedName>
    <definedName name="solver_lhs145" localSheetId="4" hidden="1">Model!$C$24</definedName>
    <definedName name="solver_lhs146" localSheetId="3" hidden="1">'light limited'!$C$24</definedName>
    <definedName name="solver_lhs146" localSheetId="4" hidden="1">Model!$C$24</definedName>
    <definedName name="solver_lhs147" localSheetId="3" hidden="1">'light limited'!$C$24</definedName>
    <definedName name="solver_lhs147" localSheetId="4" hidden="1">Model!$C$24</definedName>
    <definedName name="solver_lhs148" localSheetId="3" hidden="1">'light limited'!$C$24</definedName>
    <definedName name="solver_lhs148" localSheetId="4" hidden="1">Model!$C$24</definedName>
    <definedName name="solver_lhs149" localSheetId="3" hidden="1">'light limited'!$C$24</definedName>
    <definedName name="solver_lhs149" localSheetId="4" hidden="1">Model!$C$24</definedName>
    <definedName name="solver_lhs15" localSheetId="6" hidden="1">fitting!$B$5</definedName>
    <definedName name="solver_lhs15" localSheetId="3" hidden="1">'light limited'!$C$10</definedName>
    <definedName name="solver_lhs15" localSheetId="4" hidden="1">Model!$C$10</definedName>
    <definedName name="solver_lhs150" localSheetId="3" hidden="1">'light limited'!$C$24</definedName>
    <definedName name="solver_lhs150" localSheetId="4" hidden="1">Model!$C$24</definedName>
    <definedName name="solver_lhs151" localSheetId="3" hidden="1">'light limited'!$C$24</definedName>
    <definedName name="solver_lhs151" localSheetId="4" hidden="1">Model!$C$24</definedName>
    <definedName name="solver_lhs152" localSheetId="3" hidden="1">'light limited'!$C$24</definedName>
    <definedName name="solver_lhs152" localSheetId="4" hidden="1">Model!$C$24</definedName>
    <definedName name="solver_lhs153" localSheetId="3" hidden="1">'light limited'!$C$24</definedName>
    <definedName name="solver_lhs153" localSheetId="4" hidden="1">Model!$C$24</definedName>
    <definedName name="solver_lhs154" localSheetId="3" hidden="1">'light limited'!$C$24</definedName>
    <definedName name="solver_lhs154" localSheetId="4" hidden="1">Model!$C$24</definedName>
    <definedName name="solver_lhs155" localSheetId="3" hidden="1">'light limited'!$C$24</definedName>
    <definedName name="solver_lhs155" localSheetId="4" hidden="1">Model!$C$24</definedName>
    <definedName name="solver_lhs156" localSheetId="3" hidden="1">'light limited'!$C$24</definedName>
    <definedName name="solver_lhs156" localSheetId="4" hidden="1">Model!$C$24</definedName>
    <definedName name="solver_lhs157" localSheetId="3" hidden="1">'light limited'!$C$24</definedName>
    <definedName name="solver_lhs157" localSheetId="4" hidden="1">Model!$C$24</definedName>
    <definedName name="solver_lhs158" localSheetId="3" hidden="1">'light limited'!$C$24</definedName>
    <definedName name="solver_lhs158" localSheetId="4" hidden="1">Model!$C$24</definedName>
    <definedName name="solver_lhs159" localSheetId="3" hidden="1">'light limited'!$C$24</definedName>
    <definedName name="solver_lhs159" localSheetId="4" hidden="1">Model!$C$24</definedName>
    <definedName name="solver_lhs16" localSheetId="6" hidden="1">fitting!$B$5</definedName>
    <definedName name="solver_lhs16" localSheetId="3" hidden="1">'light limited'!$C$10</definedName>
    <definedName name="solver_lhs16" localSheetId="4" hidden="1">Model!$C$10</definedName>
    <definedName name="solver_lhs160" localSheetId="3" hidden="1">'light limited'!$C$24</definedName>
    <definedName name="solver_lhs160" localSheetId="4" hidden="1">Model!$C$24</definedName>
    <definedName name="solver_lhs161" localSheetId="3" hidden="1">'light limited'!$C$24</definedName>
    <definedName name="solver_lhs161" localSheetId="4" hidden="1">Model!$C$24</definedName>
    <definedName name="solver_lhs162" localSheetId="3" hidden="1">'light limited'!$C$24</definedName>
    <definedName name="solver_lhs162" localSheetId="4" hidden="1">Model!$C$24</definedName>
    <definedName name="solver_lhs163" localSheetId="3" hidden="1">'light limited'!$C$24</definedName>
    <definedName name="solver_lhs163" localSheetId="4" hidden="1">Model!$C$24</definedName>
    <definedName name="solver_lhs164" localSheetId="3" hidden="1">'light limited'!$C$24</definedName>
    <definedName name="solver_lhs164" localSheetId="4" hidden="1">Model!$C$24</definedName>
    <definedName name="solver_lhs165" localSheetId="3" hidden="1">'light limited'!$C$24</definedName>
    <definedName name="solver_lhs165" localSheetId="4" hidden="1">Model!$C$24</definedName>
    <definedName name="solver_lhs166" localSheetId="3" hidden="1">'light limited'!$C$24</definedName>
    <definedName name="solver_lhs166" localSheetId="4" hidden="1">Model!$C$24</definedName>
    <definedName name="solver_lhs167" localSheetId="3" hidden="1">'light limited'!$C$24</definedName>
    <definedName name="solver_lhs167" localSheetId="4" hidden="1">Model!$C$24</definedName>
    <definedName name="solver_lhs168" localSheetId="3" hidden="1">'light limited'!$C$24</definedName>
    <definedName name="solver_lhs168" localSheetId="4" hidden="1">Model!$C$24</definedName>
    <definedName name="solver_lhs169" localSheetId="3" hidden="1">'light limited'!$C$24</definedName>
    <definedName name="solver_lhs169" localSheetId="4" hidden="1">Model!$C$24</definedName>
    <definedName name="solver_lhs17" localSheetId="6" hidden="1">fitting!$B$5</definedName>
    <definedName name="solver_lhs17" localSheetId="3" hidden="1">'light limited'!$C$10</definedName>
    <definedName name="solver_lhs17" localSheetId="4" hidden="1">Model!$C$10</definedName>
    <definedName name="solver_lhs170" localSheetId="3" hidden="1">'light limited'!$C$24</definedName>
    <definedName name="solver_lhs170" localSheetId="4" hidden="1">Model!$C$24</definedName>
    <definedName name="solver_lhs171" localSheetId="3" hidden="1">'light limited'!$C$24</definedName>
    <definedName name="solver_lhs171" localSheetId="4" hidden="1">Model!$C$24</definedName>
    <definedName name="solver_lhs172" localSheetId="3" hidden="1">'light limited'!$C$24</definedName>
    <definedName name="solver_lhs172" localSheetId="4" hidden="1">Model!$C$24</definedName>
    <definedName name="solver_lhs173" localSheetId="3" hidden="1">'light limited'!$C$24</definedName>
    <definedName name="solver_lhs173" localSheetId="4" hidden="1">Model!$C$24</definedName>
    <definedName name="solver_lhs174" localSheetId="3" hidden="1">'light limited'!$C$24</definedName>
    <definedName name="solver_lhs174" localSheetId="4" hidden="1">Model!$C$24</definedName>
    <definedName name="solver_lhs175" localSheetId="3" hidden="1">'light limited'!$C$24</definedName>
    <definedName name="solver_lhs175" localSheetId="4" hidden="1">Model!$C$24</definedName>
    <definedName name="solver_lhs176" localSheetId="3" hidden="1">'light limited'!$C$24</definedName>
    <definedName name="solver_lhs176" localSheetId="4" hidden="1">Model!$C$24</definedName>
    <definedName name="solver_lhs177" localSheetId="3" hidden="1">'light limited'!$C$24</definedName>
    <definedName name="solver_lhs177" localSheetId="4" hidden="1">Model!$C$24</definedName>
    <definedName name="solver_lhs178" localSheetId="3" hidden="1">'light limited'!$C$24</definedName>
    <definedName name="solver_lhs178" localSheetId="4" hidden="1">Model!$C$24</definedName>
    <definedName name="solver_lhs179" localSheetId="3" hidden="1">'light limited'!$C$24</definedName>
    <definedName name="solver_lhs179" localSheetId="4" hidden="1">Model!$C$24</definedName>
    <definedName name="solver_lhs18" localSheetId="6" hidden="1">fitting!$B$5</definedName>
    <definedName name="solver_lhs18" localSheetId="3" hidden="1">'light limited'!$C$10</definedName>
    <definedName name="solver_lhs18" localSheetId="4" hidden="1">Model!$C$10</definedName>
    <definedName name="solver_lhs180" localSheetId="3" hidden="1">'light limited'!$C$24</definedName>
    <definedName name="solver_lhs180" localSheetId="4" hidden="1">Model!$C$24</definedName>
    <definedName name="solver_lhs181" localSheetId="3" hidden="1">'light limited'!$C$24</definedName>
    <definedName name="solver_lhs181" localSheetId="4" hidden="1">Model!$C$24</definedName>
    <definedName name="solver_lhs182" localSheetId="3" hidden="1">'light limited'!$C$24</definedName>
    <definedName name="solver_lhs182" localSheetId="4" hidden="1">Model!$C$24</definedName>
    <definedName name="solver_lhs183" localSheetId="3" hidden="1">'light limited'!$C$24</definedName>
    <definedName name="solver_lhs183" localSheetId="4" hidden="1">Model!$C$24</definedName>
    <definedName name="solver_lhs184" localSheetId="3" hidden="1">'light limited'!$C$24</definedName>
    <definedName name="solver_lhs184" localSheetId="4" hidden="1">Model!$C$24</definedName>
    <definedName name="solver_lhs185" localSheetId="3" hidden="1">'light limited'!$C$24</definedName>
    <definedName name="solver_lhs185" localSheetId="4" hidden="1">Model!$C$24</definedName>
    <definedName name="solver_lhs186" localSheetId="3" hidden="1">'light limited'!$C$24</definedName>
    <definedName name="solver_lhs186" localSheetId="4" hidden="1">Model!$C$24</definedName>
    <definedName name="solver_lhs187" localSheetId="3" hidden="1">'light limited'!$C$24</definedName>
    <definedName name="solver_lhs187" localSheetId="4" hidden="1">Model!$C$24</definedName>
    <definedName name="solver_lhs188" localSheetId="3" hidden="1">'light limited'!$C$24</definedName>
    <definedName name="solver_lhs188" localSheetId="4" hidden="1">Model!$C$24</definedName>
    <definedName name="solver_lhs189" localSheetId="3" hidden="1">'light limited'!$C$24</definedName>
    <definedName name="solver_lhs189" localSheetId="4" hidden="1">Model!$C$24</definedName>
    <definedName name="solver_lhs19" localSheetId="6" hidden="1">fitting!$B$5</definedName>
    <definedName name="solver_lhs19" localSheetId="3" hidden="1">'light limited'!$C$10</definedName>
    <definedName name="solver_lhs19" localSheetId="4" hidden="1">Model!$C$10</definedName>
    <definedName name="solver_lhs190" localSheetId="3" hidden="1">'light limited'!$C$24</definedName>
    <definedName name="solver_lhs190" localSheetId="4" hidden="1">Model!$C$24</definedName>
    <definedName name="solver_lhs191" localSheetId="3" hidden="1">'light limited'!$C$24</definedName>
    <definedName name="solver_lhs191" localSheetId="4" hidden="1">Model!$C$24</definedName>
    <definedName name="solver_lhs192" localSheetId="3" hidden="1">'light limited'!$C$24</definedName>
    <definedName name="solver_lhs192" localSheetId="4" hidden="1">Model!$C$24</definedName>
    <definedName name="solver_lhs193" localSheetId="3" hidden="1">'light limited'!$C$24</definedName>
    <definedName name="solver_lhs193" localSheetId="4" hidden="1">Model!$C$24</definedName>
    <definedName name="solver_lhs194" localSheetId="3" hidden="1">'light limited'!$C$24</definedName>
    <definedName name="solver_lhs194" localSheetId="4" hidden="1">Model!$C$24</definedName>
    <definedName name="solver_lhs195" localSheetId="3" hidden="1">'light limited'!$C$24</definedName>
    <definedName name="solver_lhs195" localSheetId="4" hidden="1">Model!$C$24</definedName>
    <definedName name="solver_lhs196" localSheetId="3" hidden="1">'light limited'!$C$24</definedName>
    <definedName name="solver_lhs196" localSheetId="4" hidden="1">Model!$C$24</definedName>
    <definedName name="solver_lhs197" localSheetId="3" hidden="1">'light limited'!$C$24</definedName>
    <definedName name="solver_lhs197" localSheetId="4" hidden="1">Model!$C$24</definedName>
    <definedName name="solver_lhs198" localSheetId="3" hidden="1">'light limited'!$C$24</definedName>
    <definedName name="solver_lhs198" localSheetId="4" hidden="1">Model!$C$24</definedName>
    <definedName name="solver_lhs199" localSheetId="3" hidden="1">'light limited'!$C$24</definedName>
    <definedName name="solver_lhs199" localSheetId="4" hidden="1">Model!$C$24</definedName>
    <definedName name="solver_lhs2" localSheetId="6" hidden="1">fitting!$B$5</definedName>
    <definedName name="solver_lhs2" localSheetId="3" hidden="1">'light limited'!$C$24</definedName>
    <definedName name="solver_lhs2" localSheetId="4" hidden="1">Model!$B$5</definedName>
    <definedName name="solver_lhs2" localSheetId="9" hidden="1">sheet2!$B$9</definedName>
    <definedName name="solver_lhs20" localSheetId="6" hidden="1">fitting!$B$5</definedName>
    <definedName name="solver_lhs20" localSheetId="3" hidden="1">'light limited'!$C$10</definedName>
    <definedName name="solver_lhs20" localSheetId="4" hidden="1">Model!$C$10</definedName>
    <definedName name="solver_lhs200" localSheetId="3" hidden="1">'light limited'!$C$24</definedName>
    <definedName name="solver_lhs200" localSheetId="4" hidden="1">Model!$C$24</definedName>
    <definedName name="solver_lhs201" localSheetId="3" hidden="1">'light limited'!$C$24</definedName>
    <definedName name="solver_lhs201" localSheetId="4" hidden="1">Model!$C$24</definedName>
    <definedName name="solver_lhs202" localSheetId="3" hidden="1">'light limited'!$C$24</definedName>
    <definedName name="solver_lhs202" localSheetId="4" hidden="1">Model!$C$24</definedName>
    <definedName name="solver_lhs203" localSheetId="3" hidden="1">'light limited'!$C$24</definedName>
    <definedName name="solver_lhs203" localSheetId="4" hidden="1">Model!$C$24</definedName>
    <definedName name="solver_lhs204" localSheetId="3" hidden="1">'light limited'!$C$24</definedName>
    <definedName name="solver_lhs204" localSheetId="4" hidden="1">Model!$C$24</definedName>
    <definedName name="solver_lhs205" localSheetId="3" hidden="1">'light limited'!$C$24</definedName>
    <definedName name="solver_lhs205" localSheetId="4" hidden="1">Model!$C$24</definedName>
    <definedName name="solver_lhs206" localSheetId="3" hidden="1">'light limited'!$C$24</definedName>
    <definedName name="solver_lhs206" localSheetId="4" hidden="1">Model!$C$24</definedName>
    <definedName name="solver_lhs207" localSheetId="3" hidden="1">'light limited'!$C$24</definedName>
    <definedName name="solver_lhs207" localSheetId="4" hidden="1">Model!$C$24</definedName>
    <definedName name="solver_lhs208" localSheetId="3" hidden="1">'light limited'!$C$24</definedName>
    <definedName name="solver_lhs208" localSheetId="4" hidden="1">Model!$C$24</definedName>
    <definedName name="solver_lhs209" localSheetId="3" hidden="1">'light limited'!$C$24</definedName>
    <definedName name="solver_lhs209" localSheetId="4" hidden="1">Model!$C$24</definedName>
    <definedName name="solver_lhs21" localSheetId="6" hidden="1">fitting!$B$5</definedName>
    <definedName name="solver_lhs21" localSheetId="3" hidden="1">'light limited'!$C$10</definedName>
    <definedName name="solver_lhs21" localSheetId="4" hidden="1">Model!$C$10</definedName>
    <definedName name="solver_lhs210" localSheetId="3" hidden="1">'light limited'!$C$24</definedName>
    <definedName name="solver_lhs210" localSheetId="4" hidden="1">Model!$C$24</definedName>
    <definedName name="solver_lhs211" localSheetId="3" hidden="1">'light limited'!$C$24</definedName>
    <definedName name="solver_lhs211" localSheetId="4" hidden="1">Model!$C$24</definedName>
    <definedName name="solver_lhs212" localSheetId="3" hidden="1">'light limited'!$C$24</definedName>
    <definedName name="solver_lhs212" localSheetId="4" hidden="1">Model!$C$24</definedName>
    <definedName name="solver_lhs213" localSheetId="3" hidden="1">'light limited'!$C$24</definedName>
    <definedName name="solver_lhs213" localSheetId="4" hidden="1">Model!$C$24</definedName>
    <definedName name="solver_lhs214" localSheetId="3" hidden="1">'light limited'!$C$24</definedName>
    <definedName name="solver_lhs214" localSheetId="4" hidden="1">Model!$C$24</definedName>
    <definedName name="solver_lhs215" localSheetId="3" hidden="1">'light limited'!$C$24</definedName>
    <definedName name="solver_lhs215" localSheetId="4" hidden="1">Model!$C$24</definedName>
    <definedName name="solver_lhs216" localSheetId="3" hidden="1">'light limited'!$C$24</definedName>
    <definedName name="solver_lhs216" localSheetId="4" hidden="1">Model!$C$24</definedName>
    <definedName name="solver_lhs217" localSheetId="3" hidden="1">'light limited'!$C$24</definedName>
    <definedName name="solver_lhs217" localSheetId="4" hidden="1">Model!$C$24</definedName>
    <definedName name="solver_lhs218" localSheetId="3" hidden="1">'light limited'!$C$24</definedName>
    <definedName name="solver_lhs218" localSheetId="4" hidden="1">Model!$C$24</definedName>
    <definedName name="solver_lhs219" localSheetId="3" hidden="1">'light limited'!$C$24</definedName>
    <definedName name="solver_lhs219" localSheetId="4" hidden="1">Model!$C$24</definedName>
    <definedName name="solver_lhs22" localSheetId="6" hidden="1">fitting!$B$5</definedName>
    <definedName name="solver_lhs22" localSheetId="3" hidden="1">'light limited'!$C$10</definedName>
    <definedName name="solver_lhs22" localSheetId="4" hidden="1">Model!$C$10</definedName>
    <definedName name="solver_lhs220" localSheetId="3" hidden="1">'light limited'!$C$24</definedName>
    <definedName name="solver_lhs220" localSheetId="4" hidden="1">Model!$C$24</definedName>
    <definedName name="solver_lhs221" localSheetId="3" hidden="1">'light limited'!$C$24</definedName>
    <definedName name="solver_lhs221" localSheetId="4" hidden="1">Model!$C$24</definedName>
    <definedName name="solver_lhs222" localSheetId="3" hidden="1">'light limited'!$C$24</definedName>
    <definedName name="solver_lhs222" localSheetId="4" hidden="1">Model!$C$24</definedName>
    <definedName name="solver_lhs223" localSheetId="3" hidden="1">'light limited'!$C$24</definedName>
    <definedName name="solver_lhs223" localSheetId="4" hidden="1">Model!$C$24</definedName>
    <definedName name="solver_lhs224" localSheetId="3" hidden="1">'light limited'!$C$24</definedName>
    <definedName name="solver_lhs224" localSheetId="4" hidden="1">Model!$C$24</definedName>
    <definedName name="solver_lhs225" localSheetId="3" hidden="1">'light limited'!$C$24</definedName>
    <definedName name="solver_lhs225" localSheetId="4" hidden="1">Model!$C$24</definedName>
    <definedName name="solver_lhs226" localSheetId="3" hidden="1">'light limited'!$C$24</definedName>
    <definedName name="solver_lhs226" localSheetId="4" hidden="1">Model!$C$24</definedName>
    <definedName name="solver_lhs227" localSheetId="3" hidden="1">'light limited'!$C$24</definedName>
    <definedName name="solver_lhs227" localSheetId="4" hidden="1">Model!$C$24</definedName>
    <definedName name="solver_lhs228" localSheetId="3" hidden="1">'light limited'!$C$24</definedName>
    <definedName name="solver_lhs228" localSheetId="4" hidden="1">Model!$C$24</definedName>
    <definedName name="solver_lhs229" localSheetId="3" hidden="1">'light limited'!$C$24</definedName>
    <definedName name="solver_lhs229" localSheetId="4" hidden="1">Model!$C$24</definedName>
    <definedName name="solver_lhs23" localSheetId="6" hidden="1">fitting!$B$5</definedName>
    <definedName name="solver_lhs23" localSheetId="3" hidden="1">'light limited'!$C$10</definedName>
    <definedName name="solver_lhs23" localSheetId="4" hidden="1">Model!$C$10</definedName>
    <definedName name="solver_lhs230" localSheetId="3" hidden="1">'light limited'!$C$24</definedName>
    <definedName name="solver_lhs230" localSheetId="4" hidden="1">Model!$C$24</definedName>
    <definedName name="solver_lhs231" localSheetId="3" hidden="1">'light limited'!$C$24</definedName>
    <definedName name="solver_lhs231" localSheetId="4" hidden="1">Model!$C$24</definedName>
    <definedName name="solver_lhs232" localSheetId="3" hidden="1">'light limited'!$C$24</definedName>
    <definedName name="solver_lhs232" localSheetId="4" hidden="1">Model!$C$24</definedName>
    <definedName name="solver_lhs233" localSheetId="3" hidden="1">'light limited'!$C$24</definedName>
    <definedName name="solver_lhs233" localSheetId="4" hidden="1">Model!$C$24</definedName>
    <definedName name="solver_lhs234" localSheetId="3" hidden="1">'light limited'!$C$24</definedName>
    <definedName name="solver_lhs234" localSheetId="4" hidden="1">Model!$C$24</definedName>
    <definedName name="solver_lhs235" localSheetId="3" hidden="1">'light limited'!$C$24</definedName>
    <definedName name="solver_lhs235" localSheetId="4" hidden="1">Model!$C$24</definedName>
    <definedName name="solver_lhs236" localSheetId="3" hidden="1">'light limited'!$C$24</definedName>
    <definedName name="solver_lhs236" localSheetId="4" hidden="1">Model!$C$24</definedName>
    <definedName name="solver_lhs237" localSheetId="3" hidden="1">'light limited'!$C$24</definedName>
    <definedName name="solver_lhs237" localSheetId="4" hidden="1">Model!$C$24</definedName>
    <definedName name="solver_lhs238" localSheetId="3" hidden="1">'light limited'!$C$24</definedName>
    <definedName name="solver_lhs238" localSheetId="4" hidden="1">Model!$C$24</definedName>
    <definedName name="solver_lhs239" localSheetId="3" hidden="1">'light limited'!$C$24</definedName>
    <definedName name="solver_lhs239" localSheetId="4" hidden="1">Model!$C$24</definedName>
    <definedName name="solver_lhs24" localSheetId="6" hidden="1">fitting!$B$5</definedName>
    <definedName name="solver_lhs24" localSheetId="3" hidden="1">'light limited'!$C$10</definedName>
    <definedName name="solver_lhs24" localSheetId="4" hidden="1">Model!$C$10</definedName>
    <definedName name="solver_lhs240" localSheetId="3" hidden="1">'light limited'!$C$24</definedName>
    <definedName name="solver_lhs240" localSheetId="4" hidden="1">Model!$C$24</definedName>
    <definedName name="solver_lhs241" localSheetId="3" hidden="1">'light limited'!$C$24</definedName>
    <definedName name="solver_lhs241" localSheetId="4" hidden="1">Model!$C$24</definedName>
    <definedName name="solver_lhs242" localSheetId="3" hidden="1">'light limited'!$C$24</definedName>
    <definedName name="solver_lhs242" localSheetId="4" hidden="1">Model!$C$24</definedName>
    <definedName name="solver_lhs243" localSheetId="3" hidden="1">'light limited'!$C$24</definedName>
    <definedName name="solver_lhs243" localSheetId="4" hidden="1">Model!$C$24</definedName>
    <definedName name="solver_lhs244" localSheetId="3" hidden="1">'light limited'!$C$24</definedName>
    <definedName name="solver_lhs244" localSheetId="4" hidden="1">Model!$C$24</definedName>
    <definedName name="solver_lhs245" localSheetId="3" hidden="1">'light limited'!$C$24</definedName>
    <definedName name="solver_lhs245" localSheetId="4" hidden="1">Model!$C$24</definedName>
    <definedName name="solver_lhs246" localSheetId="3" hidden="1">'light limited'!$C$24</definedName>
    <definedName name="solver_lhs246" localSheetId="4" hidden="1">Model!$C$24</definedName>
    <definedName name="solver_lhs247" localSheetId="3" hidden="1">'light limited'!$C$24</definedName>
    <definedName name="solver_lhs247" localSheetId="4" hidden="1">Model!$C$24</definedName>
    <definedName name="solver_lhs248" localSheetId="3" hidden="1">'light limited'!$C$24</definedName>
    <definedName name="solver_lhs248" localSheetId="4" hidden="1">Model!$C$24</definedName>
    <definedName name="solver_lhs249" localSheetId="3" hidden="1">'light limited'!$C$24</definedName>
    <definedName name="solver_lhs249" localSheetId="4" hidden="1">Model!$C$24</definedName>
    <definedName name="solver_lhs25" localSheetId="6" hidden="1">fitting!$B$5</definedName>
    <definedName name="solver_lhs25" localSheetId="3" hidden="1">'light limited'!$C$10</definedName>
    <definedName name="solver_lhs25" localSheetId="4" hidden="1">Model!$C$10</definedName>
    <definedName name="solver_lhs250" localSheetId="3" hidden="1">'light limited'!$C$24</definedName>
    <definedName name="solver_lhs250" localSheetId="4" hidden="1">Model!$C$24</definedName>
    <definedName name="solver_lhs26" localSheetId="6" hidden="1">fitting!$B$5</definedName>
    <definedName name="solver_lhs26" localSheetId="3" hidden="1">'light limited'!$C$10</definedName>
    <definedName name="solver_lhs26" localSheetId="4" hidden="1">Model!$C$10</definedName>
    <definedName name="solver_lhs27" localSheetId="6" hidden="1">fitting!$B$5</definedName>
    <definedName name="solver_lhs27" localSheetId="3" hidden="1">'light limited'!$C$10</definedName>
    <definedName name="solver_lhs27" localSheetId="4" hidden="1">Model!$C$10</definedName>
    <definedName name="solver_lhs28" localSheetId="6" hidden="1">fitting!$B$5</definedName>
    <definedName name="solver_lhs28" localSheetId="3" hidden="1">'light limited'!$C$10</definedName>
    <definedName name="solver_lhs28" localSheetId="4" hidden="1">Model!$C$10</definedName>
    <definedName name="solver_lhs29" localSheetId="6" hidden="1">fitting!$B$5</definedName>
    <definedName name="solver_lhs29" localSheetId="3" hidden="1">'light limited'!$C$10</definedName>
    <definedName name="solver_lhs29" localSheetId="4" hidden="1">Model!$C$10</definedName>
    <definedName name="solver_lhs3" localSheetId="6" hidden="1">fitting!$B$7</definedName>
    <definedName name="solver_lhs3" localSheetId="3" hidden="1">'light limited'!$F$16</definedName>
    <definedName name="solver_lhs3" localSheetId="4" hidden="1">Model!$B$7</definedName>
    <definedName name="solver_lhs3" localSheetId="9" hidden="1">sheet2!$B$8</definedName>
    <definedName name="solver_lhs30" localSheetId="6" hidden="1">fitting!$B$5</definedName>
    <definedName name="solver_lhs30" localSheetId="3" hidden="1">'light limited'!$C$10</definedName>
    <definedName name="solver_lhs30" localSheetId="4" hidden="1">Model!$C$10</definedName>
    <definedName name="solver_lhs31" localSheetId="6" hidden="1">fitting!$B$5</definedName>
    <definedName name="solver_lhs31" localSheetId="3" hidden="1">'light limited'!$C$10</definedName>
    <definedName name="solver_lhs31" localSheetId="4" hidden="1">Model!$C$10</definedName>
    <definedName name="solver_lhs32" localSheetId="6" hidden="1">fitting!$B$5</definedName>
    <definedName name="solver_lhs32" localSheetId="3" hidden="1">'light limited'!$C$10</definedName>
    <definedName name="solver_lhs32" localSheetId="4" hidden="1">Model!$C$10</definedName>
    <definedName name="solver_lhs33" localSheetId="6" hidden="1">fitting!$B$5</definedName>
    <definedName name="solver_lhs33" localSheetId="3" hidden="1">'light limited'!$C$10</definedName>
    <definedName name="solver_lhs33" localSheetId="4" hidden="1">Model!$C$10</definedName>
    <definedName name="solver_lhs34" localSheetId="6" hidden="1">fitting!$B$5</definedName>
    <definedName name="solver_lhs34" localSheetId="3" hidden="1">'light limited'!$C$10</definedName>
    <definedName name="solver_lhs34" localSheetId="4" hidden="1">Model!$C$10</definedName>
    <definedName name="solver_lhs35" localSheetId="6" hidden="1">fitting!$B$5</definedName>
    <definedName name="solver_lhs35" localSheetId="3" hidden="1">'light limited'!$C$10</definedName>
    <definedName name="solver_lhs35" localSheetId="4" hidden="1">Model!$C$10</definedName>
    <definedName name="solver_lhs36" localSheetId="6" hidden="1">fitting!$B$5</definedName>
    <definedName name="solver_lhs36" localSheetId="3" hidden="1">'light limited'!$C$10</definedName>
    <definedName name="solver_lhs36" localSheetId="4" hidden="1">Model!$C$10</definedName>
    <definedName name="solver_lhs37" localSheetId="6" hidden="1">fitting!$B$5</definedName>
    <definedName name="solver_lhs37" localSheetId="3" hidden="1">'light limited'!$C$10</definedName>
    <definedName name="solver_lhs37" localSheetId="4" hidden="1">Model!$C$10</definedName>
    <definedName name="solver_lhs38" localSheetId="6" hidden="1">fitting!$B$5</definedName>
    <definedName name="solver_lhs38" localSheetId="3" hidden="1">'light limited'!$C$10</definedName>
    <definedName name="solver_lhs38" localSheetId="4" hidden="1">Model!$C$10</definedName>
    <definedName name="solver_lhs39" localSheetId="6" hidden="1">fitting!$B$5</definedName>
    <definedName name="solver_lhs39" localSheetId="3" hidden="1">'light limited'!$C$10</definedName>
    <definedName name="solver_lhs39" localSheetId="4" hidden="1">Model!$C$10</definedName>
    <definedName name="solver_lhs4" localSheetId="6" hidden="1">fitting!$B$7</definedName>
    <definedName name="solver_lhs4" localSheetId="3" hidden="1">'light limited'!$C$23</definedName>
    <definedName name="solver_lhs4" localSheetId="4" hidden="1">Model!$B$7</definedName>
    <definedName name="solver_lhs4" localSheetId="9" hidden="1">sheet2!$B$8</definedName>
    <definedName name="solver_lhs40" localSheetId="6" hidden="1">fitting!$B$5</definedName>
    <definedName name="solver_lhs40" localSheetId="3" hidden="1">'light limited'!$C$10</definedName>
    <definedName name="solver_lhs40" localSheetId="4" hidden="1">Model!$C$10</definedName>
    <definedName name="solver_lhs41" localSheetId="6" hidden="1">fitting!$B$5</definedName>
    <definedName name="solver_lhs41" localSheetId="3" hidden="1">'light limited'!$C$10</definedName>
    <definedName name="solver_lhs41" localSheetId="4" hidden="1">Model!$C$10</definedName>
    <definedName name="solver_lhs42" localSheetId="6" hidden="1">fitting!$B$5</definedName>
    <definedName name="solver_lhs42" localSheetId="3" hidden="1">'light limited'!$C$10</definedName>
    <definedName name="solver_lhs42" localSheetId="4" hidden="1">Model!$C$10</definedName>
    <definedName name="solver_lhs43" localSheetId="6" hidden="1">fitting!$B$5</definedName>
    <definedName name="solver_lhs43" localSheetId="3" hidden="1">'light limited'!$C$10</definedName>
    <definedName name="solver_lhs43" localSheetId="4" hidden="1">Model!$C$10</definedName>
    <definedName name="solver_lhs44" localSheetId="6" hidden="1">fitting!$B$5</definedName>
    <definedName name="solver_lhs44" localSheetId="3" hidden="1">'light limited'!$C$10</definedName>
    <definedName name="solver_lhs44" localSheetId="4" hidden="1">Model!$C$10</definedName>
    <definedName name="solver_lhs45" localSheetId="6" hidden="1">fitting!$B$5</definedName>
    <definedName name="solver_lhs45" localSheetId="3" hidden="1">'light limited'!$C$10</definedName>
    <definedName name="solver_lhs45" localSheetId="4" hidden="1">Model!$C$10</definedName>
    <definedName name="solver_lhs46" localSheetId="6" hidden="1">fitting!$B$5</definedName>
    <definedName name="solver_lhs46" localSheetId="3" hidden="1">'light limited'!$C$10</definedName>
    <definedName name="solver_lhs46" localSheetId="4" hidden="1">Model!$C$10</definedName>
    <definedName name="solver_lhs47" localSheetId="6" hidden="1">fitting!$B$5</definedName>
    <definedName name="solver_lhs47" localSheetId="3" hidden="1">'light limited'!$C$10</definedName>
    <definedName name="solver_lhs47" localSheetId="4" hidden="1">Model!$C$10</definedName>
    <definedName name="solver_lhs48" localSheetId="6" hidden="1">fitting!$B$5</definedName>
    <definedName name="solver_lhs48" localSheetId="3" hidden="1">'light limited'!$C$10</definedName>
    <definedName name="solver_lhs48" localSheetId="4" hidden="1">Model!$C$10</definedName>
    <definedName name="solver_lhs49" localSheetId="6" hidden="1">fitting!$B$5</definedName>
    <definedName name="solver_lhs49" localSheetId="3" hidden="1">'light limited'!$C$10</definedName>
    <definedName name="solver_lhs49" localSheetId="4" hidden="1">Model!$C$10</definedName>
    <definedName name="solver_lhs5" localSheetId="6" hidden="1">fitting!$B$8</definedName>
    <definedName name="solver_lhs5" localSheetId="3" hidden="1">'light limited'!$C$17</definedName>
    <definedName name="solver_lhs5" localSheetId="4" hidden="1">Model!$B$22</definedName>
    <definedName name="solver_lhs5" localSheetId="9" hidden="1">sheet2!$B$23</definedName>
    <definedName name="solver_lhs50" localSheetId="6" hidden="1">fitting!$B$5</definedName>
    <definedName name="solver_lhs50" localSheetId="3" hidden="1">'light limited'!$C$10</definedName>
    <definedName name="solver_lhs50" localSheetId="4" hidden="1">Model!$C$10</definedName>
    <definedName name="solver_lhs51" localSheetId="6" hidden="1">fitting!$B$5</definedName>
    <definedName name="solver_lhs51" localSheetId="3" hidden="1">'light limited'!$C$10</definedName>
    <definedName name="solver_lhs51" localSheetId="4" hidden="1">Model!$C$10</definedName>
    <definedName name="solver_lhs52" localSheetId="6" hidden="1">fitting!$B$5</definedName>
    <definedName name="solver_lhs52" localSheetId="3" hidden="1">'light limited'!$C$10</definedName>
    <definedName name="solver_lhs52" localSheetId="4" hidden="1">Model!$C$10</definedName>
    <definedName name="solver_lhs53" localSheetId="6" hidden="1">fitting!$B$5</definedName>
    <definedName name="solver_lhs53" localSheetId="3" hidden="1">'light limited'!$C$10</definedName>
    <definedName name="solver_lhs53" localSheetId="4" hidden="1">Model!$C$10</definedName>
    <definedName name="solver_lhs54" localSheetId="6" hidden="1">fitting!$B$5</definedName>
    <definedName name="solver_lhs54" localSheetId="3" hidden="1">'light limited'!$C$10</definedName>
    <definedName name="solver_lhs54" localSheetId="4" hidden="1">Model!$C$10</definedName>
    <definedName name="solver_lhs55" localSheetId="6" hidden="1">fitting!$B$5</definedName>
    <definedName name="solver_lhs55" localSheetId="3" hidden="1">'light limited'!$C$10</definedName>
    <definedName name="solver_lhs55" localSheetId="4" hidden="1">Model!$C$10</definedName>
    <definedName name="solver_lhs56" localSheetId="6" hidden="1">fitting!$B$5</definedName>
    <definedName name="solver_lhs56" localSheetId="3" hidden="1">'light limited'!$C$10</definedName>
    <definedName name="solver_lhs56" localSheetId="4" hidden="1">Model!$C$10</definedName>
    <definedName name="solver_lhs57" localSheetId="6" hidden="1">fitting!$B$5</definedName>
    <definedName name="solver_lhs57" localSheetId="3" hidden="1">'light limited'!$C$10</definedName>
    <definedName name="solver_lhs57" localSheetId="4" hidden="1">Model!$C$10</definedName>
    <definedName name="solver_lhs58" localSheetId="6" hidden="1">fitting!$B$5</definedName>
    <definedName name="solver_lhs58" localSheetId="3" hidden="1">'light limited'!$C$10</definedName>
    <definedName name="solver_lhs58" localSheetId="4" hidden="1">Model!$C$10</definedName>
    <definedName name="solver_lhs59" localSheetId="6" hidden="1">fitting!$B$5</definedName>
    <definedName name="solver_lhs59" localSheetId="3" hidden="1">'light limited'!$C$10</definedName>
    <definedName name="solver_lhs59" localSheetId="4" hidden="1">Model!$C$10</definedName>
    <definedName name="solver_lhs6" localSheetId="6" hidden="1">fitting!$B$8</definedName>
    <definedName name="solver_lhs6" localSheetId="3" hidden="1">'light limited'!$F$7</definedName>
    <definedName name="solver_lhs6" localSheetId="4" hidden="1">Model!$B$22</definedName>
    <definedName name="solver_lhs6" localSheetId="9" hidden="1">sheet2!$B$5</definedName>
    <definedName name="solver_lhs60" localSheetId="6" hidden="1">fitting!$B$5</definedName>
    <definedName name="solver_lhs60" localSheetId="3" hidden="1">'light limited'!$C$10</definedName>
    <definedName name="solver_lhs60" localSheetId="4" hidden="1">Model!$C$10</definedName>
    <definedName name="solver_lhs61" localSheetId="6" hidden="1">fitting!$B$5</definedName>
    <definedName name="solver_lhs61" localSheetId="3" hidden="1">'light limited'!$C$10</definedName>
    <definedName name="solver_lhs61" localSheetId="4" hidden="1">Model!$C$10</definedName>
    <definedName name="solver_lhs62" localSheetId="6" hidden="1">fitting!$B$5</definedName>
    <definedName name="solver_lhs62" localSheetId="3" hidden="1">'light limited'!$C$24</definedName>
    <definedName name="solver_lhs62" localSheetId="4" hidden="1">Model!$C$24</definedName>
    <definedName name="solver_lhs63" localSheetId="6" hidden="1">fitting!$B$5</definedName>
    <definedName name="solver_lhs63" localSheetId="3" hidden="1">'light limited'!$C$24</definedName>
    <definedName name="solver_lhs63" localSheetId="4" hidden="1">Model!$C$24</definedName>
    <definedName name="solver_lhs64" localSheetId="6" hidden="1">fitting!$B$5</definedName>
    <definedName name="solver_lhs64" localSheetId="3" hidden="1">'light limited'!$C$24</definedName>
    <definedName name="solver_lhs64" localSheetId="4" hidden="1">Model!$C$24</definedName>
    <definedName name="solver_lhs65" localSheetId="3" hidden="1">'light limited'!$C$24</definedName>
    <definedName name="solver_lhs65" localSheetId="4" hidden="1">Model!$C$24</definedName>
    <definedName name="solver_lhs66" localSheetId="3" hidden="1">'light limited'!$C$24</definedName>
    <definedName name="solver_lhs66" localSheetId="4" hidden="1">Model!$C$24</definedName>
    <definedName name="solver_lhs67" localSheetId="3" hidden="1">'light limited'!$C$24</definedName>
    <definedName name="solver_lhs67" localSheetId="4" hidden="1">Model!$C$24</definedName>
    <definedName name="solver_lhs68" localSheetId="3" hidden="1">'light limited'!$C$24</definedName>
    <definedName name="solver_lhs68" localSheetId="4" hidden="1">Model!$C$24</definedName>
    <definedName name="solver_lhs69" localSheetId="3" hidden="1">'light limited'!$C$24</definedName>
    <definedName name="solver_lhs69" localSheetId="4" hidden="1">Model!$C$24</definedName>
    <definedName name="solver_lhs7" localSheetId="6" hidden="1">fitting!$B$9</definedName>
    <definedName name="solver_lhs7" localSheetId="3" hidden="1">'light limited'!$C$23</definedName>
    <definedName name="solver_lhs7" localSheetId="4" hidden="1">Model!$C$23</definedName>
    <definedName name="solver_lhs7" localSheetId="9" hidden="1">sheet2!$B$23</definedName>
    <definedName name="solver_lhs70" localSheetId="3" hidden="1">'light limited'!$C$24</definedName>
    <definedName name="solver_lhs70" localSheetId="4" hidden="1">Model!$C$24</definedName>
    <definedName name="solver_lhs71" localSheetId="3" hidden="1">'light limited'!$C$24</definedName>
    <definedName name="solver_lhs71" localSheetId="4" hidden="1">Model!$C$24</definedName>
    <definedName name="solver_lhs72" localSheetId="3" hidden="1">'light limited'!$C$24</definedName>
    <definedName name="solver_lhs72" localSheetId="4" hidden="1">Model!$C$24</definedName>
    <definedName name="solver_lhs73" localSheetId="3" hidden="1">'light limited'!$C$24</definedName>
    <definedName name="solver_lhs73" localSheetId="4" hidden="1">Model!$C$24</definedName>
    <definedName name="solver_lhs74" localSheetId="3" hidden="1">'light limited'!$C$24</definedName>
    <definedName name="solver_lhs74" localSheetId="4" hidden="1">Model!$C$24</definedName>
    <definedName name="solver_lhs75" localSheetId="3" hidden="1">'light limited'!$C$24</definedName>
    <definedName name="solver_lhs75" localSheetId="4" hidden="1">Model!$C$24</definedName>
    <definedName name="solver_lhs76" localSheetId="3" hidden="1">'light limited'!$C$24</definedName>
    <definedName name="solver_lhs76" localSheetId="4" hidden="1">Model!$C$24</definedName>
    <definedName name="solver_lhs77" localSheetId="3" hidden="1">'light limited'!$C$24</definedName>
    <definedName name="solver_lhs77" localSheetId="4" hidden="1">Model!$C$24</definedName>
    <definedName name="solver_lhs78" localSheetId="3" hidden="1">'light limited'!$C$24</definedName>
    <definedName name="solver_lhs78" localSheetId="4" hidden="1">Model!$C$24</definedName>
    <definedName name="solver_lhs79" localSheetId="3" hidden="1">'light limited'!$C$24</definedName>
    <definedName name="solver_lhs79" localSheetId="4" hidden="1">Model!$C$24</definedName>
    <definedName name="solver_lhs8" localSheetId="6" hidden="1">fitting!$B$9</definedName>
    <definedName name="solver_lhs8" localSheetId="3" hidden="1">'light limited'!$F$9</definedName>
    <definedName name="solver_lhs8" localSheetId="4" hidden="1">Model!$F$9</definedName>
    <definedName name="solver_lhs8" localSheetId="9" hidden="1">sheet2!$B$5</definedName>
    <definedName name="solver_lhs80" localSheetId="3" hidden="1">'light limited'!$C$24</definedName>
    <definedName name="solver_lhs80" localSheetId="4" hidden="1">Model!$C$24</definedName>
    <definedName name="solver_lhs81" localSheetId="3" hidden="1">'light limited'!$C$24</definedName>
    <definedName name="solver_lhs81" localSheetId="4" hidden="1">Model!$C$24</definedName>
    <definedName name="solver_lhs82" localSheetId="3" hidden="1">'light limited'!$C$24</definedName>
    <definedName name="solver_lhs82" localSheetId="4" hidden="1">Model!$C$24</definedName>
    <definedName name="solver_lhs83" localSheetId="3" hidden="1">'light limited'!$C$24</definedName>
    <definedName name="solver_lhs83" localSheetId="4" hidden="1">Model!$C$24</definedName>
    <definedName name="solver_lhs84" localSheetId="3" hidden="1">'light limited'!$C$24</definedName>
    <definedName name="solver_lhs84" localSheetId="4" hidden="1">Model!$C$24</definedName>
    <definedName name="solver_lhs85" localSheetId="3" hidden="1">'light limited'!$C$24</definedName>
    <definedName name="solver_lhs85" localSheetId="4" hidden="1">Model!$C$24</definedName>
    <definedName name="solver_lhs86" localSheetId="3" hidden="1">'light limited'!$C$24</definedName>
    <definedName name="solver_lhs86" localSheetId="4" hidden="1">Model!$C$24</definedName>
    <definedName name="solver_lhs87" localSheetId="3" hidden="1">'light limited'!$C$24</definedName>
    <definedName name="solver_lhs87" localSheetId="4" hidden="1">Model!$C$24</definedName>
    <definedName name="solver_lhs88" localSheetId="3" hidden="1">'light limited'!$C$24</definedName>
    <definedName name="solver_lhs88" localSheetId="4" hidden="1">Model!$C$24</definedName>
    <definedName name="solver_lhs89" localSheetId="3" hidden="1">'light limited'!$C$24</definedName>
    <definedName name="solver_lhs89" localSheetId="4" hidden="1">Model!$C$24</definedName>
    <definedName name="solver_lhs9" localSheetId="6" hidden="1">fitting!$B$28</definedName>
    <definedName name="solver_lhs9" localSheetId="3" hidden="1">'light limited'!$F$7</definedName>
    <definedName name="solver_lhs9" localSheetId="4" hidden="1">Model!$F$7</definedName>
    <definedName name="solver_lhs9" localSheetId="9" hidden="1">sheet2!$B$7</definedName>
    <definedName name="solver_lhs90" localSheetId="3" hidden="1">'light limited'!$C$24</definedName>
    <definedName name="solver_lhs90" localSheetId="4" hidden="1">Model!$C$24</definedName>
    <definedName name="solver_lhs91" localSheetId="3" hidden="1">'light limited'!$C$24</definedName>
    <definedName name="solver_lhs91" localSheetId="4" hidden="1">Model!$C$24</definedName>
    <definedName name="solver_lhs92" localSheetId="3" hidden="1">'light limited'!$C$24</definedName>
    <definedName name="solver_lhs92" localSheetId="4" hidden="1">Model!$C$24</definedName>
    <definedName name="solver_lhs93" localSheetId="3" hidden="1">'light limited'!$C$24</definedName>
    <definedName name="solver_lhs93" localSheetId="4" hidden="1">Model!$C$24</definedName>
    <definedName name="solver_lhs94" localSheetId="3" hidden="1">'light limited'!$C$24</definedName>
    <definedName name="solver_lhs94" localSheetId="4" hidden="1">Model!$C$24</definedName>
    <definedName name="solver_lhs95" localSheetId="3" hidden="1">'light limited'!$C$24</definedName>
    <definedName name="solver_lhs95" localSheetId="4" hidden="1">Model!$C$24</definedName>
    <definedName name="solver_lhs96" localSheetId="3" hidden="1">'light limited'!$C$24</definedName>
    <definedName name="solver_lhs96" localSheetId="4" hidden="1">Model!$C$24</definedName>
    <definedName name="solver_lhs97" localSheetId="3" hidden="1">'light limited'!$C$24</definedName>
    <definedName name="solver_lhs97" localSheetId="4" hidden="1">Model!$C$24</definedName>
    <definedName name="solver_lhs98" localSheetId="3" hidden="1">'light limited'!$C$24</definedName>
    <definedName name="solver_lhs98" localSheetId="4" hidden="1">Model!$C$24</definedName>
    <definedName name="solver_lhs99" localSheetId="3" hidden="1">'light limited'!$C$24</definedName>
    <definedName name="solver_lhs99" localSheetId="4" hidden="1">Model!$C$24</definedName>
    <definedName name="solver_lin" localSheetId="6" hidden="1">2</definedName>
    <definedName name="solver_lin" localSheetId="3" hidden="1">2</definedName>
    <definedName name="solver_lin" localSheetId="4" hidden="1">2</definedName>
    <definedName name="solver_mip" localSheetId="6" hidden="1">2147483647</definedName>
    <definedName name="solver_mip" localSheetId="3" hidden="1">2147483647</definedName>
    <definedName name="solver_mip" localSheetId="4" hidden="1">2147483647</definedName>
    <definedName name="solver_mip" localSheetId="7" hidden="1">2147483647</definedName>
    <definedName name="solver_mip" localSheetId="9" hidden="1">2147483647</definedName>
    <definedName name="solver_mni" localSheetId="6" hidden="1">5</definedName>
    <definedName name="solver_mni" localSheetId="3" hidden="1">30</definedName>
    <definedName name="solver_mni" localSheetId="4" hidden="1">30</definedName>
    <definedName name="solver_mni" localSheetId="7" hidden="1">30</definedName>
    <definedName name="solver_mni" localSheetId="9" hidden="1">1</definedName>
    <definedName name="solver_mrt" localSheetId="6" hidden="1">0.99</definedName>
    <definedName name="solver_mrt" localSheetId="3" hidden="1">0.075</definedName>
    <definedName name="solver_mrt" localSheetId="4" hidden="1">0.075</definedName>
    <definedName name="solver_mrt" localSheetId="7" hidden="1">0.075</definedName>
    <definedName name="solver_mrt" localSheetId="9" hidden="1">0.075</definedName>
    <definedName name="solver_msl" localSheetId="6" hidden="1">2</definedName>
    <definedName name="solver_msl" localSheetId="3" hidden="1">1</definedName>
    <definedName name="solver_msl" localSheetId="4" hidden="1">1</definedName>
    <definedName name="solver_msl" localSheetId="7" hidden="1">2</definedName>
    <definedName name="solver_msl" localSheetId="9" hidden="1">1</definedName>
    <definedName name="solver_neg" localSheetId="6" hidden="1">2</definedName>
    <definedName name="solver_neg" localSheetId="3" hidden="1">1</definedName>
    <definedName name="solver_neg" localSheetId="4" hidden="1">1</definedName>
    <definedName name="solver_neg" localSheetId="7" hidden="1">1</definedName>
    <definedName name="solver_neg" localSheetId="9" hidden="1">2</definedName>
    <definedName name="solver_nod" localSheetId="6" hidden="1">2147483647</definedName>
    <definedName name="solver_nod" localSheetId="3" hidden="1">2147483647</definedName>
    <definedName name="solver_nod" localSheetId="4" hidden="1">2147483647</definedName>
    <definedName name="solver_nod" localSheetId="7" hidden="1">2147483647</definedName>
    <definedName name="solver_nod" localSheetId="9" hidden="1">15</definedName>
    <definedName name="solver_num" localSheetId="6" hidden="1">0</definedName>
    <definedName name="solver_num" localSheetId="3" hidden="1">8</definedName>
    <definedName name="solver_num" localSheetId="4" hidden="1">6</definedName>
    <definedName name="solver_num" localSheetId="7" hidden="1">0</definedName>
    <definedName name="solver_num" localSheetId="9" hidden="1">10</definedName>
    <definedName name="solver_nwt" localSheetId="6" hidden="1">1</definedName>
    <definedName name="solver_nwt" localSheetId="3" hidden="1">1</definedName>
    <definedName name="solver_nwt" localSheetId="4" hidden="1">1</definedName>
    <definedName name="solver_nwt" localSheetId="7" hidden="1">1</definedName>
    <definedName name="solver_nwt" localSheetId="9" hidden="1">1</definedName>
    <definedName name="solver_opt" localSheetId="6" hidden="1">fitting!$I$5</definedName>
    <definedName name="solver_opt" localSheetId="3" hidden="1">'light limited'!$F$6</definedName>
    <definedName name="solver_opt" localSheetId="4" hidden="1">Model!$G$5</definedName>
    <definedName name="solver_opt" localSheetId="9" hidden="1">sheet2!$E$26</definedName>
    <definedName name="solver_pre" localSheetId="6" hidden="1">0.000001</definedName>
    <definedName name="solver_pre" localSheetId="3" hidden="1">0.000001</definedName>
    <definedName name="solver_pre" localSheetId="4" hidden="1">0.000001</definedName>
    <definedName name="solver_pre" localSheetId="7" hidden="1">0.00000000000001</definedName>
    <definedName name="solver_pre" localSheetId="9" hidden="1">0.000001</definedName>
    <definedName name="solver_rbv" localSheetId="6" hidden="1">1</definedName>
    <definedName name="solver_rbv" localSheetId="3" hidden="1">2</definedName>
    <definedName name="solver_rbv" localSheetId="4" hidden="1">2</definedName>
    <definedName name="solver_rbv" localSheetId="7" hidden="1">2</definedName>
    <definedName name="solver_rbv" localSheetId="9" hidden="1">1</definedName>
    <definedName name="solver_rel1" localSheetId="6" hidden="1">3</definedName>
    <definedName name="solver_rel1" localSheetId="3" hidden="1">1</definedName>
    <definedName name="solver_rel1" localSheetId="4" hidden="1">3</definedName>
    <definedName name="solver_rel1" localSheetId="9" hidden="1">3</definedName>
    <definedName name="solver_rel10" localSheetId="6" hidden="1">1</definedName>
    <definedName name="solver_rel10" localSheetId="3" hidden="1">2</definedName>
    <definedName name="solver_rel10" localSheetId="4" hidden="1">2</definedName>
    <definedName name="solver_rel10" localSheetId="9" hidden="1">3</definedName>
    <definedName name="solver_rel100" localSheetId="3" hidden="1">1</definedName>
    <definedName name="solver_rel100" localSheetId="4" hidden="1">1</definedName>
    <definedName name="solver_rel101" localSheetId="3" hidden="1">1</definedName>
    <definedName name="solver_rel101" localSheetId="4" hidden="1">1</definedName>
    <definedName name="solver_rel102" localSheetId="3" hidden="1">1</definedName>
    <definedName name="solver_rel102" localSheetId="4" hidden="1">1</definedName>
    <definedName name="solver_rel103" localSheetId="3" hidden="1">1</definedName>
    <definedName name="solver_rel103" localSheetId="4" hidden="1">1</definedName>
    <definedName name="solver_rel104" localSheetId="3" hidden="1">1</definedName>
    <definedName name="solver_rel104" localSheetId="4" hidden="1">1</definedName>
    <definedName name="solver_rel105" localSheetId="3" hidden="1">1</definedName>
    <definedName name="solver_rel105" localSheetId="4" hidden="1">1</definedName>
    <definedName name="solver_rel106" localSheetId="3" hidden="1">1</definedName>
    <definedName name="solver_rel106" localSheetId="4" hidden="1">1</definedName>
    <definedName name="solver_rel107" localSheetId="3" hidden="1">1</definedName>
    <definedName name="solver_rel107" localSheetId="4" hidden="1">1</definedName>
    <definedName name="solver_rel108" localSheetId="3" hidden="1">1</definedName>
    <definedName name="solver_rel108" localSheetId="4" hidden="1">1</definedName>
    <definedName name="solver_rel109" localSheetId="3" hidden="1">1</definedName>
    <definedName name="solver_rel109" localSheetId="4" hidden="1">1</definedName>
    <definedName name="solver_rel11" localSheetId="6" hidden="1">1</definedName>
    <definedName name="solver_rel11" localSheetId="3" hidden="1">3</definedName>
    <definedName name="solver_rel11" localSheetId="4" hidden="1">3</definedName>
    <definedName name="solver_rel110" localSheetId="3" hidden="1">1</definedName>
    <definedName name="solver_rel110" localSheetId="4" hidden="1">1</definedName>
    <definedName name="solver_rel111" localSheetId="3" hidden="1">1</definedName>
    <definedName name="solver_rel111" localSheetId="4" hidden="1">1</definedName>
    <definedName name="solver_rel112" localSheetId="3" hidden="1">1</definedName>
    <definedName name="solver_rel112" localSheetId="4" hidden="1">1</definedName>
    <definedName name="solver_rel113" localSheetId="3" hidden="1">1</definedName>
    <definedName name="solver_rel113" localSheetId="4" hidden="1">1</definedName>
    <definedName name="solver_rel114" localSheetId="3" hidden="1">1</definedName>
    <definedName name="solver_rel114" localSheetId="4" hidden="1">1</definedName>
    <definedName name="solver_rel115" localSheetId="3" hidden="1">1</definedName>
    <definedName name="solver_rel115" localSheetId="4" hidden="1">1</definedName>
    <definedName name="solver_rel116" localSheetId="3" hidden="1">1</definedName>
    <definedName name="solver_rel116" localSheetId="4" hidden="1">1</definedName>
    <definedName name="solver_rel117" localSheetId="3" hidden="1">1</definedName>
    <definedName name="solver_rel117" localSheetId="4" hidden="1">1</definedName>
    <definedName name="solver_rel118" localSheetId="3" hidden="1">1</definedName>
    <definedName name="solver_rel118" localSheetId="4" hidden="1">1</definedName>
    <definedName name="solver_rel119" localSheetId="3" hidden="1">1</definedName>
    <definedName name="solver_rel119" localSheetId="4" hidden="1">1</definedName>
    <definedName name="solver_rel12" localSheetId="6" hidden="1">3</definedName>
    <definedName name="solver_rel12" localSheetId="3" hidden="1">3</definedName>
    <definedName name="solver_rel12" localSheetId="4" hidden="1">3</definedName>
    <definedName name="solver_rel120" localSheetId="3" hidden="1">1</definedName>
    <definedName name="solver_rel120" localSheetId="4" hidden="1">1</definedName>
    <definedName name="solver_rel121" localSheetId="3" hidden="1">1</definedName>
    <definedName name="solver_rel121" localSheetId="4" hidden="1">1</definedName>
    <definedName name="solver_rel122" localSheetId="3" hidden="1">1</definedName>
    <definedName name="solver_rel122" localSheetId="4" hidden="1">1</definedName>
    <definedName name="solver_rel123" localSheetId="3" hidden="1">1</definedName>
    <definedName name="solver_rel123" localSheetId="4" hidden="1">1</definedName>
    <definedName name="solver_rel124" localSheetId="3" hidden="1">1</definedName>
    <definedName name="solver_rel124" localSheetId="4" hidden="1">1</definedName>
    <definedName name="solver_rel125" localSheetId="3" hidden="1">3</definedName>
    <definedName name="solver_rel125" localSheetId="4" hidden="1">3</definedName>
    <definedName name="solver_rel126" localSheetId="3" hidden="1">1</definedName>
    <definedName name="solver_rel126" localSheetId="4" hidden="1">1</definedName>
    <definedName name="solver_rel127" localSheetId="3" hidden="1">3</definedName>
    <definedName name="solver_rel127" localSheetId="4" hidden="1">3</definedName>
    <definedName name="solver_rel128" localSheetId="3" hidden="1">3</definedName>
    <definedName name="solver_rel128" localSheetId="4" hidden="1">3</definedName>
    <definedName name="solver_rel129" localSheetId="3" hidden="1">3</definedName>
    <definedName name="solver_rel129" localSheetId="4" hidden="1">3</definedName>
    <definedName name="solver_rel13" localSheetId="6" hidden="1">3</definedName>
    <definedName name="solver_rel13" localSheetId="3" hidden="1">3</definedName>
    <definedName name="solver_rel13" localSheetId="4" hidden="1">3</definedName>
    <definedName name="solver_rel130" localSheetId="3" hidden="1">3</definedName>
    <definedName name="solver_rel130" localSheetId="4" hidden="1">3</definedName>
    <definedName name="solver_rel131" localSheetId="3" hidden="1">3</definedName>
    <definedName name="solver_rel131" localSheetId="4" hidden="1">3</definedName>
    <definedName name="solver_rel132" localSheetId="3" hidden="1">3</definedName>
    <definedName name="solver_rel132" localSheetId="4" hidden="1">3</definedName>
    <definedName name="solver_rel133" localSheetId="3" hidden="1">3</definedName>
    <definedName name="solver_rel133" localSheetId="4" hidden="1">3</definedName>
    <definedName name="solver_rel134" localSheetId="3" hidden="1">3</definedName>
    <definedName name="solver_rel134" localSheetId="4" hidden="1">3</definedName>
    <definedName name="solver_rel135" localSheetId="3" hidden="1">3</definedName>
    <definedName name="solver_rel135" localSheetId="4" hidden="1">3</definedName>
    <definedName name="solver_rel136" localSheetId="3" hidden="1">3</definedName>
    <definedName name="solver_rel136" localSheetId="4" hidden="1">3</definedName>
    <definedName name="solver_rel137" localSheetId="3" hidden="1">3</definedName>
    <definedName name="solver_rel137" localSheetId="4" hidden="1">3</definedName>
    <definedName name="solver_rel138" localSheetId="3" hidden="1">3</definedName>
    <definedName name="solver_rel138" localSheetId="4" hidden="1">3</definedName>
    <definedName name="solver_rel139" localSheetId="3" hidden="1">3</definedName>
    <definedName name="solver_rel139" localSheetId="4" hidden="1">3</definedName>
    <definedName name="solver_rel14" localSheetId="6" hidden="1">3</definedName>
    <definedName name="solver_rel14" localSheetId="3" hidden="1">3</definedName>
    <definedName name="solver_rel14" localSheetId="4" hidden="1">3</definedName>
    <definedName name="solver_rel140" localSheetId="3" hidden="1">3</definedName>
    <definedName name="solver_rel140" localSheetId="4" hidden="1">3</definedName>
    <definedName name="solver_rel141" localSheetId="3" hidden="1">3</definedName>
    <definedName name="solver_rel141" localSheetId="4" hidden="1">3</definedName>
    <definedName name="solver_rel142" localSheetId="3" hidden="1">3</definedName>
    <definedName name="solver_rel142" localSheetId="4" hidden="1">3</definedName>
    <definedName name="solver_rel143" localSheetId="3" hidden="1">3</definedName>
    <definedName name="solver_rel143" localSheetId="4" hidden="1">3</definedName>
    <definedName name="solver_rel144" localSheetId="3" hidden="1">3</definedName>
    <definedName name="solver_rel144" localSheetId="4" hidden="1">3</definedName>
    <definedName name="solver_rel145" localSheetId="3" hidden="1">3</definedName>
    <definedName name="solver_rel145" localSheetId="4" hidden="1">3</definedName>
    <definedName name="solver_rel146" localSheetId="3" hidden="1">3</definedName>
    <definedName name="solver_rel146" localSheetId="4" hidden="1">3</definedName>
    <definedName name="solver_rel147" localSheetId="3" hidden="1">3</definedName>
    <definedName name="solver_rel147" localSheetId="4" hidden="1">3</definedName>
    <definedName name="solver_rel148" localSheetId="3" hidden="1">3</definedName>
    <definedName name="solver_rel148" localSheetId="4" hidden="1">3</definedName>
    <definedName name="solver_rel149" localSheetId="3" hidden="1">3</definedName>
    <definedName name="solver_rel149" localSheetId="4" hidden="1">3</definedName>
    <definedName name="solver_rel15" localSheetId="6" hidden="1">3</definedName>
    <definedName name="solver_rel15" localSheetId="3" hidden="1">3</definedName>
    <definedName name="solver_rel15" localSheetId="4" hidden="1">3</definedName>
    <definedName name="solver_rel150" localSheetId="3" hidden="1">3</definedName>
    <definedName name="solver_rel150" localSheetId="4" hidden="1">3</definedName>
    <definedName name="solver_rel151" localSheetId="3" hidden="1">3</definedName>
    <definedName name="solver_rel151" localSheetId="4" hidden="1">3</definedName>
    <definedName name="solver_rel152" localSheetId="3" hidden="1">3</definedName>
    <definedName name="solver_rel152" localSheetId="4" hidden="1">3</definedName>
    <definedName name="solver_rel153" localSheetId="3" hidden="1">3</definedName>
    <definedName name="solver_rel153" localSheetId="4" hidden="1">3</definedName>
    <definedName name="solver_rel154" localSheetId="3" hidden="1">3</definedName>
    <definedName name="solver_rel154" localSheetId="4" hidden="1">3</definedName>
    <definedName name="solver_rel155" localSheetId="3" hidden="1">3</definedName>
    <definedName name="solver_rel155" localSheetId="4" hidden="1">3</definedName>
    <definedName name="solver_rel156" localSheetId="3" hidden="1">3</definedName>
    <definedName name="solver_rel156" localSheetId="4" hidden="1">3</definedName>
    <definedName name="solver_rel157" localSheetId="3" hidden="1">3</definedName>
    <definedName name="solver_rel157" localSheetId="4" hidden="1">3</definedName>
    <definedName name="solver_rel158" localSheetId="3" hidden="1">3</definedName>
    <definedName name="solver_rel158" localSheetId="4" hidden="1">3</definedName>
    <definedName name="solver_rel159" localSheetId="3" hidden="1">3</definedName>
    <definedName name="solver_rel159" localSheetId="4" hidden="1">3</definedName>
    <definedName name="solver_rel16" localSheetId="6" hidden="1">3</definedName>
    <definedName name="solver_rel16" localSheetId="3" hidden="1">3</definedName>
    <definedName name="solver_rel16" localSheetId="4" hidden="1">3</definedName>
    <definedName name="solver_rel160" localSheetId="3" hidden="1">3</definedName>
    <definedName name="solver_rel160" localSheetId="4" hidden="1">3</definedName>
    <definedName name="solver_rel161" localSheetId="3" hidden="1">3</definedName>
    <definedName name="solver_rel161" localSheetId="4" hidden="1">3</definedName>
    <definedName name="solver_rel162" localSheetId="3" hidden="1">3</definedName>
    <definedName name="solver_rel162" localSheetId="4" hidden="1">3</definedName>
    <definedName name="solver_rel163" localSheetId="3" hidden="1">3</definedName>
    <definedName name="solver_rel163" localSheetId="4" hidden="1">3</definedName>
    <definedName name="solver_rel164" localSheetId="3" hidden="1">3</definedName>
    <definedName name="solver_rel164" localSheetId="4" hidden="1">3</definedName>
    <definedName name="solver_rel165" localSheetId="3" hidden="1">3</definedName>
    <definedName name="solver_rel165" localSheetId="4" hidden="1">3</definedName>
    <definedName name="solver_rel166" localSheetId="3" hidden="1">3</definedName>
    <definedName name="solver_rel166" localSheetId="4" hidden="1">3</definedName>
    <definedName name="solver_rel167" localSheetId="3" hidden="1">3</definedName>
    <definedName name="solver_rel167" localSheetId="4" hidden="1">3</definedName>
    <definedName name="solver_rel168" localSheetId="3" hidden="1">3</definedName>
    <definedName name="solver_rel168" localSheetId="4" hidden="1">3</definedName>
    <definedName name="solver_rel169" localSheetId="3" hidden="1">3</definedName>
    <definedName name="solver_rel169" localSheetId="4" hidden="1">3</definedName>
    <definedName name="solver_rel17" localSheetId="6" hidden="1">3</definedName>
    <definedName name="solver_rel17" localSheetId="3" hidden="1">3</definedName>
    <definedName name="solver_rel17" localSheetId="4" hidden="1">3</definedName>
    <definedName name="solver_rel170" localSheetId="3" hidden="1">3</definedName>
    <definedName name="solver_rel170" localSheetId="4" hidden="1">3</definedName>
    <definedName name="solver_rel171" localSheetId="3" hidden="1">3</definedName>
    <definedName name="solver_rel171" localSheetId="4" hidden="1">3</definedName>
    <definedName name="solver_rel172" localSheetId="3" hidden="1">3</definedName>
    <definedName name="solver_rel172" localSheetId="4" hidden="1">3</definedName>
    <definedName name="solver_rel173" localSheetId="3" hidden="1">3</definedName>
    <definedName name="solver_rel173" localSheetId="4" hidden="1">3</definedName>
    <definedName name="solver_rel174" localSheetId="3" hidden="1">3</definedName>
    <definedName name="solver_rel174" localSheetId="4" hidden="1">3</definedName>
    <definedName name="solver_rel175" localSheetId="3" hidden="1">3</definedName>
    <definedName name="solver_rel175" localSheetId="4" hidden="1">3</definedName>
    <definedName name="solver_rel176" localSheetId="3" hidden="1">3</definedName>
    <definedName name="solver_rel176" localSheetId="4" hidden="1">3</definedName>
    <definedName name="solver_rel177" localSheetId="3" hidden="1">3</definedName>
    <definedName name="solver_rel177" localSheetId="4" hidden="1">3</definedName>
    <definedName name="solver_rel178" localSheetId="3" hidden="1">3</definedName>
    <definedName name="solver_rel178" localSheetId="4" hidden="1">3</definedName>
    <definedName name="solver_rel179" localSheetId="3" hidden="1">3</definedName>
    <definedName name="solver_rel179" localSheetId="4" hidden="1">3</definedName>
    <definedName name="solver_rel18" localSheetId="6" hidden="1">3</definedName>
    <definedName name="solver_rel18" localSheetId="3" hidden="1">3</definedName>
    <definedName name="solver_rel18" localSheetId="4" hidden="1">3</definedName>
    <definedName name="solver_rel180" localSheetId="3" hidden="1">3</definedName>
    <definedName name="solver_rel180" localSheetId="4" hidden="1">3</definedName>
    <definedName name="solver_rel181" localSheetId="3" hidden="1">3</definedName>
    <definedName name="solver_rel181" localSheetId="4" hidden="1">3</definedName>
    <definedName name="solver_rel182" localSheetId="3" hidden="1">3</definedName>
    <definedName name="solver_rel182" localSheetId="4" hidden="1">3</definedName>
    <definedName name="solver_rel183" localSheetId="3" hidden="1">3</definedName>
    <definedName name="solver_rel183" localSheetId="4" hidden="1">3</definedName>
    <definedName name="solver_rel184" localSheetId="3" hidden="1">3</definedName>
    <definedName name="solver_rel184" localSheetId="4" hidden="1">3</definedName>
    <definedName name="solver_rel185" localSheetId="3" hidden="1">3</definedName>
    <definedName name="solver_rel185" localSheetId="4" hidden="1">3</definedName>
    <definedName name="solver_rel186" localSheetId="3" hidden="1">3</definedName>
    <definedName name="solver_rel186" localSheetId="4" hidden="1">3</definedName>
    <definedName name="solver_rel187" localSheetId="3" hidden="1">3</definedName>
    <definedName name="solver_rel187" localSheetId="4" hidden="1">3</definedName>
    <definedName name="solver_rel188" localSheetId="3" hidden="1">3</definedName>
    <definedName name="solver_rel188" localSheetId="4" hidden="1">3</definedName>
    <definedName name="solver_rel189" localSheetId="3" hidden="1">3</definedName>
    <definedName name="solver_rel189" localSheetId="4" hidden="1">3</definedName>
    <definedName name="solver_rel19" localSheetId="6" hidden="1">3</definedName>
    <definedName name="solver_rel19" localSheetId="3" hidden="1">3</definedName>
    <definedName name="solver_rel19" localSheetId="4" hidden="1">3</definedName>
    <definedName name="solver_rel190" localSheetId="3" hidden="1">3</definedName>
    <definedName name="solver_rel190" localSheetId="4" hidden="1">3</definedName>
    <definedName name="solver_rel191" localSheetId="3" hidden="1">3</definedName>
    <definedName name="solver_rel191" localSheetId="4" hidden="1">3</definedName>
    <definedName name="solver_rel192" localSheetId="3" hidden="1">3</definedName>
    <definedName name="solver_rel192" localSheetId="4" hidden="1">3</definedName>
    <definedName name="solver_rel193" localSheetId="3" hidden="1">3</definedName>
    <definedName name="solver_rel193" localSheetId="4" hidden="1">3</definedName>
    <definedName name="solver_rel194" localSheetId="3" hidden="1">3</definedName>
    <definedName name="solver_rel194" localSheetId="4" hidden="1">3</definedName>
    <definedName name="solver_rel195" localSheetId="3" hidden="1">3</definedName>
    <definedName name="solver_rel195" localSheetId="4" hidden="1">3</definedName>
    <definedName name="solver_rel196" localSheetId="3" hidden="1">3</definedName>
    <definedName name="solver_rel196" localSheetId="4" hidden="1">3</definedName>
    <definedName name="solver_rel197" localSheetId="3" hidden="1">3</definedName>
    <definedName name="solver_rel197" localSheetId="4" hidden="1">3</definedName>
    <definedName name="solver_rel198" localSheetId="3" hidden="1">3</definedName>
    <definedName name="solver_rel198" localSheetId="4" hidden="1">3</definedName>
    <definedName name="solver_rel199" localSheetId="3" hidden="1">3</definedName>
    <definedName name="solver_rel199" localSheetId="4" hidden="1">3</definedName>
    <definedName name="solver_rel2" localSheetId="6" hidden="1">1</definedName>
    <definedName name="solver_rel2" localSheetId="3" hidden="1">3</definedName>
    <definedName name="solver_rel2" localSheetId="4" hidden="1">1</definedName>
    <definedName name="solver_rel2" localSheetId="9" hidden="1">1</definedName>
    <definedName name="solver_rel20" localSheetId="6" hidden="1">3</definedName>
    <definedName name="solver_rel20" localSheetId="3" hidden="1">3</definedName>
    <definedName name="solver_rel20" localSheetId="4" hidden="1">3</definedName>
    <definedName name="solver_rel200" localSheetId="3" hidden="1">3</definedName>
    <definedName name="solver_rel200" localSheetId="4" hidden="1">3</definedName>
    <definedName name="solver_rel201" localSheetId="3" hidden="1">3</definedName>
    <definedName name="solver_rel201" localSheetId="4" hidden="1">3</definedName>
    <definedName name="solver_rel202" localSheetId="3" hidden="1">3</definedName>
    <definedName name="solver_rel202" localSheetId="4" hidden="1">3</definedName>
    <definedName name="solver_rel203" localSheetId="3" hidden="1">3</definedName>
    <definedName name="solver_rel203" localSheetId="4" hidden="1">3</definedName>
    <definedName name="solver_rel204" localSheetId="3" hidden="1">3</definedName>
    <definedName name="solver_rel204" localSheetId="4" hidden="1">3</definedName>
    <definedName name="solver_rel205" localSheetId="3" hidden="1">3</definedName>
    <definedName name="solver_rel205" localSheetId="4" hidden="1">3</definedName>
    <definedName name="solver_rel206" localSheetId="3" hidden="1">3</definedName>
    <definedName name="solver_rel206" localSheetId="4" hidden="1">3</definedName>
    <definedName name="solver_rel207" localSheetId="3" hidden="1">3</definedName>
    <definedName name="solver_rel207" localSheetId="4" hidden="1">3</definedName>
    <definedName name="solver_rel208" localSheetId="3" hidden="1">3</definedName>
    <definedName name="solver_rel208" localSheetId="4" hidden="1">3</definedName>
    <definedName name="solver_rel209" localSheetId="3" hidden="1">3</definedName>
    <definedName name="solver_rel209" localSheetId="4" hidden="1">3</definedName>
    <definedName name="solver_rel21" localSheetId="6" hidden="1">3</definedName>
    <definedName name="solver_rel21" localSheetId="3" hidden="1">3</definedName>
    <definedName name="solver_rel21" localSheetId="4" hidden="1">3</definedName>
    <definedName name="solver_rel210" localSheetId="3" hidden="1">3</definedName>
    <definedName name="solver_rel210" localSheetId="4" hidden="1">3</definedName>
    <definedName name="solver_rel211" localSheetId="3" hidden="1">3</definedName>
    <definedName name="solver_rel211" localSheetId="4" hidden="1">3</definedName>
    <definedName name="solver_rel212" localSheetId="3" hidden="1">3</definedName>
    <definedName name="solver_rel212" localSheetId="4" hidden="1">3</definedName>
    <definedName name="solver_rel213" localSheetId="3" hidden="1">3</definedName>
    <definedName name="solver_rel213" localSheetId="4" hidden="1">3</definedName>
    <definedName name="solver_rel214" localSheetId="3" hidden="1">3</definedName>
    <definedName name="solver_rel214" localSheetId="4" hidden="1">3</definedName>
    <definedName name="solver_rel215" localSheetId="3" hidden="1">3</definedName>
    <definedName name="solver_rel215" localSheetId="4" hidden="1">3</definedName>
    <definedName name="solver_rel216" localSheetId="3" hidden="1">3</definedName>
    <definedName name="solver_rel216" localSheetId="4" hidden="1">3</definedName>
    <definedName name="solver_rel217" localSheetId="3" hidden="1">3</definedName>
    <definedName name="solver_rel217" localSheetId="4" hidden="1">3</definedName>
    <definedName name="solver_rel218" localSheetId="3" hidden="1">3</definedName>
    <definedName name="solver_rel218" localSheetId="4" hidden="1">3</definedName>
    <definedName name="solver_rel219" localSheetId="3" hidden="1">3</definedName>
    <definedName name="solver_rel219" localSheetId="4" hidden="1">3</definedName>
    <definedName name="solver_rel22" localSheetId="6" hidden="1">3</definedName>
    <definedName name="solver_rel22" localSheetId="3" hidden="1">3</definedName>
    <definedName name="solver_rel22" localSheetId="4" hidden="1">3</definedName>
    <definedName name="solver_rel220" localSheetId="3" hidden="1">3</definedName>
    <definedName name="solver_rel220" localSheetId="4" hidden="1">3</definedName>
    <definedName name="solver_rel221" localSheetId="3" hidden="1">3</definedName>
    <definedName name="solver_rel221" localSheetId="4" hidden="1">3</definedName>
    <definedName name="solver_rel222" localSheetId="3" hidden="1">3</definedName>
    <definedName name="solver_rel222" localSheetId="4" hidden="1">3</definedName>
    <definedName name="solver_rel223" localSheetId="3" hidden="1">3</definedName>
    <definedName name="solver_rel223" localSheetId="4" hidden="1">3</definedName>
    <definedName name="solver_rel224" localSheetId="3" hidden="1">3</definedName>
    <definedName name="solver_rel224" localSheetId="4" hidden="1">3</definedName>
    <definedName name="solver_rel225" localSheetId="3" hidden="1">3</definedName>
    <definedName name="solver_rel225" localSheetId="4" hidden="1">3</definedName>
    <definedName name="solver_rel226" localSheetId="3" hidden="1">3</definedName>
    <definedName name="solver_rel226" localSheetId="4" hidden="1">3</definedName>
    <definedName name="solver_rel227" localSheetId="3" hidden="1">3</definedName>
    <definedName name="solver_rel227" localSheetId="4" hidden="1">3</definedName>
    <definedName name="solver_rel228" localSheetId="3" hidden="1">3</definedName>
    <definedName name="solver_rel228" localSheetId="4" hidden="1">3</definedName>
    <definedName name="solver_rel229" localSheetId="3" hidden="1">3</definedName>
    <definedName name="solver_rel229" localSheetId="4" hidden="1">3</definedName>
    <definedName name="solver_rel23" localSheetId="6" hidden="1">3</definedName>
    <definedName name="solver_rel23" localSheetId="3" hidden="1">3</definedName>
    <definedName name="solver_rel23" localSheetId="4" hidden="1">3</definedName>
    <definedName name="solver_rel230" localSheetId="3" hidden="1">3</definedName>
    <definedName name="solver_rel230" localSheetId="4" hidden="1">3</definedName>
    <definedName name="solver_rel231" localSheetId="3" hidden="1">3</definedName>
    <definedName name="solver_rel231" localSheetId="4" hidden="1">3</definedName>
    <definedName name="solver_rel232" localSheetId="3" hidden="1">3</definedName>
    <definedName name="solver_rel232" localSheetId="4" hidden="1">3</definedName>
    <definedName name="solver_rel233" localSheetId="3" hidden="1">3</definedName>
    <definedName name="solver_rel233" localSheetId="4" hidden="1">3</definedName>
    <definedName name="solver_rel234" localSheetId="3" hidden="1">3</definedName>
    <definedName name="solver_rel234" localSheetId="4" hidden="1">3</definedName>
    <definedName name="solver_rel235" localSheetId="3" hidden="1">3</definedName>
    <definedName name="solver_rel235" localSheetId="4" hidden="1">3</definedName>
    <definedName name="solver_rel236" localSheetId="3" hidden="1">3</definedName>
    <definedName name="solver_rel236" localSheetId="4" hidden="1">3</definedName>
    <definedName name="solver_rel237" localSheetId="3" hidden="1">3</definedName>
    <definedName name="solver_rel237" localSheetId="4" hidden="1">3</definedName>
    <definedName name="solver_rel238" localSheetId="3" hidden="1">3</definedName>
    <definedName name="solver_rel238" localSheetId="4" hidden="1">3</definedName>
    <definedName name="solver_rel239" localSheetId="3" hidden="1">3</definedName>
    <definedName name="solver_rel239" localSheetId="4" hidden="1">3</definedName>
    <definedName name="solver_rel24" localSheetId="6" hidden="1">3</definedName>
    <definedName name="solver_rel24" localSheetId="3" hidden="1">3</definedName>
    <definedName name="solver_rel24" localSheetId="4" hidden="1">3</definedName>
    <definedName name="solver_rel240" localSheetId="3" hidden="1">3</definedName>
    <definedName name="solver_rel240" localSheetId="4" hidden="1">3</definedName>
    <definedName name="solver_rel241" localSheetId="3" hidden="1">3</definedName>
    <definedName name="solver_rel241" localSheetId="4" hidden="1">3</definedName>
    <definedName name="solver_rel242" localSheetId="3" hidden="1">3</definedName>
    <definedName name="solver_rel242" localSheetId="4" hidden="1">3</definedName>
    <definedName name="solver_rel243" localSheetId="3" hidden="1">3</definedName>
    <definedName name="solver_rel243" localSheetId="4" hidden="1">3</definedName>
    <definedName name="solver_rel244" localSheetId="3" hidden="1">3</definedName>
    <definedName name="solver_rel244" localSheetId="4" hidden="1">3</definedName>
    <definedName name="solver_rel245" localSheetId="3" hidden="1">3</definedName>
    <definedName name="solver_rel245" localSheetId="4" hidden="1">3</definedName>
    <definedName name="solver_rel246" localSheetId="3" hidden="1">3</definedName>
    <definedName name="solver_rel246" localSheetId="4" hidden="1">3</definedName>
    <definedName name="solver_rel247" localSheetId="3" hidden="1">3</definedName>
    <definedName name="solver_rel247" localSheetId="4" hidden="1">3</definedName>
    <definedName name="solver_rel248" localSheetId="3" hidden="1">3</definedName>
    <definedName name="solver_rel248" localSheetId="4" hidden="1">3</definedName>
    <definedName name="solver_rel249" localSheetId="3" hidden="1">3</definedName>
    <definedName name="solver_rel249" localSheetId="4" hidden="1">3</definedName>
    <definedName name="solver_rel25" localSheetId="6" hidden="1">3</definedName>
    <definedName name="solver_rel25" localSheetId="3" hidden="1">3</definedName>
    <definedName name="solver_rel25" localSheetId="4" hidden="1">3</definedName>
    <definedName name="solver_rel250" localSheetId="3" hidden="1">3</definedName>
    <definedName name="solver_rel250" localSheetId="4" hidden="1">3</definedName>
    <definedName name="solver_rel26" localSheetId="6" hidden="1">3</definedName>
    <definedName name="solver_rel26" localSheetId="3" hidden="1">3</definedName>
    <definedName name="solver_rel26" localSheetId="4" hidden="1">3</definedName>
    <definedName name="solver_rel27" localSheetId="6" hidden="1">3</definedName>
    <definedName name="solver_rel27" localSheetId="3" hidden="1">3</definedName>
    <definedName name="solver_rel27" localSheetId="4" hidden="1">3</definedName>
    <definedName name="solver_rel28" localSheetId="6" hidden="1">3</definedName>
    <definedName name="solver_rel28" localSheetId="3" hidden="1">3</definedName>
    <definedName name="solver_rel28" localSheetId="4" hidden="1">3</definedName>
    <definedName name="solver_rel29" localSheetId="6" hidden="1">3</definedName>
    <definedName name="solver_rel29" localSheetId="3" hidden="1">3</definedName>
    <definedName name="solver_rel29" localSheetId="4" hidden="1">3</definedName>
    <definedName name="solver_rel3" localSheetId="6" hidden="1">3</definedName>
    <definedName name="solver_rel3" localSheetId="3" hidden="1">3</definedName>
    <definedName name="solver_rel3" localSheetId="4" hidden="1">3</definedName>
    <definedName name="solver_rel3" localSheetId="9" hidden="1">1</definedName>
    <definedName name="solver_rel30" localSheetId="6" hidden="1">3</definedName>
    <definedName name="solver_rel30" localSheetId="3" hidden="1">3</definedName>
    <definedName name="solver_rel30" localSheetId="4" hidden="1">3</definedName>
    <definedName name="solver_rel31" localSheetId="6" hidden="1">3</definedName>
    <definedName name="solver_rel31" localSheetId="3" hidden="1">3</definedName>
    <definedName name="solver_rel31" localSheetId="4" hidden="1">3</definedName>
    <definedName name="solver_rel32" localSheetId="6" hidden="1">3</definedName>
    <definedName name="solver_rel32" localSheetId="3" hidden="1">3</definedName>
    <definedName name="solver_rel32" localSheetId="4" hidden="1">3</definedName>
    <definedName name="solver_rel33" localSheetId="6" hidden="1">3</definedName>
    <definedName name="solver_rel33" localSheetId="3" hidden="1">3</definedName>
    <definedName name="solver_rel33" localSheetId="4" hidden="1">3</definedName>
    <definedName name="solver_rel34" localSheetId="6" hidden="1">3</definedName>
    <definedName name="solver_rel34" localSheetId="3" hidden="1">3</definedName>
    <definedName name="solver_rel34" localSheetId="4" hidden="1">3</definedName>
    <definedName name="solver_rel35" localSheetId="6" hidden="1">3</definedName>
    <definedName name="solver_rel35" localSheetId="3" hidden="1">3</definedName>
    <definedName name="solver_rel35" localSheetId="4" hidden="1">3</definedName>
    <definedName name="solver_rel36" localSheetId="6" hidden="1">3</definedName>
    <definedName name="solver_rel36" localSheetId="3" hidden="1">3</definedName>
    <definedName name="solver_rel36" localSheetId="4" hidden="1">3</definedName>
    <definedName name="solver_rel37" localSheetId="6" hidden="1">3</definedName>
    <definedName name="solver_rel37" localSheetId="3" hidden="1">3</definedName>
    <definedName name="solver_rel37" localSheetId="4" hidden="1">3</definedName>
    <definedName name="solver_rel38" localSheetId="6" hidden="1">3</definedName>
    <definedName name="solver_rel38" localSheetId="3" hidden="1">3</definedName>
    <definedName name="solver_rel38" localSheetId="4" hidden="1">3</definedName>
    <definedName name="solver_rel39" localSheetId="6" hidden="1">3</definedName>
    <definedName name="solver_rel39" localSheetId="3" hidden="1">3</definedName>
    <definedName name="solver_rel39" localSheetId="4" hidden="1">3</definedName>
    <definedName name="solver_rel4" localSheetId="6" hidden="1">1</definedName>
    <definedName name="solver_rel4" localSheetId="3" hidden="1">3</definedName>
    <definedName name="solver_rel4" localSheetId="4" hidden="1">1</definedName>
    <definedName name="solver_rel4" localSheetId="9" hidden="1">3</definedName>
    <definedName name="solver_rel40" localSheetId="6" hidden="1">3</definedName>
    <definedName name="solver_rel40" localSheetId="3" hidden="1">3</definedName>
    <definedName name="solver_rel40" localSheetId="4" hidden="1">3</definedName>
    <definedName name="solver_rel41" localSheetId="6" hidden="1">3</definedName>
    <definedName name="solver_rel41" localSheetId="3" hidden="1">3</definedName>
    <definedName name="solver_rel41" localSheetId="4" hidden="1">3</definedName>
    <definedName name="solver_rel42" localSheetId="6" hidden="1">3</definedName>
    <definedName name="solver_rel42" localSheetId="3" hidden="1">3</definedName>
    <definedName name="solver_rel42" localSheetId="4" hidden="1">3</definedName>
    <definedName name="solver_rel43" localSheetId="6" hidden="1">3</definedName>
    <definedName name="solver_rel43" localSheetId="3" hidden="1">3</definedName>
    <definedName name="solver_rel43" localSheetId="4" hidden="1">3</definedName>
    <definedName name="solver_rel44" localSheetId="6" hidden="1">3</definedName>
    <definedName name="solver_rel44" localSheetId="3" hidden="1">3</definedName>
    <definedName name="solver_rel44" localSheetId="4" hidden="1">3</definedName>
    <definedName name="solver_rel45" localSheetId="6" hidden="1">3</definedName>
    <definedName name="solver_rel45" localSheetId="3" hidden="1">3</definedName>
    <definedName name="solver_rel45" localSheetId="4" hidden="1">3</definedName>
    <definedName name="solver_rel46" localSheetId="6" hidden="1">3</definedName>
    <definedName name="solver_rel46" localSheetId="3" hidden="1">3</definedName>
    <definedName name="solver_rel46" localSheetId="4" hidden="1">3</definedName>
    <definedName name="solver_rel47" localSheetId="6" hidden="1">3</definedName>
    <definedName name="solver_rel47" localSheetId="3" hidden="1">3</definedName>
    <definedName name="solver_rel47" localSheetId="4" hidden="1">3</definedName>
    <definedName name="solver_rel48" localSheetId="6" hidden="1">3</definedName>
    <definedName name="solver_rel48" localSheetId="3" hidden="1">3</definedName>
    <definedName name="solver_rel48" localSheetId="4" hidden="1">3</definedName>
    <definedName name="solver_rel49" localSheetId="6" hidden="1">3</definedName>
    <definedName name="solver_rel49" localSheetId="3" hidden="1">3</definedName>
    <definedName name="solver_rel49" localSheetId="4" hidden="1">3</definedName>
    <definedName name="solver_rel5" localSheetId="6" hidden="1">3</definedName>
    <definedName name="solver_rel5" localSheetId="3" hidden="1">3</definedName>
    <definedName name="solver_rel5" localSheetId="4" hidden="1">3</definedName>
    <definedName name="solver_rel5" localSheetId="9" hidden="1">1</definedName>
    <definedName name="solver_rel50" localSheetId="6" hidden="1">3</definedName>
    <definedName name="solver_rel50" localSheetId="3" hidden="1">3</definedName>
    <definedName name="solver_rel50" localSheetId="4" hidden="1">3</definedName>
    <definedName name="solver_rel51" localSheetId="6" hidden="1">3</definedName>
    <definedName name="solver_rel51" localSheetId="3" hidden="1">3</definedName>
    <definedName name="solver_rel51" localSheetId="4" hidden="1">3</definedName>
    <definedName name="solver_rel52" localSheetId="6" hidden="1">3</definedName>
    <definedName name="solver_rel52" localSheetId="3" hidden="1">3</definedName>
    <definedName name="solver_rel52" localSheetId="4" hidden="1">3</definedName>
    <definedName name="solver_rel53" localSheetId="6" hidden="1">3</definedName>
    <definedName name="solver_rel53" localSheetId="3" hidden="1">3</definedName>
    <definedName name="solver_rel53" localSheetId="4" hidden="1">3</definedName>
    <definedName name="solver_rel54" localSheetId="6" hidden="1">3</definedName>
    <definedName name="solver_rel54" localSheetId="3" hidden="1">3</definedName>
    <definedName name="solver_rel54" localSheetId="4" hidden="1">3</definedName>
    <definedName name="solver_rel55" localSheetId="6" hidden="1">3</definedName>
    <definedName name="solver_rel55" localSheetId="3" hidden="1">3</definedName>
    <definedName name="solver_rel55" localSheetId="4" hidden="1">3</definedName>
    <definedName name="solver_rel56" localSheetId="6" hidden="1">3</definedName>
    <definedName name="solver_rel56" localSheetId="3" hidden="1">3</definedName>
    <definedName name="solver_rel56" localSheetId="4" hidden="1">3</definedName>
    <definedName name="solver_rel57" localSheetId="6" hidden="1">3</definedName>
    <definedName name="solver_rel57" localSheetId="3" hidden="1">3</definedName>
    <definedName name="solver_rel57" localSheetId="4" hidden="1">3</definedName>
    <definedName name="solver_rel58" localSheetId="6" hidden="1">3</definedName>
    <definedName name="solver_rel58" localSheetId="3" hidden="1">3</definedName>
    <definedName name="solver_rel58" localSheetId="4" hidden="1">3</definedName>
    <definedName name="solver_rel59" localSheetId="6" hidden="1">3</definedName>
    <definedName name="solver_rel59" localSheetId="3" hidden="1">3</definedName>
    <definedName name="solver_rel59" localSheetId="4" hidden="1">3</definedName>
    <definedName name="solver_rel6" localSheetId="6" hidden="1">1</definedName>
    <definedName name="solver_rel6" localSheetId="3" hidden="1">3</definedName>
    <definedName name="solver_rel6" localSheetId="4" hidden="1">1</definedName>
    <definedName name="solver_rel6" localSheetId="9" hidden="1">1</definedName>
    <definedName name="solver_rel60" localSheetId="6" hidden="1">3</definedName>
    <definedName name="solver_rel60" localSheetId="3" hidden="1">3</definedName>
    <definedName name="solver_rel60" localSheetId="4" hidden="1">3</definedName>
    <definedName name="solver_rel61" localSheetId="6" hidden="1">3</definedName>
    <definedName name="solver_rel61" localSheetId="3" hidden="1">3</definedName>
    <definedName name="solver_rel61" localSheetId="4" hidden="1">3</definedName>
    <definedName name="solver_rel62" localSheetId="6" hidden="1">3</definedName>
    <definedName name="solver_rel62" localSheetId="3" hidden="1">1</definedName>
    <definedName name="solver_rel62" localSheetId="4" hidden="1">1</definedName>
    <definedName name="solver_rel63" localSheetId="6" hidden="1">3</definedName>
    <definedName name="solver_rel63" localSheetId="3" hidden="1">1</definedName>
    <definedName name="solver_rel63" localSheetId="4" hidden="1">1</definedName>
    <definedName name="solver_rel64" localSheetId="6" hidden="1">3</definedName>
    <definedName name="solver_rel64" localSheetId="3" hidden="1">1</definedName>
    <definedName name="solver_rel64" localSheetId="4" hidden="1">1</definedName>
    <definedName name="solver_rel65" localSheetId="3" hidden="1">1</definedName>
    <definedName name="solver_rel65" localSheetId="4" hidden="1">1</definedName>
    <definedName name="solver_rel66" localSheetId="3" hidden="1">1</definedName>
    <definedName name="solver_rel66" localSheetId="4" hidden="1">1</definedName>
    <definedName name="solver_rel67" localSheetId="3" hidden="1">1</definedName>
    <definedName name="solver_rel67" localSheetId="4" hidden="1">1</definedName>
    <definedName name="solver_rel68" localSheetId="3" hidden="1">1</definedName>
    <definedName name="solver_rel68" localSheetId="4" hidden="1">1</definedName>
    <definedName name="solver_rel69" localSheetId="3" hidden="1">1</definedName>
    <definedName name="solver_rel69" localSheetId="4" hidden="1">1</definedName>
    <definedName name="solver_rel7" localSheetId="6" hidden="1">3</definedName>
    <definedName name="solver_rel7" localSheetId="3" hidden="1">1</definedName>
    <definedName name="solver_rel7" localSheetId="4" hidden="1">1</definedName>
    <definedName name="solver_rel7" localSheetId="9" hidden="1">3</definedName>
    <definedName name="solver_rel70" localSheetId="3" hidden="1">1</definedName>
    <definedName name="solver_rel70" localSheetId="4" hidden="1">1</definedName>
    <definedName name="solver_rel71" localSheetId="3" hidden="1">1</definedName>
    <definedName name="solver_rel71" localSheetId="4" hidden="1">1</definedName>
    <definedName name="solver_rel72" localSheetId="3" hidden="1">1</definedName>
    <definedName name="solver_rel72" localSheetId="4" hidden="1">1</definedName>
    <definedName name="solver_rel73" localSheetId="3" hidden="1">1</definedName>
    <definedName name="solver_rel73" localSheetId="4" hidden="1">1</definedName>
    <definedName name="solver_rel74" localSheetId="3" hidden="1">1</definedName>
    <definedName name="solver_rel74" localSheetId="4" hidden="1">1</definedName>
    <definedName name="solver_rel75" localSheetId="3" hidden="1">1</definedName>
    <definedName name="solver_rel75" localSheetId="4" hidden="1">1</definedName>
    <definedName name="solver_rel76" localSheetId="3" hidden="1">1</definedName>
    <definedName name="solver_rel76" localSheetId="4" hidden="1">1</definedName>
    <definedName name="solver_rel77" localSheetId="3" hidden="1">1</definedName>
    <definedName name="solver_rel77" localSheetId="4" hidden="1">1</definedName>
    <definedName name="solver_rel78" localSheetId="3" hidden="1">1</definedName>
    <definedName name="solver_rel78" localSheetId="4" hidden="1">1</definedName>
    <definedName name="solver_rel79" localSheetId="3" hidden="1">1</definedName>
    <definedName name="solver_rel79" localSheetId="4" hidden="1">1</definedName>
    <definedName name="solver_rel8" localSheetId="6" hidden="1">1</definedName>
    <definedName name="solver_rel8" localSheetId="3" hidden="1">2</definedName>
    <definedName name="solver_rel8" localSheetId="4" hidden="1">2</definedName>
    <definedName name="solver_rel8" localSheetId="9" hidden="1">3</definedName>
    <definedName name="solver_rel80" localSheetId="3" hidden="1">1</definedName>
    <definedName name="solver_rel80" localSheetId="4" hidden="1">1</definedName>
    <definedName name="solver_rel81" localSheetId="3" hidden="1">1</definedName>
    <definedName name="solver_rel81" localSheetId="4" hidden="1">1</definedName>
    <definedName name="solver_rel82" localSheetId="3" hidden="1">1</definedName>
    <definedName name="solver_rel82" localSheetId="4" hidden="1">1</definedName>
    <definedName name="solver_rel83" localSheetId="3" hidden="1">1</definedName>
    <definedName name="solver_rel83" localSheetId="4" hidden="1">1</definedName>
    <definedName name="solver_rel84" localSheetId="3" hidden="1">1</definedName>
    <definedName name="solver_rel84" localSheetId="4" hidden="1">1</definedName>
    <definedName name="solver_rel85" localSheetId="3" hidden="1">1</definedName>
    <definedName name="solver_rel85" localSheetId="4" hidden="1">1</definedName>
    <definedName name="solver_rel86" localSheetId="3" hidden="1">1</definedName>
    <definedName name="solver_rel86" localSheetId="4" hidden="1">1</definedName>
    <definedName name="solver_rel87" localSheetId="3" hidden="1">1</definedName>
    <definedName name="solver_rel87" localSheetId="4" hidden="1">1</definedName>
    <definedName name="solver_rel88" localSheetId="3" hidden="1">1</definedName>
    <definedName name="solver_rel88" localSheetId="4" hidden="1">1</definedName>
    <definedName name="solver_rel89" localSheetId="3" hidden="1">1</definedName>
    <definedName name="solver_rel89" localSheetId="4" hidden="1">1</definedName>
    <definedName name="solver_rel9" localSheetId="6" hidden="1">1</definedName>
    <definedName name="solver_rel9" localSheetId="3" hidden="1">3</definedName>
    <definedName name="solver_rel9" localSheetId="4" hidden="1">3</definedName>
    <definedName name="solver_rel9" localSheetId="9" hidden="1">1</definedName>
    <definedName name="solver_rel90" localSheetId="3" hidden="1">1</definedName>
    <definedName name="solver_rel90" localSheetId="4" hidden="1">1</definedName>
    <definedName name="solver_rel91" localSheetId="3" hidden="1">1</definedName>
    <definedName name="solver_rel91" localSheetId="4" hidden="1">1</definedName>
    <definedName name="solver_rel92" localSheetId="3" hidden="1">1</definedName>
    <definedName name="solver_rel92" localSheetId="4" hidden="1">1</definedName>
    <definedName name="solver_rel93" localSheetId="3" hidden="1">1</definedName>
    <definedName name="solver_rel93" localSheetId="4" hidden="1">1</definedName>
    <definedName name="solver_rel94" localSheetId="3" hidden="1">1</definedName>
    <definedName name="solver_rel94" localSheetId="4" hidden="1">1</definedName>
    <definedName name="solver_rel95" localSheetId="3" hidden="1">1</definedName>
    <definedName name="solver_rel95" localSheetId="4" hidden="1">1</definedName>
    <definedName name="solver_rel96" localSheetId="3" hidden="1">1</definedName>
    <definedName name="solver_rel96" localSheetId="4" hidden="1">1</definedName>
    <definedName name="solver_rel97" localSheetId="3" hidden="1">1</definedName>
    <definedName name="solver_rel97" localSheetId="4" hidden="1">1</definedName>
    <definedName name="solver_rel98" localSheetId="3" hidden="1">1</definedName>
    <definedName name="solver_rel98" localSheetId="4" hidden="1">1</definedName>
    <definedName name="solver_rel99" localSheetId="3" hidden="1">1</definedName>
    <definedName name="solver_rel99" localSheetId="4" hidden="1">1</definedName>
    <definedName name="solver_rhs1" localSheetId="6" hidden="1">0.00000001</definedName>
    <definedName name="solver_rhs1" localSheetId="3" hidden="1">1</definedName>
    <definedName name="solver_rhs1" localSheetId="4" hidden="1">0.00000001</definedName>
    <definedName name="solver_rhs1" localSheetId="9" hidden="1">1</definedName>
    <definedName name="solver_rhs10" localSheetId="6" hidden="1">800</definedName>
    <definedName name="solver_rhs10" localSheetId="3" hidden="1">0.25</definedName>
    <definedName name="solver_rhs10" localSheetId="4" hidden="1">0.25</definedName>
    <definedName name="solver_rhs10" localSheetId="9" hidden="1">0.00000001</definedName>
    <definedName name="solver_rhs100" localSheetId="3" hidden="1">1</definedName>
    <definedName name="solver_rhs100" localSheetId="4" hidden="1">1</definedName>
    <definedName name="solver_rhs101" localSheetId="3" hidden="1">1</definedName>
    <definedName name="solver_rhs101" localSheetId="4" hidden="1">1</definedName>
    <definedName name="solver_rhs102" localSheetId="3" hidden="1">1</definedName>
    <definedName name="solver_rhs102" localSheetId="4" hidden="1">1</definedName>
    <definedName name="solver_rhs103" localSheetId="3" hidden="1">1</definedName>
    <definedName name="solver_rhs103" localSheetId="4" hidden="1">1</definedName>
    <definedName name="solver_rhs104" localSheetId="3" hidden="1">1</definedName>
    <definedName name="solver_rhs104" localSheetId="4" hidden="1">1</definedName>
    <definedName name="solver_rhs105" localSheetId="3" hidden="1">1</definedName>
    <definedName name="solver_rhs105" localSheetId="4" hidden="1">1</definedName>
    <definedName name="solver_rhs106" localSheetId="3" hidden="1">1</definedName>
    <definedName name="solver_rhs106" localSheetId="4" hidden="1">1</definedName>
    <definedName name="solver_rhs107" localSheetId="3" hidden="1">1</definedName>
    <definedName name="solver_rhs107" localSheetId="4" hidden="1">1</definedName>
    <definedName name="solver_rhs108" localSheetId="3" hidden="1">1</definedName>
    <definedName name="solver_rhs108" localSheetId="4" hidden="1">1</definedName>
    <definedName name="solver_rhs109" localSheetId="3" hidden="1">1</definedName>
    <definedName name="solver_rhs109" localSheetId="4" hidden="1">1</definedName>
    <definedName name="solver_rhs11" localSheetId="6" hidden="1">fitting!$B$29</definedName>
    <definedName name="solver_rhs11" localSheetId="3" hidden="1">0.0001</definedName>
    <definedName name="solver_rhs11" localSheetId="4" hidden="1">0.0001</definedName>
    <definedName name="solver_rhs110" localSheetId="3" hidden="1">1</definedName>
    <definedName name="solver_rhs110" localSheetId="4" hidden="1">1</definedName>
    <definedName name="solver_rhs111" localSheetId="3" hidden="1">1</definedName>
    <definedName name="solver_rhs111" localSheetId="4" hidden="1">1</definedName>
    <definedName name="solver_rhs112" localSheetId="3" hidden="1">1</definedName>
    <definedName name="solver_rhs112" localSheetId="4" hidden="1">1</definedName>
    <definedName name="solver_rhs113" localSheetId="3" hidden="1">1</definedName>
    <definedName name="solver_rhs113" localSheetId="4" hidden="1">1</definedName>
    <definedName name="solver_rhs114" localSheetId="3" hidden="1">1</definedName>
    <definedName name="solver_rhs114" localSheetId="4" hidden="1">1</definedName>
    <definedName name="solver_rhs115" localSheetId="3" hidden="1">1</definedName>
    <definedName name="solver_rhs115" localSheetId="4" hidden="1">1</definedName>
    <definedName name="solver_rhs116" localSheetId="3" hidden="1">1</definedName>
    <definedName name="solver_rhs116" localSheetId="4" hidden="1">1</definedName>
    <definedName name="solver_rhs117" localSheetId="3" hidden="1">1</definedName>
    <definedName name="solver_rhs117" localSheetId="4" hidden="1">1</definedName>
    <definedName name="solver_rhs118" localSheetId="3" hidden="1">1</definedName>
    <definedName name="solver_rhs118" localSheetId="4" hidden="1">1</definedName>
    <definedName name="solver_rhs119" localSheetId="3" hidden="1">1</definedName>
    <definedName name="solver_rhs119" localSheetId="4" hidden="1">1</definedName>
    <definedName name="solver_rhs12" localSheetId="6" hidden="1">1</definedName>
    <definedName name="solver_rhs12" localSheetId="3" hidden="1">0.0001</definedName>
    <definedName name="solver_rhs12" localSheetId="4" hidden="1">0.0001</definedName>
    <definedName name="solver_rhs120" localSheetId="3" hidden="1">1</definedName>
    <definedName name="solver_rhs120" localSheetId="4" hidden="1">1</definedName>
    <definedName name="solver_rhs121" localSheetId="3" hidden="1">1</definedName>
    <definedName name="solver_rhs121" localSheetId="4" hidden="1">1</definedName>
    <definedName name="solver_rhs122" localSheetId="3" hidden="1">1</definedName>
    <definedName name="solver_rhs122" localSheetId="4" hidden="1">1</definedName>
    <definedName name="solver_rhs123" localSheetId="3" hidden="1">1</definedName>
    <definedName name="solver_rhs123" localSheetId="4" hidden="1">1</definedName>
    <definedName name="solver_rhs124" localSheetId="3" hidden="1">1</definedName>
    <definedName name="solver_rhs124" localSheetId="4" hidden="1">1</definedName>
    <definedName name="solver_rhs125" localSheetId="3" hidden="1">0</definedName>
    <definedName name="solver_rhs125" localSheetId="4" hidden="1">0</definedName>
    <definedName name="solver_rhs126" localSheetId="3" hidden="1">1</definedName>
    <definedName name="solver_rhs126" localSheetId="4" hidden="1">1</definedName>
    <definedName name="solver_rhs127" localSheetId="3" hidden="1">0</definedName>
    <definedName name="solver_rhs127" localSheetId="4" hidden="1">0</definedName>
    <definedName name="solver_rhs128" localSheetId="3" hidden="1">0</definedName>
    <definedName name="solver_rhs128" localSheetId="4" hidden="1">0</definedName>
    <definedName name="solver_rhs129" localSheetId="3" hidden="1">0</definedName>
    <definedName name="solver_rhs129" localSheetId="4" hidden="1">0</definedName>
    <definedName name="solver_rhs13" localSheetId="6" hidden="1">0.00000001</definedName>
    <definedName name="solver_rhs13" localSheetId="3" hidden="1">0.0001</definedName>
    <definedName name="solver_rhs13" localSheetId="4" hidden="1">0.0001</definedName>
    <definedName name="solver_rhs130" localSheetId="3" hidden="1">0</definedName>
    <definedName name="solver_rhs130" localSheetId="4" hidden="1">0</definedName>
    <definedName name="solver_rhs131" localSheetId="3" hidden="1">0</definedName>
    <definedName name="solver_rhs131" localSheetId="4" hidden="1">0</definedName>
    <definedName name="solver_rhs132" localSheetId="3" hidden="1">0</definedName>
    <definedName name="solver_rhs132" localSheetId="4" hidden="1">0</definedName>
    <definedName name="solver_rhs133" localSheetId="3" hidden="1">0</definedName>
    <definedName name="solver_rhs133" localSheetId="4" hidden="1">0</definedName>
    <definedName name="solver_rhs134" localSheetId="3" hidden="1">0</definedName>
    <definedName name="solver_rhs134" localSheetId="4" hidden="1">0</definedName>
    <definedName name="solver_rhs135" localSheetId="3" hidden="1">0</definedName>
    <definedName name="solver_rhs135" localSheetId="4" hidden="1">0</definedName>
    <definedName name="solver_rhs136" localSheetId="3" hidden="1">0</definedName>
    <definedName name="solver_rhs136" localSheetId="4" hidden="1">0</definedName>
    <definedName name="solver_rhs137" localSheetId="3" hidden="1">0</definedName>
    <definedName name="solver_rhs137" localSheetId="4" hidden="1">0</definedName>
    <definedName name="solver_rhs138" localSheetId="3" hidden="1">0</definedName>
    <definedName name="solver_rhs138" localSheetId="4" hidden="1">0</definedName>
    <definedName name="solver_rhs139" localSheetId="3" hidden="1">0</definedName>
    <definedName name="solver_rhs139" localSheetId="4" hidden="1">0</definedName>
    <definedName name="solver_rhs14" localSheetId="6" hidden="1">0.00000001</definedName>
    <definedName name="solver_rhs14" localSheetId="3" hidden="1">0.0001</definedName>
    <definedName name="solver_rhs14" localSheetId="4" hidden="1">0.0001</definedName>
    <definedName name="solver_rhs140" localSheetId="3" hidden="1">0</definedName>
    <definedName name="solver_rhs140" localSheetId="4" hidden="1">0</definedName>
    <definedName name="solver_rhs141" localSheetId="3" hidden="1">0</definedName>
    <definedName name="solver_rhs141" localSheetId="4" hidden="1">0</definedName>
    <definedName name="solver_rhs142" localSheetId="3" hidden="1">0</definedName>
    <definedName name="solver_rhs142" localSheetId="4" hidden="1">0</definedName>
    <definedName name="solver_rhs143" localSheetId="3" hidden="1">0</definedName>
    <definedName name="solver_rhs143" localSheetId="4" hidden="1">0</definedName>
    <definedName name="solver_rhs144" localSheetId="3" hidden="1">0</definedName>
    <definedName name="solver_rhs144" localSheetId="4" hidden="1">0</definedName>
    <definedName name="solver_rhs145" localSheetId="3" hidden="1">0</definedName>
    <definedName name="solver_rhs145" localSheetId="4" hidden="1">0</definedName>
    <definedName name="solver_rhs146" localSheetId="3" hidden="1">0</definedName>
    <definedName name="solver_rhs146" localSheetId="4" hidden="1">0</definedName>
    <definedName name="solver_rhs147" localSheetId="3" hidden="1">0</definedName>
    <definedName name="solver_rhs147" localSheetId="4" hidden="1">0</definedName>
    <definedName name="solver_rhs148" localSheetId="3" hidden="1">0</definedName>
    <definedName name="solver_rhs148" localSheetId="4" hidden="1">0</definedName>
    <definedName name="solver_rhs149" localSheetId="3" hidden="1">0</definedName>
    <definedName name="solver_rhs149" localSheetId="4" hidden="1">0</definedName>
    <definedName name="solver_rhs15" localSheetId="6" hidden="1">0.00000001</definedName>
    <definedName name="solver_rhs15" localSheetId="3" hidden="1">0.0001</definedName>
    <definedName name="solver_rhs15" localSheetId="4" hidden="1">0.0001</definedName>
    <definedName name="solver_rhs150" localSheetId="3" hidden="1">0</definedName>
    <definedName name="solver_rhs150" localSheetId="4" hidden="1">0</definedName>
    <definedName name="solver_rhs151" localSheetId="3" hidden="1">0</definedName>
    <definedName name="solver_rhs151" localSheetId="4" hidden="1">0</definedName>
    <definedName name="solver_rhs152" localSheetId="3" hidden="1">0</definedName>
    <definedName name="solver_rhs152" localSheetId="4" hidden="1">0</definedName>
    <definedName name="solver_rhs153" localSheetId="3" hidden="1">0</definedName>
    <definedName name="solver_rhs153" localSheetId="4" hidden="1">0</definedName>
    <definedName name="solver_rhs154" localSheetId="3" hidden="1">0</definedName>
    <definedName name="solver_rhs154" localSheetId="4" hidden="1">0</definedName>
    <definedName name="solver_rhs155" localSheetId="3" hidden="1">0</definedName>
    <definedName name="solver_rhs155" localSheetId="4" hidden="1">0</definedName>
    <definedName name="solver_rhs156" localSheetId="3" hidden="1">0</definedName>
    <definedName name="solver_rhs156" localSheetId="4" hidden="1">0</definedName>
    <definedName name="solver_rhs157" localSheetId="3" hidden="1">0</definedName>
    <definedName name="solver_rhs157" localSheetId="4" hidden="1">0</definedName>
    <definedName name="solver_rhs158" localSheetId="3" hidden="1">0</definedName>
    <definedName name="solver_rhs158" localSheetId="4" hidden="1">0</definedName>
    <definedName name="solver_rhs159" localSheetId="3" hidden="1">0</definedName>
    <definedName name="solver_rhs159" localSheetId="4" hidden="1">0</definedName>
    <definedName name="solver_rhs16" localSheetId="6" hidden="1">0.00000001</definedName>
    <definedName name="solver_rhs16" localSheetId="3" hidden="1">0.0001</definedName>
    <definedName name="solver_rhs16" localSheetId="4" hidden="1">0.0001</definedName>
    <definedName name="solver_rhs160" localSheetId="3" hidden="1">0</definedName>
    <definedName name="solver_rhs160" localSheetId="4" hidden="1">0</definedName>
    <definedName name="solver_rhs161" localSheetId="3" hidden="1">0</definedName>
    <definedName name="solver_rhs161" localSheetId="4" hidden="1">0</definedName>
    <definedName name="solver_rhs162" localSheetId="3" hidden="1">0</definedName>
    <definedName name="solver_rhs162" localSheetId="4" hidden="1">0</definedName>
    <definedName name="solver_rhs163" localSheetId="3" hidden="1">0</definedName>
    <definedName name="solver_rhs163" localSheetId="4" hidden="1">0</definedName>
    <definedName name="solver_rhs164" localSheetId="3" hidden="1">0</definedName>
    <definedName name="solver_rhs164" localSheetId="4" hidden="1">0</definedName>
    <definedName name="solver_rhs165" localSheetId="3" hidden="1">0</definedName>
    <definedName name="solver_rhs165" localSheetId="4" hidden="1">0</definedName>
    <definedName name="solver_rhs166" localSheetId="3" hidden="1">0</definedName>
    <definedName name="solver_rhs166" localSheetId="4" hidden="1">0</definedName>
    <definedName name="solver_rhs167" localSheetId="3" hidden="1">0</definedName>
    <definedName name="solver_rhs167" localSheetId="4" hidden="1">0</definedName>
    <definedName name="solver_rhs168" localSheetId="3" hidden="1">0</definedName>
    <definedName name="solver_rhs168" localSheetId="4" hidden="1">0</definedName>
    <definedName name="solver_rhs169" localSheetId="3" hidden="1">0</definedName>
    <definedName name="solver_rhs169" localSheetId="4" hidden="1">0</definedName>
    <definedName name="solver_rhs17" localSheetId="6" hidden="1">0.00000001</definedName>
    <definedName name="solver_rhs17" localSheetId="3" hidden="1">0.0001</definedName>
    <definedName name="solver_rhs17" localSheetId="4" hidden="1">0.0001</definedName>
    <definedName name="solver_rhs170" localSheetId="3" hidden="1">0</definedName>
    <definedName name="solver_rhs170" localSheetId="4" hidden="1">0</definedName>
    <definedName name="solver_rhs171" localSheetId="3" hidden="1">0</definedName>
    <definedName name="solver_rhs171" localSheetId="4" hidden="1">0</definedName>
    <definedName name="solver_rhs172" localSheetId="3" hidden="1">0</definedName>
    <definedName name="solver_rhs172" localSheetId="4" hidden="1">0</definedName>
    <definedName name="solver_rhs173" localSheetId="3" hidden="1">0</definedName>
    <definedName name="solver_rhs173" localSheetId="4" hidden="1">0</definedName>
    <definedName name="solver_rhs174" localSheetId="3" hidden="1">0</definedName>
    <definedName name="solver_rhs174" localSheetId="4" hidden="1">0</definedName>
    <definedName name="solver_rhs175" localSheetId="3" hidden="1">0</definedName>
    <definedName name="solver_rhs175" localSheetId="4" hidden="1">0</definedName>
    <definedName name="solver_rhs176" localSheetId="3" hidden="1">0</definedName>
    <definedName name="solver_rhs176" localSheetId="4" hidden="1">0</definedName>
    <definedName name="solver_rhs177" localSheetId="3" hidden="1">0</definedName>
    <definedName name="solver_rhs177" localSheetId="4" hidden="1">0</definedName>
    <definedName name="solver_rhs178" localSheetId="3" hidden="1">0</definedName>
    <definedName name="solver_rhs178" localSheetId="4" hidden="1">0</definedName>
    <definedName name="solver_rhs179" localSheetId="3" hidden="1">0</definedName>
    <definedName name="solver_rhs179" localSheetId="4" hidden="1">0</definedName>
    <definedName name="solver_rhs18" localSheetId="6" hidden="1">0.00000001</definedName>
    <definedName name="solver_rhs18" localSheetId="3" hidden="1">0.0001</definedName>
    <definedName name="solver_rhs18" localSheetId="4" hidden="1">0.0001</definedName>
    <definedName name="solver_rhs180" localSheetId="3" hidden="1">0</definedName>
    <definedName name="solver_rhs180" localSheetId="4" hidden="1">0</definedName>
    <definedName name="solver_rhs181" localSheetId="3" hidden="1">0</definedName>
    <definedName name="solver_rhs181" localSheetId="4" hidden="1">0</definedName>
    <definedName name="solver_rhs182" localSheetId="3" hidden="1">0</definedName>
    <definedName name="solver_rhs182" localSheetId="4" hidden="1">0</definedName>
    <definedName name="solver_rhs183" localSheetId="3" hidden="1">0</definedName>
    <definedName name="solver_rhs183" localSheetId="4" hidden="1">0</definedName>
    <definedName name="solver_rhs184" localSheetId="3" hidden="1">0</definedName>
    <definedName name="solver_rhs184" localSheetId="4" hidden="1">0</definedName>
    <definedName name="solver_rhs185" localSheetId="3" hidden="1">0</definedName>
    <definedName name="solver_rhs185" localSheetId="4" hidden="1">0</definedName>
    <definedName name="solver_rhs186" localSheetId="3" hidden="1">0</definedName>
    <definedName name="solver_rhs186" localSheetId="4" hidden="1">0</definedName>
    <definedName name="solver_rhs187" localSheetId="3" hidden="1">0</definedName>
    <definedName name="solver_rhs187" localSheetId="4" hidden="1">0</definedName>
    <definedName name="solver_rhs188" localSheetId="3" hidden="1">0</definedName>
    <definedName name="solver_rhs188" localSheetId="4" hidden="1">0</definedName>
    <definedName name="solver_rhs189" localSheetId="3" hidden="1">0</definedName>
    <definedName name="solver_rhs189" localSheetId="4" hidden="1">0</definedName>
    <definedName name="solver_rhs19" localSheetId="6" hidden="1">0.00000001</definedName>
    <definedName name="solver_rhs19" localSheetId="3" hidden="1">0.0001</definedName>
    <definedName name="solver_rhs19" localSheetId="4" hidden="1">0.0001</definedName>
    <definedName name="solver_rhs190" localSheetId="3" hidden="1">0</definedName>
    <definedName name="solver_rhs190" localSheetId="4" hidden="1">0</definedName>
    <definedName name="solver_rhs191" localSheetId="3" hidden="1">0</definedName>
    <definedName name="solver_rhs191" localSheetId="4" hidden="1">0</definedName>
    <definedName name="solver_rhs192" localSheetId="3" hidden="1">0</definedName>
    <definedName name="solver_rhs192" localSheetId="4" hidden="1">0</definedName>
    <definedName name="solver_rhs193" localSheetId="3" hidden="1">0</definedName>
    <definedName name="solver_rhs193" localSheetId="4" hidden="1">0</definedName>
    <definedName name="solver_rhs194" localSheetId="3" hidden="1">0</definedName>
    <definedName name="solver_rhs194" localSheetId="4" hidden="1">0</definedName>
    <definedName name="solver_rhs195" localSheetId="3" hidden="1">0</definedName>
    <definedName name="solver_rhs195" localSheetId="4" hidden="1">0</definedName>
    <definedName name="solver_rhs196" localSheetId="3" hidden="1">0</definedName>
    <definedName name="solver_rhs196" localSheetId="4" hidden="1">0</definedName>
    <definedName name="solver_rhs197" localSheetId="3" hidden="1">0</definedName>
    <definedName name="solver_rhs197" localSheetId="4" hidden="1">0</definedName>
    <definedName name="solver_rhs198" localSheetId="3" hidden="1">0</definedName>
    <definedName name="solver_rhs198" localSheetId="4" hidden="1">0</definedName>
    <definedName name="solver_rhs199" localSheetId="3" hidden="1">0</definedName>
    <definedName name="solver_rhs199" localSheetId="4" hidden="1">0</definedName>
    <definedName name="solver_rhs2" localSheetId="6" hidden="1">0.999999999</definedName>
    <definedName name="solver_rhs2" localSheetId="3" hidden="1">0</definedName>
    <definedName name="solver_rhs2" localSheetId="4" hidden="1">0.999999999</definedName>
    <definedName name="solver_rhs2" localSheetId="9" hidden="1">800</definedName>
    <definedName name="solver_rhs20" localSheetId="6" hidden="1">0.00000001</definedName>
    <definedName name="solver_rhs20" localSheetId="3" hidden="1">0.0001</definedName>
    <definedName name="solver_rhs20" localSheetId="4" hidden="1">0.0001</definedName>
    <definedName name="solver_rhs200" localSheetId="3" hidden="1">0</definedName>
    <definedName name="solver_rhs200" localSheetId="4" hidden="1">0</definedName>
    <definedName name="solver_rhs201" localSheetId="3" hidden="1">0</definedName>
    <definedName name="solver_rhs201" localSheetId="4" hidden="1">0</definedName>
    <definedName name="solver_rhs202" localSheetId="3" hidden="1">0</definedName>
    <definedName name="solver_rhs202" localSheetId="4" hidden="1">0</definedName>
    <definedName name="solver_rhs203" localSheetId="3" hidden="1">0</definedName>
    <definedName name="solver_rhs203" localSheetId="4" hidden="1">0</definedName>
    <definedName name="solver_rhs204" localSheetId="3" hidden="1">0</definedName>
    <definedName name="solver_rhs204" localSheetId="4" hidden="1">0</definedName>
    <definedName name="solver_rhs205" localSheetId="3" hidden="1">0</definedName>
    <definedName name="solver_rhs205" localSheetId="4" hidden="1">0</definedName>
    <definedName name="solver_rhs206" localSheetId="3" hidden="1">0</definedName>
    <definedName name="solver_rhs206" localSheetId="4" hidden="1">0</definedName>
    <definedName name="solver_rhs207" localSheetId="3" hidden="1">0</definedName>
    <definedName name="solver_rhs207" localSheetId="4" hidden="1">0</definedName>
    <definedName name="solver_rhs208" localSheetId="3" hidden="1">0</definedName>
    <definedName name="solver_rhs208" localSheetId="4" hidden="1">0</definedName>
    <definedName name="solver_rhs209" localSheetId="3" hidden="1">0</definedName>
    <definedName name="solver_rhs209" localSheetId="4" hidden="1">0</definedName>
    <definedName name="solver_rhs21" localSheetId="6" hidden="1">0.00000001</definedName>
    <definedName name="solver_rhs21" localSheetId="3" hidden="1">0.0001</definedName>
    <definedName name="solver_rhs21" localSheetId="4" hidden="1">0.0001</definedName>
    <definedName name="solver_rhs210" localSheetId="3" hidden="1">0</definedName>
    <definedName name="solver_rhs210" localSheetId="4" hidden="1">0</definedName>
    <definedName name="solver_rhs211" localSheetId="3" hidden="1">0</definedName>
    <definedName name="solver_rhs211" localSheetId="4" hidden="1">0</definedName>
    <definedName name="solver_rhs212" localSheetId="3" hidden="1">0</definedName>
    <definedName name="solver_rhs212" localSheetId="4" hidden="1">0</definedName>
    <definedName name="solver_rhs213" localSheetId="3" hidden="1">0</definedName>
    <definedName name="solver_rhs213" localSheetId="4" hidden="1">0</definedName>
    <definedName name="solver_rhs214" localSheetId="3" hidden="1">0</definedName>
    <definedName name="solver_rhs214" localSheetId="4" hidden="1">0</definedName>
    <definedName name="solver_rhs215" localSheetId="3" hidden="1">0</definedName>
    <definedName name="solver_rhs215" localSheetId="4" hidden="1">0</definedName>
    <definedName name="solver_rhs216" localSheetId="3" hidden="1">0</definedName>
    <definedName name="solver_rhs216" localSheetId="4" hidden="1">0</definedName>
    <definedName name="solver_rhs217" localSheetId="3" hidden="1">0</definedName>
    <definedName name="solver_rhs217" localSheetId="4" hidden="1">0</definedName>
    <definedName name="solver_rhs218" localSheetId="3" hidden="1">0</definedName>
    <definedName name="solver_rhs218" localSheetId="4" hidden="1">0</definedName>
    <definedName name="solver_rhs219" localSheetId="3" hidden="1">0</definedName>
    <definedName name="solver_rhs219" localSheetId="4" hidden="1">0</definedName>
    <definedName name="solver_rhs22" localSheetId="6" hidden="1">0.00000001</definedName>
    <definedName name="solver_rhs22" localSheetId="3" hidden="1">0.0001</definedName>
    <definedName name="solver_rhs22" localSheetId="4" hidden="1">0.0001</definedName>
    <definedName name="solver_rhs220" localSheetId="3" hidden="1">0</definedName>
    <definedName name="solver_rhs220" localSheetId="4" hidden="1">0</definedName>
    <definedName name="solver_rhs221" localSheetId="3" hidden="1">0</definedName>
    <definedName name="solver_rhs221" localSheetId="4" hidden="1">0</definedName>
    <definedName name="solver_rhs222" localSheetId="3" hidden="1">0</definedName>
    <definedName name="solver_rhs222" localSheetId="4" hidden="1">0</definedName>
    <definedName name="solver_rhs223" localSheetId="3" hidden="1">0</definedName>
    <definedName name="solver_rhs223" localSheetId="4" hidden="1">0</definedName>
    <definedName name="solver_rhs224" localSheetId="3" hidden="1">0</definedName>
    <definedName name="solver_rhs224" localSheetId="4" hidden="1">0</definedName>
    <definedName name="solver_rhs225" localSheetId="3" hidden="1">0</definedName>
    <definedName name="solver_rhs225" localSheetId="4" hidden="1">0</definedName>
    <definedName name="solver_rhs226" localSheetId="3" hidden="1">0</definedName>
    <definedName name="solver_rhs226" localSheetId="4" hidden="1">0</definedName>
    <definedName name="solver_rhs227" localSheetId="3" hidden="1">0</definedName>
    <definedName name="solver_rhs227" localSheetId="4" hidden="1">0</definedName>
    <definedName name="solver_rhs228" localSheetId="3" hidden="1">0</definedName>
    <definedName name="solver_rhs228" localSheetId="4" hidden="1">0</definedName>
    <definedName name="solver_rhs229" localSheetId="3" hidden="1">0</definedName>
    <definedName name="solver_rhs229" localSheetId="4" hidden="1">0</definedName>
    <definedName name="solver_rhs23" localSheetId="6" hidden="1">0.00000001</definedName>
    <definedName name="solver_rhs23" localSheetId="3" hidden="1">0.0001</definedName>
    <definedName name="solver_rhs23" localSheetId="4" hidden="1">0.0001</definedName>
    <definedName name="solver_rhs230" localSheetId="3" hidden="1">0</definedName>
    <definedName name="solver_rhs230" localSheetId="4" hidden="1">0</definedName>
    <definedName name="solver_rhs231" localSheetId="3" hidden="1">0</definedName>
    <definedName name="solver_rhs231" localSheetId="4" hidden="1">0</definedName>
    <definedName name="solver_rhs232" localSheetId="3" hidden="1">0</definedName>
    <definedName name="solver_rhs232" localSheetId="4" hidden="1">0</definedName>
    <definedName name="solver_rhs233" localSheetId="3" hidden="1">0</definedName>
    <definedName name="solver_rhs233" localSheetId="4" hidden="1">0</definedName>
    <definedName name="solver_rhs234" localSheetId="3" hidden="1">0</definedName>
    <definedName name="solver_rhs234" localSheetId="4" hidden="1">0</definedName>
    <definedName name="solver_rhs235" localSheetId="3" hidden="1">0</definedName>
    <definedName name="solver_rhs235" localSheetId="4" hidden="1">0</definedName>
    <definedName name="solver_rhs236" localSheetId="3" hidden="1">0</definedName>
    <definedName name="solver_rhs236" localSheetId="4" hidden="1">0</definedName>
    <definedName name="solver_rhs237" localSheetId="3" hidden="1">0</definedName>
    <definedName name="solver_rhs237" localSheetId="4" hidden="1">0</definedName>
    <definedName name="solver_rhs238" localSheetId="3" hidden="1">0</definedName>
    <definedName name="solver_rhs238" localSheetId="4" hidden="1">0</definedName>
    <definedName name="solver_rhs239" localSheetId="3" hidden="1">0</definedName>
    <definedName name="solver_rhs239" localSheetId="4" hidden="1">0</definedName>
    <definedName name="solver_rhs24" localSheetId="6" hidden="1">0.00000001</definedName>
    <definedName name="solver_rhs24" localSheetId="3" hidden="1">0.0001</definedName>
    <definedName name="solver_rhs24" localSheetId="4" hidden="1">0.0001</definedName>
    <definedName name="solver_rhs240" localSheetId="3" hidden="1">0</definedName>
    <definedName name="solver_rhs240" localSheetId="4" hidden="1">0</definedName>
    <definedName name="solver_rhs241" localSheetId="3" hidden="1">0</definedName>
    <definedName name="solver_rhs241" localSheetId="4" hidden="1">0</definedName>
    <definedName name="solver_rhs242" localSheetId="3" hidden="1">0</definedName>
    <definedName name="solver_rhs242" localSheetId="4" hidden="1">0</definedName>
    <definedName name="solver_rhs243" localSheetId="3" hidden="1">0</definedName>
    <definedName name="solver_rhs243" localSheetId="4" hidden="1">0</definedName>
    <definedName name="solver_rhs244" localSheetId="3" hidden="1">0</definedName>
    <definedName name="solver_rhs244" localSheetId="4" hidden="1">0</definedName>
    <definedName name="solver_rhs245" localSheetId="3" hidden="1">0</definedName>
    <definedName name="solver_rhs245" localSheetId="4" hidden="1">0</definedName>
    <definedName name="solver_rhs246" localSheetId="3" hidden="1">0</definedName>
    <definedName name="solver_rhs246" localSheetId="4" hidden="1">0</definedName>
    <definedName name="solver_rhs247" localSheetId="3" hidden="1">0</definedName>
    <definedName name="solver_rhs247" localSheetId="4" hidden="1">0</definedName>
    <definedName name="solver_rhs248" localSheetId="3" hidden="1">0</definedName>
    <definedName name="solver_rhs248" localSheetId="4" hidden="1">0</definedName>
    <definedName name="solver_rhs249" localSheetId="3" hidden="1">0</definedName>
    <definedName name="solver_rhs249" localSheetId="4" hidden="1">0</definedName>
    <definedName name="solver_rhs25" localSheetId="6" hidden="1">0.00000001</definedName>
    <definedName name="solver_rhs25" localSheetId="3" hidden="1">0.0001</definedName>
    <definedName name="solver_rhs25" localSheetId="4" hidden="1">0.0001</definedName>
    <definedName name="solver_rhs250" localSheetId="3" hidden="1">0</definedName>
    <definedName name="solver_rhs250" localSheetId="4" hidden="1">0</definedName>
    <definedName name="solver_rhs26" localSheetId="6" hidden="1">0.00000001</definedName>
    <definedName name="solver_rhs26" localSheetId="3" hidden="1">0.0001</definedName>
    <definedName name="solver_rhs26" localSheetId="4" hidden="1">0.0001</definedName>
    <definedName name="solver_rhs27" localSheetId="6" hidden="1">0.00000001</definedName>
    <definedName name="solver_rhs27" localSheetId="3" hidden="1">0.0001</definedName>
    <definedName name="solver_rhs27" localSheetId="4" hidden="1">0.0001</definedName>
    <definedName name="solver_rhs28" localSheetId="6" hidden="1">0.00000001</definedName>
    <definedName name="solver_rhs28" localSheetId="3" hidden="1">0.0001</definedName>
    <definedName name="solver_rhs28" localSheetId="4" hidden="1">0.0001</definedName>
    <definedName name="solver_rhs29" localSheetId="6" hidden="1">0.00000001</definedName>
    <definedName name="solver_rhs29" localSheetId="3" hidden="1">0.0001</definedName>
    <definedName name="solver_rhs29" localSheetId="4" hidden="1">0.0001</definedName>
    <definedName name="solver_rhs3" localSheetId="6" hidden="1">0.00000001</definedName>
    <definedName name="solver_rhs3" localSheetId="3" hidden="1">0</definedName>
    <definedName name="solver_rhs3" localSheetId="4" hidden="1">0.00000001</definedName>
    <definedName name="solver_rhs3" localSheetId="9" hidden="1">400</definedName>
    <definedName name="solver_rhs30" localSheetId="6" hidden="1">0.00000001</definedName>
    <definedName name="solver_rhs30" localSheetId="3" hidden="1">0.0001</definedName>
    <definedName name="solver_rhs30" localSheetId="4" hidden="1">0.0001</definedName>
    <definedName name="solver_rhs31" localSheetId="6" hidden="1">0.00000001</definedName>
    <definedName name="solver_rhs31" localSheetId="3" hidden="1">0.0001</definedName>
    <definedName name="solver_rhs31" localSheetId="4" hidden="1">0.0001</definedName>
    <definedName name="solver_rhs32" localSheetId="6" hidden="1">0.00000001</definedName>
    <definedName name="solver_rhs32" localSheetId="3" hidden="1">0.0001</definedName>
    <definedName name="solver_rhs32" localSheetId="4" hidden="1">0.0001</definedName>
    <definedName name="solver_rhs33" localSheetId="6" hidden="1">0.00000001</definedName>
    <definedName name="solver_rhs33" localSheetId="3" hidden="1">0.0001</definedName>
    <definedName name="solver_rhs33" localSheetId="4" hidden="1">0.0001</definedName>
    <definedName name="solver_rhs34" localSheetId="6" hidden="1">0.00000001</definedName>
    <definedName name="solver_rhs34" localSheetId="3" hidden="1">0.0001</definedName>
    <definedName name="solver_rhs34" localSheetId="4" hidden="1">0.0001</definedName>
    <definedName name="solver_rhs35" localSheetId="6" hidden="1">0.00000001</definedName>
    <definedName name="solver_rhs35" localSheetId="3" hidden="1">0.0001</definedName>
    <definedName name="solver_rhs35" localSheetId="4" hidden="1">0.0001</definedName>
    <definedName name="solver_rhs36" localSheetId="6" hidden="1">0.00000001</definedName>
    <definedName name="solver_rhs36" localSheetId="3" hidden="1">0.0001</definedName>
    <definedName name="solver_rhs36" localSheetId="4" hidden="1">0.0001</definedName>
    <definedName name="solver_rhs37" localSheetId="6" hidden="1">0.00000001</definedName>
    <definedName name="solver_rhs37" localSheetId="3" hidden="1">0.0001</definedName>
    <definedName name="solver_rhs37" localSheetId="4" hidden="1">0.0001</definedName>
    <definedName name="solver_rhs38" localSheetId="6" hidden="1">0.00000001</definedName>
    <definedName name="solver_rhs38" localSheetId="3" hidden="1">0.0001</definedName>
    <definedName name="solver_rhs38" localSheetId="4" hidden="1">0.0001</definedName>
    <definedName name="solver_rhs39" localSheetId="6" hidden="1">0.00000001</definedName>
    <definedName name="solver_rhs39" localSheetId="3" hidden="1">0.0001</definedName>
    <definedName name="solver_rhs39" localSheetId="4" hidden="1">0.0001</definedName>
    <definedName name="solver_rhs4" localSheetId="6" hidden="1">0.999999999</definedName>
    <definedName name="solver_rhs4" localSheetId="3" hidden="1">0.000000001</definedName>
    <definedName name="solver_rhs4" localSheetId="4" hidden="1">0.999999999</definedName>
    <definedName name="solver_rhs4" localSheetId="9" hidden="1">1</definedName>
    <definedName name="solver_rhs40" localSheetId="6" hidden="1">0.00000001</definedName>
    <definedName name="solver_rhs40" localSheetId="3" hidden="1">0.0001</definedName>
    <definedName name="solver_rhs40" localSheetId="4" hidden="1">0.0001</definedName>
    <definedName name="solver_rhs41" localSheetId="6" hidden="1">0.00000001</definedName>
    <definedName name="solver_rhs41" localSheetId="3" hidden="1">0.0001</definedName>
    <definedName name="solver_rhs41" localSheetId="4" hidden="1">0.0001</definedName>
    <definedName name="solver_rhs42" localSheetId="6" hidden="1">0.00000001</definedName>
    <definedName name="solver_rhs42" localSheetId="3" hidden="1">0.0001</definedName>
    <definedName name="solver_rhs42" localSheetId="4" hidden="1">0.0001</definedName>
    <definedName name="solver_rhs43" localSheetId="6" hidden="1">0.00000001</definedName>
    <definedName name="solver_rhs43" localSheetId="3" hidden="1">0.0001</definedName>
    <definedName name="solver_rhs43" localSheetId="4" hidden="1">0.0001</definedName>
    <definedName name="solver_rhs44" localSheetId="6" hidden="1">0.00000001</definedName>
    <definedName name="solver_rhs44" localSheetId="3" hidden="1">0.0001</definedName>
    <definedName name="solver_rhs44" localSheetId="4" hidden="1">0.0001</definedName>
    <definedName name="solver_rhs45" localSheetId="6" hidden="1">0.00000001</definedName>
    <definedName name="solver_rhs45" localSheetId="3" hidden="1">0.0001</definedName>
    <definedName name="solver_rhs45" localSheetId="4" hidden="1">0.0001</definedName>
    <definedName name="solver_rhs46" localSheetId="6" hidden="1">0.00000001</definedName>
    <definedName name="solver_rhs46" localSheetId="3" hidden="1">0.0001</definedName>
    <definedName name="solver_rhs46" localSheetId="4" hidden="1">0.0001</definedName>
    <definedName name="solver_rhs47" localSheetId="6" hidden="1">0.00000001</definedName>
    <definedName name="solver_rhs47" localSheetId="3" hidden="1">0.0001</definedName>
    <definedName name="solver_rhs47" localSheetId="4" hidden="1">0.0001</definedName>
    <definedName name="solver_rhs48" localSheetId="6" hidden="1">0.00000001</definedName>
    <definedName name="solver_rhs48" localSheetId="3" hidden="1">0.0001</definedName>
    <definedName name="solver_rhs48" localSheetId="4" hidden="1">0.0001</definedName>
    <definedName name="solver_rhs49" localSheetId="6" hidden="1">0.00000001</definedName>
    <definedName name="solver_rhs49" localSheetId="3" hidden="1">0.0001</definedName>
    <definedName name="solver_rhs49" localSheetId="4" hidden="1">0.0001</definedName>
    <definedName name="solver_rhs5" localSheetId="6" hidden="1">1</definedName>
    <definedName name="solver_rhs5" localSheetId="3" hidden="1">0</definedName>
    <definedName name="solver_rhs5" localSheetId="4" hidden="1">0.00000001</definedName>
    <definedName name="solver_rhs5" localSheetId="9" hidden="1">sheet2!$B$25</definedName>
    <definedName name="solver_rhs50" localSheetId="6" hidden="1">0.00000001</definedName>
    <definedName name="solver_rhs50" localSheetId="3" hidden="1">0.0001</definedName>
    <definedName name="solver_rhs50" localSheetId="4" hidden="1">0.0001</definedName>
    <definedName name="solver_rhs51" localSheetId="6" hidden="1">0.00000001</definedName>
    <definedName name="solver_rhs51" localSheetId="3" hidden="1">0.0001</definedName>
    <definedName name="solver_rhs51" localSheetId="4" hidden="1">0.0001</definedName>
    <definedName name="solver_rhs52" localSheetId="6" hidden="1">0.00000001</definedName>
    <definedName name="solver_rhs52" localSheetId="3" hidden="1">0.0001</definedName>
    <definedName name="solver_rhs52" localSheetId="4" hidden="1">0.0001</definedName>
    <definedName name="solver_rhs53" localSheetId="6" hidden="1">0.00000001</definedName>
    <definedName name="solver_rhs53" localSheetId="3" hidden="1">0.0001</definedName>
    <definedName name="solver_rhs53" localSheetId="4" hidden="1">0.0001</definedName>
    <definedName name="solver_rhs54" localSheetId="6" hidden="1">0.00000001</definedName>
    <definedName name="solver_rhs54" localSheetId="3" hidden="1">0.0001</definedName>
    <definedName name="solver_rhs54" localSheetId="4" hidden="1">0.0001</definedName>
    <definedName name="solver_rhs55" localSheetId="6" hidden="1">0.00000001</definedName>
    <definedName name="solver_rhs55" localSheetId="3" hidden="1">0.0001</definedName>
    <definedName name="solver_rhs55" localSheetId="4" hidden="1">0.0001</definedName>
    <definedName name="solver_rhs56" localSheetId="6" hidden="1">0.00000001</definedName>
    <definedName name="solver_rhs56" localSheetId="3" hidden="1">0.0001</definedName>
    <definedName name="solver_rhs56" localSheetId="4" hidden="1">0.0001</definedName>
    <definedName name="solver_rhs57" localSheetId="6" hidden="1">0.00000001</definedName>
    <definedName name="solver_rhs57" localSheetId="3" hidden="1">0.0001</definedName>
    <definedName name="solver_rhs57" localSheetId="4" hidden="1">0.0001</definedName>
    <definedName name="solver_rhs58" localSheetId="6" hidden="1">0.00000001</definedName>
    <definedName name="solver_rhs58" localSheetId="3" hidden="1">0.0001</definedName>
    <definedName name="solver_rhs58" localSheetId="4" hidden="1">0.0001</definedName>
    <definedName name="solver_rhs59" localSheetId="6" hidden="1">0.00000001</definedName>
    <definedName name="solver_rhs59" localSheetId="3" hidden="1">0.0001</definedName>
    <definedName name="solver_rhs59" localSheetId="4" hidden="1">0.0001</definedName>
    <definedName name="solver_rhs6" localSheetId="6" hidden="1">400</definedName>
    <definedName name="solver_rhs6" localSheetId="3" hidden="1">0</definedName>
    <definedName name="solver_rhs6" localSheetId="4" hidden="1">Model!$B$24</definedName>
    <definedName name="solver_rhs6" localSheetId="9" hidden="1">0.999999999</definedName>
    <definedName name="solver_rhs60" localSheetId="6" hidden="1">0.00000001</definedName>
    <definedName name="solver_rhs60" localSheetId="3" hidden="1">0.0001</definedName>
    <definedName name="solver_rhs60" localSheetId="4" hidden="1">0.0001</definedName>
    <definedName name="solver_rhs61" localSheetId="6" hidden="1">0.00000001</definedName>
    <definedName name="solver_rhs61" localSheetId="3" hidden="1">0.0001</definedName>
    <definedName name="solver_rhs61" localSheetId="4" hidden="1">0.0001</definedName>
    <definedName name="solver_rhs62" localSheetId="6" hidden="1">0.00000001</definedName>
    <definedName name="solver_rhs62" localSheetId="3" hidden="1">1</definedName>
    <definedName name="solver_rhs62" localSheetId="4" hidden="1">1</definedName>
    <definedName name="solver_rhs63" localSheetId="6" hidden="1">0.00000001</definedName>
    <definedName name="solver_rhs63" localSheetId="3" hidden="1">1</definedName>
    <definedName name="solver_rhs63" localSheetId="4" hidden="1">1</definedName>
    <definedName name="solver_rhs64" localSheetId="6" hidden="1">0.00000001</definedName>
    <definedName name="solver_rhs64" localSheetId="3" hidden="1">1</definedName>
    <definedName name="solver_rhs64" localSheetId="4" hidden="1">1</definedName>
    <definedName name="solver_rhs65" localSheetId="3" hidden="1">1</definedName>
    <definedName name="solver_rhs65" localSheetId="4" hidden="1">1</definedName>
    <definedName name="solver_rhs66" localSheetId="3" hidden="1">1</definedName>
    <definedName name="solver_rhs66" localSheetId="4" hidden="1">1</definedName>
    <definedName name="solver_rhs67" localSheetId="3" hidden="1">1</definedName>
    <definedName name="solver_rhs67" localSheetId="4" hidden="1">1</definedName>
    <definedName name="solver_rhs68" localSheetId="3" hidden="1">1</definedName>
    <definedName name="solver_rhs68" localSheetId="4" hidden="1">1</definedName>
    <definedName name="solver_rhs69" localSheetId="3" hidden="1">1</definedName>
    <definedName name="solver_rhs69" localSheetId="4" hidden="1">1</definedName>
    <definedName name="solver_rhs7" localSheetId="6" hidden="1">1</definedName>
    <definedName name="solver_rhs7" localSheetId="3" hidden="1">1</definedName>
    <definedName name="solver_rhs7" localSheetId="4" hidden="1">1</definedName>
    <definedName name="solver_rhs7" localSheetId="9" hidden="1">0.00000001</definedName>
    <definedName name="solver_rhs70" localSheetId="3" hidden="1">1</definedName>
    <definedName name="solver_rhs70" localSheetId="4" hidden="1">1</definedName>
    <definedName name="solver_rhs71" localSheetId="3" hidden="1">1</definedName>
    <definedName name="solver_rhs71" localSheetId="4" hidden="1">1</definedName>
    <definedName name="solver_rhs72" localSheetId="3" hidden="1">1</definedName>
    <definedName name="solver_rhs72" localSheetId="4" hidden="1">1</definedName>
    <definedName name="solver_rhs73" localSheetId="3" hidden="1">1</definedName>
    <definedName name="solver_rhs73" localSheetId="4" hidden="1">1</definedName>
    <definedName name="solver_rhs74" localSheetId="3" hidden="1">1</definedName>
    <definedName name="solver_rhs74" localSheetId="4" hidden="1">1</definedName>
    <definedName name="solver_rhs75" localSheetId="3" hidden="1">1</definedName>
    <definedName name="solver_rhs75" localSheetId="4" hidden="1">1</definedName>
    <definedName name="solver_rhs76" localSheetId="3" hidden="1">1</definedName>
    <definedName name="solver_rhs76" localSheetId="4" hidden="1">1</definedName>
    <definedName name="solver_rhs77" localSheetId="3" hidden="1">1</definedName>
    <definedName name="solver_rhs77" localSheetId="4" hidden="1">1</definedName>
    <definedName name="solver_rhs78" localSheetId="3" hidden="1">1</definedName>
    <definedName name="solver_rhs78" localSheetId="4" hidden="1">1</definedName>
    <definedName name="solver_rhs79" localSheetId="3" hidden="1">1</definedName>
    <definedName name="solver_rhs79" localSheetId="4" hidden="1">1</definedName>
    <definedName name="solver_rhs8" localSheetId="6" hidden="1">800</definedName>
    <definedName name="solver_rhs8" localSheetId="3" hidden="1">'light limited'!$C$9</definedName>
    <definedName name="solver_rhs8" localSheetId="4" hidden="1">Model!$C$9</definedName>
    <definedName name="solver_rhs8" localSheetId="9" hidden="1">0.00000001</definedName>
    <definedName name="solver_rhs80" localSheetId="3" hidden="1">1</definedName>
    <definedName name="solver_rhs80" localSheetId="4" hidden="1">1</definedName>
    <definedName name="solver_rhs81" localSheetId="3" hidden="1">1</definedName>
    <definedName name="solver_rhs81" localSheetId="4" hidden="1">1</definedName>
    <definedName name="solver_rhs82" localSheetId="3" hidden="1">1</definedName>
    <definedName name="solver_rhs82" localSheetId="4" hidden="1">1</definedName>
    <definedName name="solver_rhs83" localSheetId="3" hidden="1">1</definedName>
    <definedName name="solver_rhs83" localSheetId="4" hidden="1">1</definedName>
    <definedName name="solver_rhs84" localSheetId="3" hidden="1">1</definedName>
    <definedName name="solver_rhs84" localSheetId="4" hidden="1">1</definedName>
    <definedName name="solver_rhs85" localSheetId="3" hidden="1">1</definedName>
    <definedName name="solver_rhs85" localSheetId="4" hidden="1">1</definedName>
    <definedName name="solver_rhs86" localSheetId="3" hidden="1">1</definedName>
    <definedName name="solver_rhs86" localSheetId="4" hidden="1">1</definedName>
    <definedName name="solver_rhs87" localSheetId="3" hidden="1">1</definedName>
    <definedName name="solver_rhs87" localSheetId="4" hidden="1">1</definedName>
    <definedName name="solver_rhs88" localSheetId="3" hidden="1">1</definedName>
    <definedName name="solver_rhs88" localSheetId="4" hidden="1">1</definedName>
    <definedName name="solver_rhs89" localSheetId="3" hidden="1">1</definedName>
    <definedName name="solver_rhs89" localSheetId="4" hidden="1">1</definedName>
    <definedName name="solver_rhs9" localSheetId="6" hidden="1">fitting!$B$29</definedName>
    <definedName name="solver_rhs9" localSheetId="3" hidden="1">0</definedName>
    <definedName name="solver_rhs9" localSheetId="4" hidden="1">0</definedName>
    <definedName name="solver_rhs9" localSheetId="9" hidden="1">0.999999999</definedName>
    <definedName name="solver_rhs90" localSheetId="3" hidden="1">1</definedName>
    <definedName name="solver_rhs90" localSheetId="4" hidden="1">1</definedName>
    <definedName name="solver_rhs91" localSheetId="3" hidden="1">1</definedName>
    <definedName name="solver_rhs91" localSheetId="4" hidden="1">1</definedName>
    <definedName name="solver_rhs92" localSheetId="3" hidden="1">1</definedName>
    <definedName name="solver_rhs92" localSheetId="4" hidden="1">1</definedName>
    <definedName name="solver_rhs93" localSheetId="3" hidden="1">1</definedName>
    <definedName name="solver_rhs93" localSheetId="4" hidden="1">1</definedName>
    <definedName name="solver_rhs94" localSheetId="3" hidden="1">1</definedName>
    <definedName name="solver_rhs94" localSheetId="4" hidden="1">1</definedName>
    <definedName name="solver_rhs95" localSheetId="3" hidden="1">1</definedName>
    <definedName name="solver_rhs95" localSheetId="4" hidden="1">1</definedName>
    <definedName name="solver_rhs96" localSheetId="3" hidden="1">1</definedName>
    <definedName name="solver_rhs96" localSheetId="4" hidden="1">1</definedName>
    <definedName name="solver_rhs97" localSheetId="3" hidden="1">1</definedName>
    <definedName name="solver_rhs97" localSheetId="4" hidden="1">1</definedName>
    <definedName name="solver_rhs98" localSheetId="3" hidden="1">1</definedName>
    <definedName name="solver_rhs98" localSheetId="4" hidden="1">1</definedName>
    <definedName name="solver_rhs99" localSheetId="3" hidden="1">1</definedName>
    <definedName name="solver_rhs99" localSheetId="4" hidden="1">1</definedName>
    <definedName name="solver_rlx" localSheetId="6" hidden="1">1</definedName>
    <definedName name="solver_rlx" localSheetId="3" hidden="1">2</definedName>
    <definedName name="solver_rlx" localSheetId="4" hidden="1">2</definedName>
    <definedName name="solver_rlx" localSheetId="7" hidden="1">2</definedName>
    <definedName name="solver_rlx" localSheetId="9" hidden="1">1</definedName>
    <definedName name="solver_rsd" localSheetId="6" hidden="1">0</definedName>
    <definedName name="solver_rsd" localSheetId="3" hidden="1">0</definedName>
    <definedName name="solver_rsd" localSheetId="4" hidden="1">0</definedName>
    <definedName name="solver_rsd" localSheetId="7" hidden="1">0</definedName>
    <definedName name="solver_rsd" localSheetId="9" hidden="1">0</definedName>
    <definedName name="solver_scl" localSheetId="6" hidden="1">1</definedName>
    <definedName name="solver_scl" localSheetId="3" hidden="1">1</definedName>
    <definedName name="solver_scl" localSheetId="4" hidden="1">1</definedName>
    <definedName name="solver_scl" localSheetId="7" hidden="1">2</definedName>
    <definedName name="solver_scl" localSheetId="9" hidden="1">1</definedName>
    <definedName name="solver_sho" localSheetId="6" hidden="1">2</definedName>
    <definedName name="solver_sho" localSheetId="3" hidden="1">2</definedName>
    <definedName name="solver_sho" localSheetId="4" hidden="1">2</definedName>
    <definedName name="solver_sho" localSheetId="7" hidden="1">2</definedName>
    <definedName name="solver_sho" localSheetId="9" hidden="1">1</definedName>
    <definedName name="solver_ssz" localSheetId="6" hidden="1">195</definedName>
    <definedName name="solver_ssz" localSheetId="3" hidden="1">100</definedName>
    <definedName name="solver_ssz" localSheetId="4" hidden="1">100</definedName>
    <definedName name="solver_ssz" localSheetId="7" hidden="1">100</definedName>
    <definedName name="solver_ssz" localSheetId="9" hidden="1">100</definedName>
    <definedName name="solver_tim" localSheetId="6" hidden="1">20</definedName>
    <definedName name="solver_tim" localSheetId="3" hidden="1">2147483647</definedName>
    <definedName name="solver_tim" localSheetId="4" hidden="1">2147483647</definedName>
    <definedName name="solver_tim" localSheetId="7" hidden="1">2147483647</definedName>
    <definedName name="solver_tim" localSheetId="9" hidden="1">10</definedName>
    <definedName name="solver_tol" localSheetId="6" hidden="1">0</definedName>
    <definedName name="solver_tol" localSheetId="3" hidden="1">0.01</definedName>
    <definedName name="solver_tol" localSheetId="4" hidden="1">0.01</definedName>
    <definedName name="solver_tol" localSheetId="7" hidden="1">0.01</definedName>
    <definedName name="solver_tol" localSheetId="9" hidden="1">0</definedName>
    <definedName name="solver_typ" localSheetId="6" hidden="1">2</definedName>
    <definedName name="solver_typ" localSheetId="3" hidden="1">1</definedName>
    <definedName name="solver_typ" localSheetId="4" hidden="1">1</definedName>
    <definedName name="solver_typ" localSheetId="7" hidden="1">2</definedName>
    <definedName name="solver_typ" localSheetId="9" hidden="1">1</definedName>
    <definedName name="solver_val" localSheetId="6" hidden="1">0</definedName>
    <definedName name="solver_val" localSheetId="3" hidden="1">0.386</definedName>
    <definedName name="solver_val" localSheetId="4" hidden="1">0</definedName>
    <definedName name="solver_val" localSheetId="7" hidden="1">0</definedName>
    <definedName name="solver_val" localSheetId="9" hidden="1">0</definedName>
    <definedName name="solver_ver" localSheetId="6" hidden="1">3</definedName>
    <definedName name="solver_ver" localSheetId="3" hidden="1">3</definedName>
    <definedName name="solver_ver" localSheetId="4" hidden="1">3</definedName>
    <definedName name="solver_ver" localSheetId="7" hidden="1">3</definedName>
    <definedName name="solver_ver" localSheetId="9" hidden="1">3</definedName>
    <definedName name="t°K">Sheet1!$J$4</definedName>
    <definedName name="VcMax_t">Sheet1!$D$8</definedName>
    <definedName name="Vp_LL">fitting!$B$6</definedName>
    <definedName name="VpMax_t">Sheet1!$D$10</definedName>
  </definedNames>
  <calcPr calcId="191029" iterateCount="1000"/>
  <pivotCaches>
    <pivotCache cacheId="0" r:id="rId11"/>
  </pivotCaches>
</workbook>
</file>

<file path=xl/calcChain.xml><?xml version="1.0" encoding="utf-8"?>
<calcChain xmlns="http://schemas.openxmlformats.org/spreadsheetml/2006/main">
  <c r="P8" i="13" l="1"/>
  <c r="P9" i="13"/>
  <c r="P10" i="13"/>
  <c r="P11" i="13"/>
  <c r="P12" i="13"/>
  <c r="P13" i="13"/>
  <c r="P14" i="13"/>
  <c r="P15" i="13"/>
  <c r="P16" i="13"/>
  <c r="P7" i="13"/>
  <c r="BJ4" i="8" l="1"/>
  <c r="BJ5" i="8"/>
  <c r="BJ6" i="8"/>
  <c r="BJ7" i="8"/>
  <c r="BJ8" i="8"/>
  <c r="BJ9" i="8"/>
  <c r="BJ10" i="8"/>
  <c r="BJ11" i="8"/>
  <c r="BJ12" i="8"/>
  <c r="BJ13" i="8"/>
  <c r="BJ14" i="8"/>
  <c r="BJ15" i="8"/>
  <c r="BJ16" i="8"/>
  <c r="BJ17" i="8"/>
  <c r="BJ18" i="8"/>
  <c r="BJ19" i="8"/>
  <c r="BJ20" i="8"/>
  <c r="BJ21" i="8"/>
  <c r="BJ22" i="8"/>
  <c r="BJ23" i="8"/>
  <c r="BJ24" i="8"/>
  <c r="BJ25" i="8"/>
  <c r="BJ26" i="8"/>
  <c r="BJ27" i="8"/>
  <c r="BJ28" i="8"/>
  <c r="BJ29" i="8"/>
  <c r="BJ30" i="8"/>
  <c r="BJ31" i="8"/>
  <c r="BJ32" i="8"/>
  <c r="BJ33" i="8"/>
  <c r="BJ34" i="8"/>
  <c r="BJ35" i="8"/>
  <c r="BJ36" i="8"/>
  <c r="BJ37" i="8"/>
  <c r="BJ38" i="8"/>
  <c r="BJ39" i="8"/>
  <c r="BJ40" i="8"/>
  <c r="BJ41" i="8"/>
  <c r="BJ42" i="8"/>
  <c r="BJ43" i="8"/>
  <c r="BJ44" i="8"/>
  <c r="BJ45" i="8"/>
  <c r="BJ46" i="8"/>
  <c r="BJ47" i="8"/>
  <c r="BJ48" i="8"/>
  <c r="BJ49" i="8"/>
  <c r="BJ50" i="8"/>
  <c r="BJ51" i="8"/>
  <c r="BJ52" i="8"/>
  <c r="BJ53" i="8"/>
  <c r="BJ54" i="8"/>
  <c r="BJ55" i="8"/>
  <c r="BJ56" i="8"/>
  <c r="BJ57" i="8"/>
  <c r="BJ58" i="8"/>
  <c r="BJ59" i="8"/>
  <c r="BJ60" i="8"/>
  <c r="BJ61" i="8"/>
  <c r="BJ62" i="8"/>
  <c r="BJ63" i="8"/>
  <c r="BJ64" i="8"/>
  <c r="BJ65" i="8"/>
  <c r="BJ66" i="8"/>
  <c r="BJ67" i="8"/>
  <c r="BJ68" i="8"/>
  <c r="BJ69" i="8"/>
  <c r="BJ70" i="8"/>
  <c r="BJ71" i="8"/>
  <c r="BJ72" i="8"/>
  <c r="BJ73" i="8"/>
  <c r="BJ74" i="8"/>
  <c r="BJ75" i="8"/>
  <c r="BJ76" i="8"/>
  <c r="BJ77" i="8"/>
  <c r="BJ78" i="8"/>
  <c r="BJ79" i="8"/>
  <c r="BJ80" i="8"/>
  <c r="BJ81" i="8"/>
  <c r="BJ82" i="8"/>
  <c r="BJ83" i="8"/>
  <c r="BJ84" i="8"/>
  <c r="BJ85" i="8"/>
  <c r="BJ86" i="8"/>
  <c r="BJ87" i="8"/>
  <c r="BJ88" i="8"/>
  <c r="BJ89" i="8"/>
  <c r="BJ90" i="8"/>
  <c r="BJ91" i="8"/>
  <c r="BJ92" i="8"/>
  <c r="BJ93" i="8"/>
  <c r="BJ94" i="8"/>
  <c r="BJ95" i="8"/>
  <c r="BJ96" i="8"/>
  <c r="BJ97" i="8"/>
  <c r="BJ98" i="8"/>
  <c r="BJ99" i="8"/>
  <c r="BJ100" i="8"/>
  <c r="BJ101" i="8"/>
  <c r="BJ102" i="8"/>
  <c r="BJ103" i="8"/>
  <c r="BJ104" i="8"/>
  <c r="BJ105" i="8"/>
  <c r="BJ106" i="8"/>
  <c r="BJ107" i="8"/>
  <c r="BJ108" i="8"/>
  <c r="BJ109" i="8"/>
  <c r="BJ110" i="8"/>
  <c r="BJ111" i="8"/>
  <c r="BJ112" i="8"/>
  <c r="BJ113" i="8"/>
  <c r="BJ114" i="8"/>
  <c r="BJ115" i="8"/>
  <c r="BJ116" i="8"/>
  <c r="BJ117" i="8"/>
  <c r="BJ118" i="8"/>
  <c r="BJ119" i="8"/>
  <c r="BJ120" i="8"/>
  <c r="BJ121" i="8"/>
  <c r="BJ122" i="8"/>
  <c r="BJ123" i="8"/>
  <c r="BJ124" i="8"/>
  <c r="BJ125" i="8"/>
  <c r="BJ126" i="8"/>
  <c r="BJ127" i="8"/>
  <c r="BJ128" i="8"/>
  <c r="BJ129" i="8"/>
  <c r="BJ130" i="8"/>
  <c r="BJ131" i="8"/>
  <c r="BJ132" i="8"/>
  <c r="BJ133" i="8"/>
  <c r="BJ134" i="8"/>
  <c r="BJ135" i="8"/>
  <c r="BJ136" i="8"/>
  <c r="BJ137" i="8"/>
  <c r="BJ138" i="8"/>
  <c r="BJ139" i="8"/>
  <c r="BJ140" i="8"/>
  <c r="BJ141" i="8"/>
  <c r="BJ142" i="8"/>
  <c r="BJ143" i="8"/>
  <c r="BJ144" i="8"/>
  <c r="BJ145" i="8"/>
  <c r="BJ146" i="8"/>
  <c r="BJ147" i="8"/>
  <c r="BJ148" i="8"/>
  <c r="BJ149" i="8"/>
  <c r="BJ150" i="8"/>
  <c r="BJ151" i="8"/>
  <c r="BJ152" i="8"/>
  <c r="BJ153" i="8"/>
  <c r="BJ154" i="8"/>
  <c r="BJ155" i="8"/>
  <c r="BJ156" i="8"/>
  <c r="BJ157" i="8"/>
  <c r="BJ158" i="8"/>
  <c r="BJ159" i="8"/>
  <c r="BJ160" i="8"/>
  <c r="BJ161" i="8"/>
  <c r="BJ162" i="8"/>
  <c r="BJ163" i="8"/>
  <c r="BJ164" i="8"/>
  <c r="BJ165" i="8"/>
  <c r="BJ166" i="8"/>
  <c r="BJ167" i="8"/>
  <c r="BJ168" i="8"/>
  <c r="BJ169" i="8"/>
  <c r="BJ170" i="8"/>
  <c r="BJ171" i="8"/>
  <c r="BJ172" i="8"/>
  <c r="BJ173" i="8"/>
  <c r="BJ174" i="8"/>
  <c r="BJ175" i="8"/>
  <c r="BJ176" i="8"/>
  <c r="BJ177" i="8"/>
  <c r="BJ178" i="8"/>
  <c r="BJ179" i="8"/>
  <c r="BJ180" i="8"/>
  <c r="BJ181" i="8"/>
  <c r="BJ182" i="8"/>
  <c r="BJ183" i="8"/>
  <c r="BJ184" i="8"/>
  <c r="BJ185" i="8"/>
  <c r="BJ186" i="8"/>
  <c r="BJ187" i="8"/>
  <c r="BJ188" i="8"/>
  <c r="BJ189" i="8"/>
  <c r="BJ190" i="8"/>
  <c r="BJ191" i="8"/>
  <c r="BJ192" i="8"/>
  <c r="BJ193" i="8"/>
  <c r="BJ194" i="8"/>
  <c r="BJ195" i="8"/>
  <c r="BJ196" i="8"/>
  <c r="BJ197" i="8"/>
  <c r="BJ198" i="8"/>
  <c r="BJ199" i="8"/>
  <c r="BJ200" i="8"/>
  <c r="BJ201" i="8"/>
  <c r="BJ202" i="8"/>
  <c r="BJ203" i="8"/>
  <c r="BJ204" i="8"/>
  <c r="BJ205" i="8"/>
  <c r="BJ206" i="8"/>
  <c r="BJ207" i="8"/>
  <c r="BJ208" i="8"/>
  <c r="BJ209" i="8"/>
  <c r="BJ210" i="8"/>
  <c r="BJ211" i="8"/>
  <c r="BJ212" i="8"/>
  <c r="BJ213" i="8"/>
  <c r="BJ214" i="8"/>
  <c r="BJ215" i="8"/>
  <c r="BJ216" i="8"/>
  <c r="BJ217" i="8"/>
  <c r="BJ218" i="8"/>
  <c r="BJ219" i="8"/>
  <c r="BJ220" i="8"/>
  <c r="BJ221" i="8"/>
  <c r="BJ222" i="8"/>
  <c r="BJ223" i="8"/>
  <c r="BJ224" i="8"/>
  <c r="BJ225" i="8"/>
  <c r="BJ226" i="8"/>
  <c r="BJ227" i="8"/>
  <c r="BJ228" i="8"/>
  <c r="BJ229" i="8"/>
  <c r="BJ230" i="8"/>
  <c r="BJ231" i="8"/>
  <c r="BJ232" i="8"/>
  <c r="BJ233" i="8"/>
  <c r="BJ234" i="8"/>
  <c r="BJ235" i="8"/>
  <c r="BJ236" i="8"/>
  <c r="BJ237" i="8"/>
  <c r="BJ238" i="8"/>
  <c r="BJ239" i="8"/>
  <c r="BJ240" i="8"/>
  <c r="BJ241" i="8"/>
  <c r="BJ242" i="8"/>
  <c r="BJ243" i="8"/>
  <c r="BJ244" i="8"/>
  <c r="BJ245" i="8"/>
  <c r="BJ246" i="8"/>
  <c r="BJ247" i="8"/>
  <c r="BJ248" i="8"/>
  <c r="BJ249" i="8"/>
  <c r="BJ250" i="8"/>
  <c r="BJ251" i="8"/>
  <c r="BJ252" i="8"/>
  <c r="BJ253" i="8"/>
  <c r="BJ254" i="8"/>
  <c r="BJ255" i="8"/>
  <c r="BJ256" i="8"/>
  <c r="BJ257" i="8"/>
  <c r="BJ258" i="8"/>
  <c r="BJ259" i="8"/>
  <c r="BJ260" i="8"/>
  <c r="BJ261" i="8"/>
  <c r="BJ262" i="8"/>
  <c r="BJ263" i="8"/>
  <c r="BJ264" i="8"/>
  <c r="BJ265" i="8"/>
  <c r="BJ266" i="8"/>
  <c r="BJ267" i="8"/>
  <c r="BJ268" i="8"/>
  <c r="BJ269" i="8"/>
  <c r="BJ270" i="8"/>
  <c r="BJ271" i="8"/>
  <c r="BJ272" i="8"/>
  <c r="BJ273" i="8"/>
  <c r="BJ274" i="8"/>
  <c r="BJ275" i="8"/>
  <c r="BJ276" i="8"/>
  <c r="BJ277" i="8"/>
  <c r="BJ278" i="8"/>
  <c r="BJ279" i="8"/>
  <c r="BJ280" i="8"/>
  <c r="BJ281" i="8"/>
  <c r="BJ282" i="8"/>
  <c r="BJ283" i="8"/>
  <c r="BJ284" i="8"/>
  <c r="BJ285" i="8"/>
  <c r="BJ286" i="8"/>
  <c r="BJ287" i="8"/>
  <c r="BJ288" i="8"/>
  <c r="BJ289" i="8"/>
  <c r="BJ290" i="8"/>
  <c r="BJ291" i="8"/>
  <c r="BJ292" i="8"/>
  <c r="BJ293" i="8"/>
  <c r="BJ294" i="8"/>
  <c r="BJ295" i="8"/>
  <c r="BJ296" i="8"/>
  <c r="BJ297" i="8"/>
  <c r="BJ298" i="8"/>
  <c r="BJ299" i="8"/>
  <c r="BJ300" i="8"/>
  <c r="BJ301" i="8"/>
  <c r="BJ302" i="8"/>
  <c r="BJ303" i="8"/>
  <c r="BJ304" i="8"/>
  <c r="BJ305" i="8"/>
  <c r="BJ306" i="8"/>
  <c r="BJ307" i="8"/>
  <c r="BJ308" i="8"/>
  <c r="BJ309" i="8"/>
  <c r="BJ310" i="8"/>
  <c r="BJ311" i="8"/>
  <c r="BJ312" i="8"/>
  <c r="BJ313" i="8"/>
  <c r="BJ314" i="8"/>
  <c r="BJ315" i="8"/>
  <c r="BJ316" i="8"/>
  <c r="BJ317" i="8"/>
  <c r="BJ318" i="8"/>
  <c r="BJ319" i="8"/>
  <c r="BJ320" i="8"/>
  <c r="BJ321" i="8"/>
  <c r="BJ322" i="8"/>
  <c r="BJ323" i="8"/>
  <c r="BJ324" i="8"/>
  <c r="BJ325" i="8"/>
  <c r="BJ326" i="8"/>
  <c r="BJ327" i="8"/>
  <c r="BJ328" i="8"/>
  <c r="BJ329" i="8"/>
  <c r="BJ330" i="8"/>
  <c r="BJ331" i="8"/>
  <c r="BJ332" i="8"/>
  <c r="BJ333" i="8"/>
  <c r="BJ334" i="8"/>
  <c r="BJ335" i="8"/>
  <c r="BJ336" i="8"/>
  <c r="BJ337" i="8"/>
  <c r="BJ338" i="8"/>
  <c r="BJ339" i="8"/>
  <c r="BJ340" i="8"/>
  <c r="BJ341" i="8"/>
  <c r="BJ342" i="8"/>
  <c r="BJ343" i="8"/>
  <c r="BJ344" i="8"/>
  <c r="BJ345" i="8"/>
  <c r="BJ346" i="8"/>
  <c r="BJ347" i="8"/>
  <c r="BJ348" i="8"/>
  <c r="BJ349" i="8"/>
  <c r="BJ350" i="8"/>
  <c r="BJ351" i="8"/>
  <c r="BJ352" i="8"/>
  <c r="BJ353" i="8"/>
  <c r="BJ354" i="8"/>
  <c r="BJ355" i="8"/>
  <c r="BJ356" i="8"/>
  <c r="BJ357" i="8"/>
  <c r="BJ358" i="8"/>
  <c r="BJ359" i="8"/>
  <c r="BJ360" i="8"/>
  <c r="BJ361" i="8"/>
  <c r="BJ362" i="8"/>
  <c r="BJ363" i="8"/>
  <c r="BJ364" i="8"/>
  <c r="BJ365" i="8"/>
  <c r="BJ366" i="8"/>
  <c r="BJ367" i="8"/>
  <c r="BJ368" i="8"/>
  <c r="BJ369" i="8"/>
  <c r="BJ370" i="8"/>
  <c r="BJ371" i="8"/>
  <c r="BJ372" i="8"/>
  <c r="BJ373" i="8"/>
  <c r="BJ374" i="8"/>
  <c r="BJ375" i="8"/>
  <c r="BJ376" i="8"/>
  <c r="BJ377" i="8"/>
  <c r="BJ378" i="8"/>
  <c r="BJ379" i="8"/>
  <c r="BJ380" i="8"/>
  <c r="BJ381" i="8"/>
  <c r="BJ382" i="8"/>
  <c r="BJ383" i="8"/>
  <c r="BJ384" i="8"/>
  <c r="BJ385" i="8"/>
  <c r="BJ386" i="8"/>
  <c r="BJ387" i="8"/>
  <c r="BJ388" i="8"/>
  <c r="BJ389" i="8"/>
  <c r="BJ390" i="8"/>
  <c r="BJ391" i="8"/>
  <c r="BJ392" i="8"/>
  <c r="BJ393" i="8"/>
  <c r="BJ394" i="8"/>
  <c r="BJ395" i="8"/>
  <c r="BJ396" i="8"/>
  <c r="BJ397" i="8"/>
  <c r="BJ398" i="8"/>
  <c r="BJ399" i="8"/>
  <c r="BJ400" i="8"/>
  <c r="BJ401" i="8"/>
  <c r="BJ402" i="8"/>
  <c r="BJ403" i="8"/>
  <c r="BJ404" i="8"/>
  <c r="BJ405" i="8"/>
  <c r="BJ406" i="8"/>
  <c r="BJ407" i="8"/>
  <c r="BJ408" i="8"/>
  <c r="BJ409" i="8"/>
  <c r="BJ410" i="8"/>
  <c r="BJ411" i="8"/>
  <c r="BJ412" i="8"/>
  <c r="BJ413" i="8"/>
  <c r="BJ414" i="8"/>
  <c r="BJ415" i="8"/>
  <c r="BJ416" i="8"/>
  <c r="BJ417" i="8"/>
  <c r="BJ418" i="8"/>
  <c r="BJ419" i="8"/>
  <c r="BJ420" i="8"/>
  <c r="BJ421" i="8"/>
  <c r="BJ422" i="8"/>
  <c r="BJ423" i="8"/>
  <c r="BJ424" i="8"/>
  <c r="BJ425" i="8"/>
  <c r="BJ426" i="8"/>
  <c r="BJ427" i="8"/>
  <c r="BJ428" i="8"/>
  <c r="BJ429" i="8"/>
  <c r="BJ430" i="8"/>
  <c r="BJ431" i="8"/>
  <c r="BJ432" i="8"/>
  <c r="BJ433" i="8"/>
  <c r="BJ434" i="8"/>
  <c r="BJ435" i="8"/>
  <c r="BJ436" i="8"/>
  <c r="BJ437" i="8"/>
  <c r="BJ438" i="8"/>
  <c r="BJ439" i="8"/>
  <c r="BJ440" i="8"/>
  <c r="BJ441" i="8"/>
  <c r="BJ442" i="8"/>
  <c r="BJ443" i="8"/>
  <c r="BJ444" i="8"/>
  <c r="BJ445" i="8"/>
  <c r="BJ446" i="8"/>
  <c r="BJ447" i="8"/>
  <c r="BJ448" i="8"/>
  <c r="BJ449" i="8"/>
  <c r="BJ450" i="8"/>
  <c r="BJ451" i="8"/>
  <c r="BJ452" i="8"/>
  <c r="BJ453" i="8"/>
  <c r="BJ454" i="8"/>
  <c r="BJ455" i="8"/>
  <c r="BJ456" i="8"/>
  <c r="BJ457" i="8"/>
  <c r="BJ458" i="8"/>
  <c r="BJ459" i="8"/>
  <c r="BJ460" i="8"/>
  <c r="BJ461" i="8"/>
  <c r="BJ462" i="8"/>
  <c r="BJ463" i="8"/>
  <c r="BJ464" i="8"/>
  <c r="BJ465" i="8"/>
  <c r="BJ466" i="8"/>
  <c r="BJ467" i="8"/>
  <c r="BJ468" i="8"/>
  <c r="BJ469" i="8"/>
  <c r="BJ470" i="8"/>
  <c r="BJ471" i="8"/>
  <c r="BJ472" i="8"/>
  <c r="BJ473" i="8"/>
  <c r="BJ474" i="8"/>
  <c r="BJ475" i="8"/>
  <c r="BJ476" i="8"/>
  <c r="BJ477" i="8"/>
  <c r="BJ478" i="8"/>
  <c r="BJ479" i="8"/>
  <c r="BJ480" i="8"/>
  <c r="BJ481" i="8"/>
  <c r="BJ482" i="8"/>
  <c r="BJ483" i="8"/>
  <c r="BJ484" i="8"/>
  <c r="BJ485" i="8"/>
  <c r="BJ486" i="8"/>
  <c r="BJ487" i="8"/>
  <c r="BJ488" i="8"/>
  <c r="BJ489" i="8"/>
  <c r="BJ490" i="8"/>
  <c r="BJ491" i="8"/>
  <c r="BJ492" i="8"/>
  <c r="BJ493" i="8"/>
  <c r="BJ494" i="8"/>
  <c r="BJ495" i="8"/>
  <c r="BJ496" i="8"/>
  <c r="BJ497" i="8"/>
  <c r="BJ498" i="8"/>
  <c r="BJ499" i="8"/>
  <c r="BJ500" i="8"/>
  <c r="BJ501" i="8"/>
  <c r="BJ502" i="8"/>
  <c r="BJ503" i="8"/>
  <c r="BJ504" i="8"/>
  <c r="BJ505" i="8"/>
  <c r="BJ506" i="8"/>
  <c r="BJ507" i="8"/>
  <c r="BJ508" i="8"/>
  <c r="BJ509" i="8"/>
  <c r="BJ510" i="8"/>
  <c r="BJ511" i="8"/>
  <c r="BJ512" i="8"/>
  <c r="BJ513" i="8"/>
  <c r="BJ514" i="8"/>
  <c r="BJ515" i="8"/>
  <c r="BJ516" i="8"/>
  <c r="BJ517" i="8"/>
  <c r="BJ518" i="8"/>
  <c r="BJ519" i="8"/>
  <c r="BJ520" i="8"/>
  <c r="BJ521" i="8"/>
  <c r="BJ522" i="8"/>
  <c r="BJ523" i="8"/>
  <c r="BJ524" i="8"/>
  <c r="BJ525" i="8"/>
  <c r="BJ526" i="8"/>
  <c r="BJ527" i="8"/>
  <c r="BJ528" i="8"/>
  <c r="BJ529" i="8"/>
  <c r="BJ530" i="8"/>
  <c r="BJ531" i="8"/>
  <c r="BJ532" i="8"/>
  <c r="BJ533" i="8"/>
  <c r="BJ534" i="8"/>
  <c r="BJ535" i="8"/>
  <c r="BJ536" i="8"/>
  <c r="BJ537" i="8"/>
  <c r="BJ538" i="8"/>
  <c r="BJ539" i="8"/>
  <c r="BJ540" i="8"/>
  <c r="BJ541" i="8"/>
  <c r="BJ542" i="8"/>
  <c r="BJ543" i="8"/>
  <c r="BJ544" i="8"/>
  <c r="BJ545" i="8"/>
  <c r="BJ546" i="8"/>
  <c r="BJ547" i="8"/>
  <c r="BJ548" i="8"/>
  <c r="BJ549" i="8"/>
  <c r="BJ550" i="8"/>
  <c r="BJ551" i="8"/>
  <c r="BJ552" i="8"/>
  <c r="BJ553" i="8"/>
  <c r="BJ554" i="8"/>
  <c r="BJ555" i="8"/>
  <c r="BJ556" i="8"/>
  <c r="BJ557" i="8"/>
  <c r="BJ558" i="8"/>
  <c r="BJ559" i="8"/>
  <c r="BJ560" i="8"/>
  <c r="BJ561" i="8"/>
  <c r="BJ562" i="8"/>
  <c r="BJ563" i="8"/>
  <c r="BJ564" i="8"/>
  <c r="BJ565" i="8"/>
  <c r="BJ566" i="8"/>
  <c r="BJ567" i="8"/>
  <c r="BJ568" i="8"/>
  <c r="BJ569" i="8"/>
  <c r="BJ570" i="8"/>
  <c r="BJ571" i="8"/>
  <c r="BJ572" i="8"/>
  <c r="BJ573" i="8"/>
  <c r="BJ574" i="8"/>
  <c r="BJ575" i="8"/>
  <c r="BJ576" i="8"/>
  <c r="BJ577" i="8"/>
  <c r="BJ578" i="8"/>
  <c r="BJ579" i="8"/>
  <c r="BJ580" i="8"/>
  <c r="BJ581" i="8"/>
  <c r="BJ582" i="8"/>
  <c r="BJ583" i="8"/>
  <c r="BJ584" i="8"/>
  <c r="BJ585" i="8"/>
  <c r="BJ586" i="8"/>
  <c r="BJ587" i="8"/>
  <c r="BJ588" i="8"/>
  <c r="BJ589" i="8"/>
  <c r="BJ590" i="8"/>
  <c r="BJ591" i="8"/>
  <c r="BJ592" i="8"/>
  <c r="BJ593" i="8"/>
  <c r="BJ594" i="8"/>
  <c r="BJ595" i="8"/>
  <c r="BJ596" i="8"/>
  <c r="BJ597" i="8"/>
  <c r="BJ598" i="8"/>
  <c r="BJ599" i="8"/>
  <c r="BJ600" i="8"/>
  <c r="BJ601" i="8"/>
  <c r="BJ602" i="8"/>
  <c r="BJ603" i="8"/>
  <c r="BJ604" i="8"/>
  <c r="BJ605" i="8"/>
  <c r="BJ606" i="8"/>
  <c r="BJ607" i="8"/>
  <c r="BJ608" i="8"/>
  <c r="BJ609" i="8"/>
  <c r="BJ610" i="8"/>
  <c r="BJ611" i="8"/>
  <c r="BJ612" i="8"/>
  <c r="BJ613" i="8"/>
  <c r="BJ614" i="8"/>
  <c r="BJ615" i="8"/>
  <c r="BJ616" i="8"/>
  <c r="BJ617" i="8"/>
  <c r="BJ618" i="8"/>
  <c r="BJ619" i="8"/>
  <c r="BJ620" i="8"/>
  <c r="BJ621" i="8"/>
  <c r="BJ622" i="8"/>
  <c r="BJ623" i="8"/>
  <c r="BJ624" i="8"/>
  <c r="BJ625" i="8"/>
  <c r="BJ626" i="8"/>
  <c r="BJ627" i="8"/>
  <c r="BJ628" i="8"/>
  <c r="BJ629" i="8"/>
  <c r="BJ630" i="8"/>
  <c r="BJ631" i="8"/>
  <c r="BJ632" i="8"/>
  <c r="BJ633" i="8"/>
  <c r="BJ634" i="8"/>
  <c r="BJ635" i="8"/>
  <c r="BJ636" i="8"/>
  <c r="BJ637" i="8"/>
  <c r="BJ638" i="8"/>
  <c r="BJ639" i="8"/>
  <c r="BJ640" i="8"/>
  <c r="BJ641" i="8"/>
  <c r="BJ642" i="8"/>
  <c r="BJ643" i="8"/>
  <c r="BJ644" i="8"/>
  <c r="BJ645" i="8"/>
  <c r="BJ646" i="8"/>
  <c r="BJ647" i="8"/>
  <c r="BJ648" i="8"/>
  <c r="BJ649" i="8"/>
  <c r="BJ650" i="8"/>
  <c r="BJ651" i="8"/>
  <c r="BJ652" i="8"/>
  <c r="BJ653" i="8"/>
  <c r="BJ654" i="8"/>
  <c r="BJ655" i="8"/>
  <c r="BJ656" i="8"/>
  <c r="BJ657" i="8"/>
  <c r="BJ658" i="8"/>
  <c r="BJ659" i="8"/>
  <c r="BJ660" i="8"/>
  <c r="BJ661" i="8"/>
  <c r="BJ662" i="8"/>
  <c r="BJ663" i="8"/>
  <c r="BJ664" i="8"/>
  <c r="BJ665" i="8"/>
  <c r="BJ666" i="8"/>
  <c r="BJ667" i="8"/>
  <c r="BJ668" i="8"/>
  <c r="BJ669" i="8"/>
  <c r="BJ670" i="8"/>
  <c r="BJ671" i="8"/>
  <c r="BJ672" i="8"/>
  <c r="BJ673" i="8"/>
  <c r="BJ674" i="8"/>
  <c r="BJ675" i="8"/>
  <c r="BJ676" i="8"/>
  <c r="BJ677" i="8"/>
  <c r="BJ678" i="8"/>
  <c r="BJ679" i="8"/>
  <c r="BJ680" i="8"/>
  <c r="BJ681" i="8"/>
  <c r="BJ682" i="8"/>
  <c r="BJ683" i="8"/>
  <c r="BJ684" i="8"/>
  <c r="BJ685" i="8"/>
  <c r="BJ686" i="8"/>
  <c r="BJ687" i="8"/>
  <c r="BJ688" i="8"/>
  <c r="BJ689" i="8"/>
  <c r="BJ690" i="8"/>
  <c r="BJ691" i="8"/>
  <c r="BJ692" i="8"/>
  <c r="BJ693" i="8"/>
  <c r="BJ694" i="8"/>
  <c r="BJ695" i="8"/>
  <c r="BJ696" i="8"/>
  <c r="BJ697" i="8"/>
  <c r="BJ698" i="8"/>
  <c r="BJ699" i="8"/>
  <c r="BJ700" i="8"/>
  <c r="BJ701" i="8"/>
  <c r="BJ702" i="8"/>
  <c r="BJ703" i="8"/>
  <c r="BJ704" i="8"/>
  <c r="BJ705" i="8"/>
  <c r="BJ706" i="8"/>
  <c r="BJ707" i="8"/>
  <c r="BJ708" i="8"/>
  <c r="BJ709" i="8"/>
  <c r="BJ710" i="8"/>
  <c r="BJ711" i="8"/>
  <c r="BJ712" i="8"/>
  <c r="BJ713" i="8"/>
  <c r="BJ714" i="8"/>
  <c r="BJ715" i="8"/>
  <c r="BJ716" i="8"/>
  <c r="BJ717" i="8"/>
  <c r="BJ718" i="8"/>
  <c r="BJ719" i="8"/>
  <c r="BJ720" i="8"/>
  <c r="BJ721" i="8"/>
  <c r="BJ722" i="8"/>
  <c r="BJ723" i="8"/>
  <c r="BJ724" i="8"/>
  <c r="BJ725" i="8"/>
  <c r="BJ726" i="8"/>
  <c r="BJ727" i="8"/>
  <c r="BJ728" i="8"/>
  <c r="BJ729" i="8"/>
  <c r="BJ730" i="8"/>
  <c r="BJ731" i="8"/>
  <c r="BJ732" i="8"/>
  <c r="BJ733" i="8"/>
  <c r="BJ734" i="8"/>
  <c r="BJ735" i="8"/>
  <c r="BJ736" i="8"/>
  <c r="BJ737" i="8"/>
  <c r="BJ738" i="8"/>
  <c r="BJ739" i="8"/>
  <c r="BJ740" i="8"/>
  <c r="BJ741" i="8"/>
  <c r="BJ742" i="8"/>
  <c r="BJ743" i="8"/>
  <c r="BJ744" i="8"/>
  <c r="BJ745" i="8"/>
  <c r="BJ746" i="8"/>
  <c r="BJ747" i="8"/>
  <c r="BJ748" i="8"/>
  <c r="BJ749" i="8"/>
  <c r="BJ750" i="8"/>
  <c r="BJ751" i="8"/>
  <c r="BJ752" i="8"/>
  <c r="BJ753" i="8"/>
  <c r="BJ754" i="8"/>
  <c r="BJ755" i="8"/>
  <c r="BJ756" i="8"/>
  <c r="BJ757" i="8"/>
  <c r="BJ758" i="8"/>
  <c r="BJ759" i="8"/>
  <c r="BJ760" i="8"/>
  <c r="BJ761" i="8"/>
  <c r="BJ762" i="8"/>
  <c r="BJ763" i="8"/>
  <c r="BJ764" i="8"/>
  <c r="BJ765" i="8"/>
  <c r="BJ766" i="8"/>
  <c r="BJ767" i="8"/>
  <c r="BJ768" i="8"/>
  <c r="BJ769" i="8"/>
  <c r="BJ770" i="8"/>
  <c r="BJ771" i="8"/>
  <c r="BJ772" i="8"/>
  <c r="BJ773" i="8"/>
  <c r="BJ774" i="8"/>
  <c r="BJ775" i="8"/>
  <c r="BJ776" i="8"/>
  <c r="BJ777" i="8"/>
  <c r="BJ778" i="8"/>
  <c r="BJ779" i="8"/>
  <c r="BJ780" i="8"/>
  <c r="BJ781" i="8"/>
  <c r="BJ782" i="8"/>
  <c r="BJ783" i="8"/>
  <c r="BJ784" i="8"/>
  <c r="BJ785" i="8"/>
  <c r="BJ786" i="8"/>
  <c r="BJ787" i="8"/>
  <c r="BJ788" i="8"/>
  <c r="BJ789" i="8"/>
  <c r="BJ790" i="8"/>
  <c r="BJ791" i="8"/>
  <c r="BJ792" i="8"/>
  <c r="BJ793" i="8"/>
  <c r="BJ794" i="8"/>
  <c r="BJ795" i="8"/>
  <c r="BJ796" i="8"/>
  <c r="BJ797" i="8"/>
  <c r="BJ798" i="8"/>
  <c r="BJ799" i="8"/>
  <c r="BJ800" i="8"/>
  <c r="BJ801" i="8"/>
  <c r="BJ802" i="8"/>
  <c r="BJ803" i="8"/>
  <c r="BJ804" i="8"/>
  <c r="BJ805" i="8"/>
  <c r="BJ806" i="8"/>
  <c r="BJ807" i="8"/>
  <c r="BJ808" i="8"/>
  <c r="BJ809" i="8"/>
  <c r="BJ810" i="8"/>
  <c r="BJ811" i="8"/>
  <c r="BJ812" i="8"/>
  <c r="BJ813" i="8"/>
  <c r="BJ814" i="8"/>
  <c r="BJ815" i="8"/>
  <c r="BJ816" i="8"/>
  <c r="BJ817" i="8"/>
  <c r="BJ818" i="8"/>
  <c r="BJ819" i="8"/>
  <c r="BJ820" i="8"/>
  <c r="BJ821" i="8"/>
  <c r="BJ822" i="8"/>
  <c r="BJ823" i="8"/>
  <c r="BJ824" i="8"/>
  <c r="BJ825" i="8"/>
  <c r="BJ826" i="8"/>
  <c r="BJ827" i="8"/>
  <c r="BJ828" i="8"/>
  <c r="BJ829" i="8"/>
  <c r="BJ830" i="8"/>
  <c r="BJ831" i="8"/>
  <c r="BJ832" i="8"/>
  <c r="BJ833" i="8"/>
  <c r="BJ834" i="8"/>
  <c r="BJ835" i="8"/>
  <c r="BJ836" i="8"/>
  <c r="BJ837" i="8"/>
  <c r="BJ838" i="8"/>
  <c r="BJ839" i="8"/>
  <c r="BJ840" i="8"/>
  <c r="BJ841" i="8"/>
  <c r="BJ842" i="8"/>
  <c r="BJ843" i="8"/>
  <c r="BJ844" i="8"/>
  <c r="BJ845" i="8"/>
  <c r="BJ846" i="8"/>
  <c r="BJ847" i="8"/>
  <c r="BJ848" i="8"/>
  <c r="BJ849" i="8"/>
  <c r="BJ850" i="8"/>
  <c r="BJ851" i="8"/>
  <c r="BJ852" i="8"/>
  <c r="BJ853" i="8"/>
  <c r="BJ854" i="8"/>
  <c r="BJ855" i="8"/>
  <c r="BJ856" i="8"/>
  <c r="BJ857" i="8"/>
  <c r="BJ858" i="8"/>
  <c r="BJ859" i="8"/>
  <c r="BJ860" i="8"/>
  <c r="BJ861" i="8"/>
  <c r="BJ862" i="8"/>
  <c r="BJ863" i="8"/>
  <c r="BJ864" i="8"/>
  <c r="BJ865" i="8"/>
  <c r="BJ866" i="8"/>
  <c r="BJ867" i="8"/>
  <c r="BJ868" i="8"/>
  <c r="BJ869" i="8"/>
  <c r="BJ870" i="8"/>
  <c r="BJ871" i="8"/>
  <c r="BJ872" i="8"/>
  <c r="BJ873" i="8"/>
  <c r="BJ874" i="8"/>
  <c r="BJ875" i="8"/>
  <c r="BJ876" i="8"/>
  <c r="BJ877" i="8"/>
  <c r="BJ878" i="8"/>
  <c r="BJ879" i="8"/>
  <c r="BJ880" i="8"/>
  <c r="BJ881" i="8"/>
  <c r="BJ882" i="8"/>
  <c r="BJ883" i="8"/>
  <c r="BJ884" i="8"/>
  <c r="BJ885" i="8"/>
  <c r="BJ886" i="8"/>
  <c r="BJ887" i="8"/>
  <c r="BJ888" i="8"/>
  <c r="BJ889" i="8"/>
  <c r="BJ890" i="8"/>
  <c r="BJ891" i="8"/>
  <c r="BJ892" i="8"/>
  <c r="BJ893" i="8"/>
  <c r="BJ894" i="8"/>
  <c r="BJ895" i="8"/>
  <c r="BJ896" i="8"/>
  <c r="BJ897" i="8"/>
  <c r="BJ898" i="8"/>
  <c r="BJ899" i="8"/>
  <c r="BJ900" i="8"/>
  <c r="BJ901" i="8"/>
  <c r="BJ902" i="8"/>
  <c r="BJ903" i="8"/>
  <c r="BJ904" i="8"/>
  <c r="BJ905" i="8"/>
  <c r="BJ906" i="8"/>
  <c r="BJ907" i="8"/>
  <c r="BJ908" i="8"/>
  <c r="BJ909" i="8"/>
  <c r="BJ910" i="8"/>
  <c r="BJ911" i="8"/>
  <c r="BJ912" i="8"/>
  <c r="BJ913" i="8"/>
  <c r="BJ914" i="8"/>
  <c r="BJ915" i="8"/>
  <c r="BJ916" i="8"/>
  <c r="BJ917" i="8"/>
  <c r="BJ918" i="8"/>
  <c r="BJ919" i="8"/>
  <c r="BJ920" i="8"/>
  <c r="BJ921" i="8"/>
  <c r="BJ922" i="8"/>
  <c r="BJ923" i="8"/>
  <c r="BJ924" i="8"/>
  <c r="BJ925" i="8"/>
  <c r="BJ926" i="8"/>
  <c r="BJ927" i="8"/>
  <c r="BJ928" i="8"/>
  <c r="BJ929" i="8"/>
  <c r="BJ930" i="8"/>
  <c r="BJ931" i="8"/>
  <c r="BJ932" i="8"/>
  <c r="BJ933" i="8"/>
  <c r="BJ934" i="8"/>
  <c r="BJ935" i="8"/>
  <c r="BJ936" i="8"/>
  <c r="BJ937" i="8"/>
  <c r="BJ938" i="8"/>
  <c r="BJ939" i="8"/>
  <c r="BJ940" i="8"/>
  <c r="BJ941" i="8"/>
  <c r="BJ942" i="8"/>
  <c r="BJ943" i="8"/>
  <c r="BJ944" i="8"/>
  <c r="BJ945" i="8"/>
  <c r="BJ946" i="8"/>
  <c r="BJ947" i="8"/>
  <c r="BJ948" i="8"/>
  <c r="BJ949" i="8"/>
  <c r="BJ950" i="8"/>
  <c r="BJ951" i="8"/>
  <c r="BJ952" i="8"/>
  <c r="BJ953" i="8"/>
  <c r="BJ954" i="8"/>
  <c r="BJ955" i="8"/>
  <c r="BJ956" i="8"/>
  <c r="BJ957" i="8"/>
  <c r="BJ958" i="8"/>
  <c r="BJ959" i="8"/>
  <c r="BJ960" i="8"/>
  <c r="BJ961" i="8"/>
  <c r="BJ962" i="8"/>
  <c r="BJ963" i="8"/>
  <c r="BJ964" i="8"/>
  <c r="BJ965" i="8"/>
  <c r="BJ966" i="8"/>
  <c r="BJ967" i="8"/>
  <c r="BJ968" i="8"/>
  <c r="BJ969" i="8"/>
  <c r="BJ970" i="8"/>
  <c r="BJ971" i="8"/>
  <c r="BJ972" i="8"/>
  <c r="BJ973" i="8"/>
  <c r="BJ974" i="8"/>
  <c r="BJ975" i="8"/>
  <c r="BJ976" i="8"/>
  <c r="BJ977" i="8"/>
  <c r="BJ978" i="8"/>
  <c r="BJ979" i="8"/>
  <c r="BJ980" i="8"/>
  <c r="BJ981" i="8"/>
  <c r="BJ982" i="8"/>
  <c r="BJ983" i="8"/>
  <c r="BJ984" i="8"/>
  <c r="BJ985" i="8"/>
  <c r="BJ986" i="8"/>
  <c r="BJ987" i="8"/>
  <c r="BJ988" i="8"/>
  <c r="BJ989" i="8"/>
  <c r="BJ990" i="8"/>
  <c r="BJ991" i="8"/>
  <c r="BJ992" i="8"/>
  <c r="BJ993" i="8"/>
  <c r="BJ994" i="8"/>
  <c r="BJ995" i="8"/>
  <c r="BJ996" i="8"/>
  <c r="BJ997" i="8"/>
  <c r="BJ998" i="8"/>
  <c r="BJ999" i="8"/>
  <c r="BJ1000" i="8"/>
  <c r="BJ1001" i="8"/>
  <c r="BJ1002" i="8"/>
  <c r="BJ1003" i="8"/>
  <c r="BJ1004" i="8"/>
  <c r="BJ1005" i="8"/>
  <c r="BJ1006" i="8"/>
  <c r="BJ1007" i="8"/>
  <c r="BJ1008" i="8"/>
  <c r="BJ1009" i="8"/>
  <c r="BJ1010" i="8"/>
  <c r="BJ1011" i="8"/>
  <c r="BJ1012" i="8"/>
  <c r="BJ1013" i="8"/>
  <c r="BJ1014" i="8"/>
  <c r="BJ1015" i="8"/>
  <c r="BJ1016" i="8"/>
  <c r="BJ1017" i="8"/>
  <c r="BJ1018" i="8"/>
  <c r="BJ1019" i="8"/>
  <c r="BJ1020" i="8"/>
  <c r="BJ1021" i="8"/>
  <c r="BJ1022" i="8"/>
  <c r="BJ1023" i="8"/>
  <c r="BJ1024" i="8"/>
  <c r="BJ1025" i="8"/>
  <c r="BJ1026" i="8"/>
  <c r="BJ1027" i="8"/>
  <c r="BJ1028" i="8"/>
  <c r="BJ1029" i="8"/>
  <c r="BJ1030" i="8"/>
  <c r="BJ1031" i="8"/>
  <c r="BJ1032" i="8"/>
  <c r="BJ1033" i="8"/>
  <c r="BJ1034" i="8"/>
  <c r="BJ1035" i="8"/>
  <c r="BJ1036" i="8"/>
  <c r="BJ1037" i="8"/>
  <c r="BJ1038" i="8"/>
  <c r="BJ1039" i="8"/>
  <c r="BJ1040" i="8"/>
  <c r="BJ1041" i="8"/>
  <c r="BJ1042" i="8"/>
  <c r="BJ1043" i="8"/>
  <c r="BJ1044" i="8"/>
  <c r="BJ1045" i="8"/>
  <c r="BJ1046" i="8"/>
  <c r="BJ1047" i="8"/>
  <c r="BJ1048" i="8"/>
  <c r="BJ1049" i="8"/>
  <c r="BJ1050" i="8"/>
  <c r="BJ1051" i="8"/>
  <c r="BJ1052" i="8"/>
  <c r="BJ1053" i="8"/>
  <c r="BJ1054" i="8"/>
  <c r="BJ1055" i="8"/>
  <c r="BJ1056" i="8"/>
  <c r="BJ1057" i="8"/>
  <c r="BJ1058" i="8"/>
  <c r="BJ1059" i="8"/>
  <c r="BJ1060" i="8"/>
  <c r="BJ1061" i="8"/>
  <c r="BJ1062" i="8"/>
  <c r="BJ1063" i="8"/>
  <c r="BJ1064" i="8"/>
  <c r="BJ1065" i="8"/>
  <c r="BJ1066" i="8"/>
  <c r="BJ1067" i="8"/>
  <c r="BJ1068" i="8"/>
  <c r="BJ1069" i="8"/>
  <c r="BJ1070" i="8"/>
  <c r="BJ1071" i="8"/>
  <c r="BJ1072" i="8"/>
  <c r="BJ1073" i="8"/>
  <c r="BJ1074" i="8"/>
  <c r="BJ1075" i="8"/>
  <c r="BJ1076" i="8"/>
  <c r="BJ1077" i="8"/>
  <c r="BJ1078" i="8"/>
  <c r="BJ1079" i="8"/>
  <c r="BJ1080" i="8"/>
  <c r="BJ1081" i="8"/>
  <c r="BJ1082" i="8"/>
  <c r="BJ1083" i="8"/>
  <c r="BJ1084" i="8"/>
  <c r="BJ1085" i="8"/>
  <c r="BJ1086" i="8"/>
  <c r="BJ1087" i="8"/>
  <c r="BJ1088" i="8"/>
  <c r="BJ1089" i="8"/>
  <c r="BJ1090" i="8"/>
  <c r="BJ1091" i="8"/>
  <c r="BJ1092" i="8"/>
  <c r="BJ1093" i="8"/>
  <c r="BJ1094" i="8"/>
  <c r="BJ1095" i="8"/>
  <c r="BJ1096" i="8"/>
  <c r="BJ1097" i="8"/>
  <c r="BJ1098" i="8"/>
  <c r="BJ1099" i="8"/>
  <c r="BJ1100" i="8"/>
  <c r="BJ1101" i="8"/>
  <c r="BJ1102" i="8"/>
  <c r="BJ1103" i="8"/>
  <c r="BJ1104" i="8"/>
  <c r="BJ1105" i="8"/>
  <c r="BJ1106" i="8"/>
  <c r="BJ1107" i="8"/>
  <c r="BJ1108" i="8"/>
  <c r="BJ1109" i="8"/>
  <c r="BJ1110" i="8"/>
  <c r="BJ1111" i="8"/>
  <c r="BJ1112" i="8"/>
  <c r="BJ1113" i="8"/>
  <c r="BJ1114" i="8"/>
  <c r="BJ1115" i="8"/>
  <c r="BJ1116" i="8"/>
  <c r="BJ1117" i="8"/>
  <c r="BJ1118" i="8"/>
  <c r="BJ1119" i="8"/>
  <c r="BJ1120" i="8"/>
  <c r="BJ1121" i="8"/>
  <c r="BJ1122" i="8"/>
  <c r="BJ1123" i="8"/>
  <c r="BJ1124" i="8"/>
  <c r="BJ1125" i="8"/>
  <c r="BJ1126" i="8"/>
  <c r="BJ1127" i="8"/>
  <c r="BJ1128" i="8"/>
  <c r="BJ1129" i="8"/>
  <c r="BJ1130" i="8"/>
  <c r="BJ1131" i="8"/>
  <c r="BJ1132" i="8"/>
  <c r="BJ1133" i="8"/>
  <c r="BJ1134" i="8"/>
  <c r="BJ1135" i="8"/>
  <c r="BJ1136" i="8"/>
  <c r="BJ1137" i="8"/>
  <c r="BJ1138" i="8"/>
  <c r="BJ1139" i="8"/>
  <c r="BJ1140" i="8"/>
  <c r="BJ1141" i="8"/>
  <c r="BJ1142" i="8"/>
  <c r="BJ1143" i="8"/>
  <c r="BJ1144" i="8"/>
  <c r="BJ1145" i="8"/>
  <c r="BJ1146" i="8"/>
  <c r="BJ1147" i="8"/>
  <c r="BJ1148" i="8"/>
  <c r="BJ1149" i="8"/>
  <c r="BJ1150" i="8"/>
  <c r="BJ1151" i="8"/>
  <c r="BJ1152" i="8"/>
  <c r="BJ1153" i="8"/>
  <c r="BJ1154" i="8"/>
  <c r="BJ1155" i="8"/>
  <c r="BJ1156" i="8"/>
  <c r="BJ1157" i="8"/>
  <c r="BJ1158" i="8"/>
  <c r="BJ1159" i="8"/>
  <c r="BJ1160" i="8"/>
  <c r="BJ1161" i="8"/>
  <c r="BJ1162" i="8"/>
  <c r="BJ1163" i="8"/>
  <c r="BJ1164" i="8"/>
  <c r="BJ1165" i="8"/>
  <c r="BJ1166" i="8"/>
  <c r="BJ1167" i="8"/>
  <c r="BJ1168" i="8"/>
  <c r="BJ1169" i="8"/>
  <c r="BJ1170" i="8"/>
  <c r="BJ1171" i="8"/>
  <c r="BJ1172" i="8"/>
  <c r="BJ1173" i="8"/>
  <c r="BJ1174" i="8"/>
  <c r="BJ1175" i="8"/>
  <c r="BJ1176" i="8"/>
  <c r="BJ1177" i="8"/>
  <c r="BJ1178" i="8"/>
  <c r="BJ1179" i="8"/>
  <c r="BJ1180" i="8"/>
  <c r="BJ1181" i="8"/>
  <c r="BJ1182" i="8"/>
  <c r="BJ1183" i="8"/>
  <c r="BJ1184" i="8"/>
  <c r="BJ1185" i="8"/>
  <c r="BJ1186" i="8"/>
  <c r="BJ1187" i="8"/>
  <c r="BJ1188" i="8"/>
  <c r="BJ1189" i="8"/>
  <c r="BJ1190" i="8"/>
  <c r="BJ1191" i="8"/>
  <c r="BJ1192" i="8"/>
  <c r="BJ1193" i="8"/>
  <c r="BJ1194" i="8"/>
  <c r="BJ1195" i="8"/>
  <c r="BJ1196" i="8"/>
  <c r="BJ1197" i="8"/>
  <c r="BJ1198" i="8"/>
  <c r="BJ1199" i="8"/>
  <c r="BJ1200" i="8"/>
  <c r="BJ1201" i="8"/>
  <c r="BJ1202" i="8"/>
  <c r="BJ1203" i="8"/>
  <c r="BJ1204" i="8"/>
  <c r="BJ1205" i="8"/>
  <c r="BJ1206" i="8"/>
  <c r="BJ1207" i="8"/>
  <c r="BJ1208" i="8"/>
  <c r="BJ1209" i="8"/>
  <c r="BJ1210" i="8"/>
  <c r="BJ1211" i="8"/>
  <c r="BJ1212" i="8"/>
  <c r="BJ1213" i="8"/>
  <c r="BJ1214" i="8"/>
  <c r="BJ1215" i="8"/>
  <c r="BJ1216" i="8"/>
  <c r="BJ1217" i="8"/>
  <c r="BJ1218" i="8"/>
  <c r="BJ1219" i="8"/>
  <c r="BJ1220" i="8"/>
  <c r="BJ1221" i="8"/>
  <c r="BJ1222" i="8"/>
  <c r="BJ1223" i="8"/>
  <c r="BJ1224" i="8"/>
  <c r="BJ1225" i="8"/>
  <c r="BJ1226" i="8"/>
  <c r="BJ1227" i="8"/>
  <c r="BJ1228" i="8"/>
  <c r="BJ1229" i="8"/>
  <c r="BJ1230" i="8"/>
  <c r="BJ1231" i="8"/>
  <c r="BJ1232" i="8"/>
  <c r="BJ1233" i="8"/>
  <c r="BJ1234" i="8"/>
  <c r="BJ1235" i="8"/>
  <c r="BJ1236" i="8"/>
  <c r="BJ1237" i="8"/>
  <c r="BJ1238" i="8"/>
  <c r="BJ1239" i="8"/>
  <c r="BJ1240" i="8"/>
  <c r="BJ1241" i="8"/>
  <c r="BJ1242" i="8"/>
  <c r="BJ1243" i="8"/>
  <c r="BJ1244" i="8"/>
  <c r="BJ1245" i="8"/>
  <c r="BJ1246" i="8"/>
  <c r="BJ1247" i="8"/>
  <c r="BJ1248" i="8"/>
  <c r="BJ1249" i="8"/>
  <c r="BJ1250" i="8"/>
  <c r="BJ1251" i="8"/>
  <c r="BJ1252" i="8"/>
  <c r="BJ1253" i="8"/>
  <c r="BJ1254" i="8"/>
  <c r="BJ1255" i="8"/>
  <c r="BJ1256" i="8"/>
  <c r="BJ1257" i="8"/>
  <c r="BJ1258" i="8"/>
  <c r="BJ1259" i="8"/>
  <c r="BJ1260" i="8"/>
  <c r="BJ1261" i="8"/>
  <c r="BJ1262" i="8"/>
  <c r="BJ1263" i="8"/>
  <c r="BJ1264" i="8"/>
  <c r="BJ1265" i="8"/>
  <c r="BJ1266" i="8"/>
  <c r="BJ1267" i="8"/>
  <c r="BJ1268" i="8"/>
  <c r="BJ1269" i="8"/>
  <c r="BJ1270" i="8"/>
  <c r="BJ1271" i="8"/>
  <c r="BJ1272" i="8"/>
  <c r="BJ1273" i="8"/>
  <c r="BJ1274" i="8"/>
  <c r="BJ1275" i="8"/>
  <c r="BJ1276" i="8"/>
  <c r="BJ1277" i="8"/>
  <c r="BJ1278" i="8"/>
  <c r="BJ1279" i="8"/>
  <c r="BJ1280" i="8"/>
  <c r="BJ1281" i="8"/>
  <c r="BJ1282" i="8"/>
  <c r="BJ1283" i="8"/>
  <c r="BJ1284" i="8"/>
  <c r="BJ1285" i="8"/>
  <c r="BJ1286" i="8"/>
  <c r="BJ1287" i="8"/>
  <c r="BJ1288" i="8"/>
  <c r="BJ1289" i="8"/>
  <c r="BJ1290" i="8"/>
  <c r="BJ1291" i="8"/>
  <c r="BJ1292" i="8"/>
  <c r="BJ1293" i="8"/>
  <c r="BJ1294" i="8"/>
  <c r="BJ1295" i="8"/>
  <c r="BJ1296" i="8"/>
  <c r="BJ1297" i="8"/>
  <c r="BJ1298" i="8"/>
  <c r="BJ1299" i="8"/>
  <c r="BJ1300" i="8"/>
  <c r="BJ1301" i="8"/>
  <c r="BJ1302" i="8"/>
  <c r="BJ1303" i="8"/>
  <c r="BJ1304" i="8"/>
  <c r="BJ1305" i="8"/>
  <c r="BJ1306" i="8"/>
  <c r="BJ1307" i="8"/>
  <c r="BJ1308" i="8"/>
  <c r="BJ1309" i="8"/>
  <c r="BJ1310" i="8"/>
  <c r="BJ1311" i="8"/>
  <c r="BJ1312" i="8"/>
  <c r="BJ1313" i="8"/>
  <c r="BJ1314" i="8"/>
  <c r="BJ1315" i="8"/>
  <c r="BJ1316" i="8"/>
  <c r="BJ1317" i="8"/>
  <c r="BJ1318" i="8"/>
  <c r="BJ1319" i="8"/>
  <c r="BJ1320" i="8"/>
  <c r="BJ1321" i="8"/>
  <c r="BJ1322" i="8"/>
  <c r="BJ1323" i="8"/>
  <c r="BJ1324" i="8"/>
  <c r="BJ1325" i="8"/>
  <c r="BJ1326" i="8"/>
  <c r="BJ1327" i="8"/>
  <c r="BJ1328" i="8"/>
  <c r="BJ1329" i="8"/>
  <c r="BJ1330" i="8"/>
  <c r="BJ1331" i="8"/>
  <c r="BJ1332" i="8"/>
  <c r="BJ1333" i="8"/>
  <c r="BJ1334" i="8"/>
  <c r="BJ1335" i="8"/>
  <c r="BJ1336" i="8"/>
  <c r="BJ1337" i="8"/>
  <c r="BJ1338" i="8"/>
  <c r="BJ1339" i="8"/>
  <c r="BJ1340" i="8"/>
  <c r="BJ1341" i="8"/>
  <c r="BJ1342" i="8"/>
  <c r="BJ1343" i="8"/>
  <c r="BJ1344" i="8"/>
  <c r="BJ1345" i="8"/>
  <c r="BJ1346" i="8"/>
  <c r="BJ1347" i="8"/>
  <c r="BJ1348" i="8"/>
  <c r="BJ1349" i="8"/>
  <c r="BJ1350" i="8"/>
  <c r="BJ1351" i="8"/>
  <c r="BJ1352" i="8"/>
  <c r="BJ1353" i="8"/>
  <c r="BJ1354" i="8"/>
  <c r="BJ1355" i="8"/>
  <c r="BJ1356" i="8"/>
  <c r="BJ1357" i="8"/>
  <c r="BJ1358" i="8"/>
  <c r="BJ1359" i="8"/>
  <c r="BJ1360" i="8"/>
  <c r="BJ1361" i="8"/>
  <c r="BJ1362" i="8"/>
  <c r="BJ1363" i="8"/>
  <c r="BJ1364" i="8"/>
  <c r="BJ1365" i="8"/>
  <c r="BJ1366" i="8"/>
  <c r="BJ1367" i="8"/>
  <c r="BJ1368" i="8"/>
  <c r="BJ1369" i="8"/>
  <c r="BJ1370" i="8"/>
  <c r="BJ1371" i="8"/>
  <c r="BJ1372" i="8"/>
  <c r="BJ1373" i="8"/>
  <c r="BJ1374" i="8"/>
  <c r="BJ1375" i="8"/>
  <c r="BJ1376" i="8"/>
  <c r="BJ1377" i="8"/>
  <c r="BJ1378" i="8"/>
  <c r="BJ1379" i="8"/>
  <c r="BJ1380" i="8"/>
  <c r="BJ1381" i="8"/>
  <c r="BJ1382" i="8"/>
  <c r="BJ1383" i="8"/>
  <c r="BJ1384" i="8"/>
  <c r="BJ1385" i="8"/>
  <c r="BJ1386" i="8"/>
  <c r="BJ1387" i="8"/>
  <c r="BJ1388" i="8"/>
  <c r="BJ1389" i="8"/>
  <c r="BJ1390" i="8"/>
  <c r="BJ1391" i="8"/>
  <c r="BJ1392" i="8"/>
  <c r="BJ1393" i="8"/>
  <c r="BJ1394" i="8"/>
  <c r="BJ1395" i="8"/>
  <c r="BJ1396" i="8"/>
  <c r="BJ1397" i="8"/>
  <c r="BJ1398" i="8"/>
  <c r="BJ1399" i="8"/>
  <c r="BJ1400" i="8"/>
  <c r="BJ1401" i="8"/>
  <c r="BJ1402" i="8"/>
  <c r="BJ1403" i="8"/>
  <c r="BJ1404" i="8"/>
  <c r="BJ1405" i="8"/>
  <c r="BJ1406" i="8"/>
  <c r="BJ1407" i="8"/>
  <c r="BJ1408" i="8"/>
  <c r="BJ1409" i="8"/>
  <c r="BJ1410" i="8"/>
  <c r="BJ1411" i="8"/>
  <c r="BJ1412" i="8"/>
  <c r="BJ1413" i="8"/>
  <c r="BJ1414" i="8"/>
  <c r="BJ1415" i="8"/>
  <c r="BJ1416" i="8"/>
  <c r="BJ1417" i="8"/>
  <c r="BJ1418" i="8"/>
  <c r="BJ1419" i="8"/>
  <c r="BJ1420" i="8"/>
  <c r="BJ1421" i="8"/>
  <c r="BJ1422" i="8"/>
  <c r="BJ1423" i="8"/>
  <c r="BJ1424" i="8"/>
  <c r="BJ1425" i="8"/>
  <c r="BJ1426" i="8"/>
  <c r="BJ1427" i="8"/>
  <c r="BJ1428" i="8"/>
  <c r="BJ1429" i="8"/>
  <c r="BJ1430" i="8"/>
  <c r="BJ1431" i="8"/>
  <c r="BJ1432" i="8"/>
  <c r="BJ1433" i="8"/>
  <c r="BJ1434" i="8"/>
  <c r="BJ1435" i="8"/>
  <c r="BJ1436" i="8"/>
  <c r="BJ1437" i="8"/>
  <c r="BJ1438" i="8"/>
  <c r="BJ1439" i="8"/>
  <c r="BJ1440" i="8"/>
  <c r="BJ1441" i="8"/>
  <c r="BJ1442" i="8"/>
  <c r="BJ1443" i="8"/>
  <c r="BJ1444" i="8"/>
  <c r="BJ1445" i="8"/>
  <c r="BJ1446" i="8"/>
  <c r="BJ1447" i="8"/>
  <c r="BJ1448" i="8"/>
  <c r="BJ1449" i="8"/>
  <c r="BJ1450" i="8"/>
  <c r="BJ1451" i="8"/>
  <c r="BJ1452" i="8"/>
  <c r="BJ1453" i="8"/>
  <c r="BJ1454" i="8"/>
  <c r="BJ1455" i="8"/>
  <c r="BJ1456" i="8"/>
  <c r="BJ1457" i="8"/>
  <c r="BJ1458" i="8"/>
  <c r="BJ1459" i="8"/>
  <c r="BJ1460" i="8"/>
  <c r="BJ1461" i="8"/>
  <c r="BJ1462" i="8"/>
  <c r="BJ1463" i="8"/>
  <c r="BJ1464" i="8"/>
  <c r="BJ1465" i="8"/>
  <c r="BJ1466" i="8"/>
  <c r="BJ1467" i="8"/>
  <c r="BJ1468" i="8"/>
  <c r="BJ1469" i="8"/>
  <c r="BJ1470" i="8"/>
  <c r="BJ1471" i="8"/>
  <c r="BJ1472" i="8"/>
  <c r="BJ1473" i="8"/>
  <c r="BJ1474" i="8"/>
  <c r="BJ1475" i="8"/>
  <c r="BJ1476" i="8"/>
  <c r="BJ1477" i="8"/>
  <c r="BJ1478" i="8"/>
  <c r="BJ1479" i="8"/>
  <c r="BJ1480" i="8"/>
  <c r="BJ1481" i="8"/>
  <c r="BJ1482" i="8"/>
  <c r="BJ1483" i="8"/>
  <c r="BJ1484" i="8"/>
  <c r="BJ1485" i="8"/>
  <c r="BJ1486" i="8"/>
  <c r="BJ1487" i="8"/>
  <c r="BJ1488" i="8"/>
  <c r="BJ1489" i="8"/>
  <c r="BJ1490" i="8"/>
  <c r="BJ1491" i="8"/>
  <c r="BJ1492" i="8"/>
  <c r="BJ1493" i="8"/>
  <c r="BJ1494" i="8"/>
  <c r="BJ1495" i="8"/>
  <c r="BJ1496" i="8"/>
  <c r="BJ1497" i="8"/>
  <c r="BJ1498" i="8"/>
  <c r="BJ1499" i="8"/>
  <c r="BJ1500" i="8"/>
  <c r="BJ1501" i="8"/>
  <c r="BJ1502" i="8"/>
  <c r="BJ1503" i="8"/>
  <c r="BJ1504" i="8"/>
  <c r="BJ1505" i="8"/>
  <c r="BJ1506" i="8"/>
  <c r="BJ1507" i="8"/>
  <c r="BJ1508" i="8"/>
  <c r="BJ1509" i="8"/>
  <c r="BJ1510" i="8"/>
  <c r="BJ1511" i="8"/>
  <c r="BJ1512" i="8"/>
  <c r="BJ1513" i="8"/>
  <c r="BJ1514" i="8"/>
  <c r="BJ1515" i="8"/>
  <c r="BJ1516" i="8"/>
  <c r="BJ1517" i="8"/>
  <c r="BJ1518" i="8"/>
  <c r="BJ1519" i="8"/>
  <c r="BJ1520" i="8"/>
  <c r="BJ1521" i="8"/>
  <c r="BJ1522" i="8"/>
  <c r="BJ1523" i="8"/>
  <c r="BJ1524" i="8"/>
  <c r="BJ1525" i="8"/>
  <c r="BJ1526" i="8"/>
  <c r="BJ1527" i="8"/>
  <c r="BJ1528" i="8"/>
  <c r="BJ1529" i="8"/>
  <c r="BJ1530" i="8"/>
  <c r="BJ1531" i="8"/>
  <c r="BJ1532" i="8"/>
  <c r="BJ1533" i="8"/>
  <c r="BJ1534" i="8"/>
  <c r="BJ1535" i="8"/>
  <c r="BJ1536" i="8"/>
  <c r="BJ1537" i="8"/>
  <c r="BJ1538" i="8"/>
  <c r="BJ1539" i="8"/>
  <c r="BJ1540" i="8"/>
  <c r="BJ1541" i="8"/>
  <c r="BJ1542" i="8"/>
  <c r="BJ1543" i="8"/>
  <c r="BJ1544" i="8"/>
  <c r="BJ1545" i="8"/>
  <c r="BJ1546" i="8"/>
  <c r="BJ1547" i="8"/>
  <c r="BJ1548" i="8"/>
  <c r="BJ1549" i="8"/>
  <c r="BJ1550" i="8"/>
  <c r="BJ1551" i="8"/>
  <c r="BJ1552" i="8"/>
  <c r="BJ1553" i="8"/>
  <c r="BJ1554" i="8"/>
  <c r="BJ1555" i="8"/>
  <c r="BJ1556" i="8"/>
  <c r="BJ1557" i="8"/>
  <c r="BJ1558" i="8"/>
  <c r="BJ1559" i="8"/>
  <c r="BJ1560" i="8"/>
  <c r="BJ1561" i="8"/>
  <c r="BJ1562" i="8"/>
  <c r="BJ1563" i="8"/>
  <c r="BJ1564" i="8"/>
  <c r="BJ1565" i="8"/>
  <c r="BJ1566" i="8"/>
  <c r="BJ1567" i="8"/>
  <c r="BJ1568" i="8"/>
  <c r="BJ1569" i="8"/>
  <c r="BJ1570" i="8"/>
  <c r="BJ1571" i="8"/>
  <c r="BJ1572" i="8"/>
  <c r="BJ1573" i="8"/>
  <c r="BJ1574" i="8"/>
  <c r="BJ1575" i="8"/>
  <c r="BJ1576" i="8"/>
  <c r="BJ1577" i="8"/>
  <c r="BJ1578" i="8"/>
  <c r="BJ1579" i="8"/>
  <c r="BJ1580" i="8"/>
  <c r="BJ1581" i="8"/>
  <c r="BJ1582" i="8"/>
  <c r="BJ1583" i="8"/>
  <c r="BJ1584" i="8"/>
  <c r="BJ1585" i="8"/>
  <c r="BJ1586" i="8"/>
  <c r="BJ1587" i="8"/>
  <c r="BJ1588" i="8"/>
  <c r="BJ1589" i="8"/>
  <c r="BJ1590" i="8"/>
  <c r="BJ1591" i="8"/>
  <c r="BJ1592" i="8"/>
  <c r="BJ1593" i="8"/>
  <c r="BJ1594" i="8"/>
  <c r="BJ1595" i="8"/>
  <c r="BJ1596" i="8"/>
  <c r="BJ1597" i="8"/>
  <c r="BJ1598" i="8"/>
  <c r="BJ1599" i="8"/>
  <c r="BJ1600" i="8"/>
  <c r="BJ1601" i="8"/>
  <c r="BJ1602" i="8"/>
  <c r="BJ3" i="8"/>
  <c r="F4" i="10"/>
  <c r="D43" i="10" l="1"/>
  <c r="B8" i="6" l="1"/>
  <c r="D8" i="10" s="1"/>
  <c r="C23" i="3" l="1"/>
  <c r="G16" i="5" l="1"/>
  <c r="G15" i="5"/>
  <c r="G17" i="5" l="1"/>
  <c r="G18" i="5" s="1"/>
  <c r="E10" i="7" l="1"/>
  <c r="E11" i="7" s="1"/>
  <c r="B17" i="6" l="1"/>
  <c r="B18" i="6"/>
  <c r="B19" i="6"/>
  <c r="J16" i="6" l="1"/>
  <c r="J17" i="6"/>
  <c r="J18" i="6"/>
  <c r="J19" i="6"/>
  <c r="J20" i="6"/>
  <c r="J21" i="6"/>
  <c r="J15" i="6"/>
  <c r="D15" i="6" s="1"/>
  <c r="J14" i="6"/>
  <c r="D14" i="6" s="1"/>
  <c r="B20" i="5" s="1"/>
  <c r="C24" i="1" l="1"/>
  <c r="C24" i="4"/>
  <c r="C24" i="3"/>
  <c r="E17" i="7" l="1"/>
  <c r="E18" i="7" s="1"/>
  <c r="E19" i="7" l="1"/>
  <c r="T32" i="4"/>
  <c r="C29" i="1"/>
  <c r="C28" i="1"/>
  <c r="C27" i="1"/>
  <c r="C25" i="1"/>
  <c r="C12" i="1" l="1"/>
  <c r="C11" i="1"/>
  <c r="H26" i="7"/>
  <c r="H25" i="7"/>
  <c r="H24" i="7"/>
  <c r="H23" i="7"/>
  <c r="H22" i="7"/>
  <c r="H21" i="7"/>
  <c r="H20" i="7"/>
  <c r="H19" i="7"/>
  <c r="E12" i="7"/>
  <c r="E20" i="7" s="1"/>
  <c r="H18" i="7"/>
  <c r="H17" i="7"/>
  <c r="H16" i="7"/>
  <c r="E7" i="7"/>
  <c r="H15" i="7"/>
  <c r="H14" i="7"/>
  <c r="H13" i="7"/>
  <c r="H12" i="7"/>
  <c r="H11" i="7"/>
  <c r="H10" i="7"/>
  <c r="H9" i="7"/>
  <c r="H8" i="7"/>
  <c r="H7" i="7"/>
  <c r="H6" i="7"/>
  <c r="I11" i="7" l="1"/>
  <c r="I15" i="7"/>
  <c r="I21" i="7"/>
  <c r="I25" i="7"/>
  <c r="I13" i="7"/>
  <c r="I19" i="7"/>
  <c r="I23" i="7"/>
  <c r="I16" i="7"/>
  <c r="I10" i="7"/>
  <c r="I17" i="7"/>
  <c r="I24" i="7"/>
  <c r="I12" i="7"/>
  <c r="I22" i="7"/>
  <c r="I18" i="7"/>
  <c r="I9" i="7"/>
  <c r="I20" i="7"/>
  <c r="I26" i="7"/>
  <c r="I6" i="7"/>
  <c r="I7" i="7"/>
  <c r="I8" i="7"/>
  <c r="I14" i="7"/>
  <c r="J21" i="7" l="1"/>
  <c r="K21" i="7" s="1"/>
  <c r="E21" i="7"/>
  <c r="J25" i="7"/>
  <c r="K25" i="7" s="1"/>
  <c r="J24" i="7"/>
  <c r="K24" i="7" s="1"/>
  <c r="J13" i="7"/>
  <c r="K13" i="7" s="1"/>
  <c r="J23" i="7"/>
  <c r="K23" i="7" s="1"/>
  <c r="J19" i="7"/>
  <c r="K19" i="7" s="1"/>
  <c r="J26" i="7"/>
  <c r="K26" i="7" s="1"/>
  <c r="J7" i="7"/>
  <c r="K7" i="7" s="1"/>
  <c r="J16" i="7"/>
  <c r="K16" i="7" s="1"/>
  <c r="J10" i="7"/>
  <c r="K10" i="7" s="1"/>
  <c r="J12" i="7"/>
  <c r="K12" i="7" s="1"/>
  <c r="J14" i="7"/>
  <c r="K14" i="7" s="1"/>
  <c r="J9" i="7"/>
  <c r="K9" i="7" s="1"/>
  <c r="J18" i="7"/>
  <c r="K18" i="7" s="1"/>
  <c r="J15" i="7"/>
  <c r="K15" i="7" s="1"/>
  <c r="J22" i="7"/>
  <c r="K22" i="7" s="1"/>
  <c r="J20" i="7"/>
  <c r="K20" i="7" s="1"/>
  <c r="J17" i="7"/>
  <c r="K17" i="7" s="1"/>
  <c r="J11" i="7"/>
  <c r="K11" i="7" s="1"/>
  <c r="J8" i="7"/>
  <c r="K8" i="7" s="1"/>
  <c r="J6" i="7"/>
  <c r="K6" i="7" s="1"/>
  <c r="C11" i="4" l="1"/>
  <c r="C12" i="3"/>
  <c r="C13" i="3"/>
  <c r="C29" i="3"/>
  <c r="C28" i="3"/>
  <c r="C27" i="3"/>
  <c r="C25" i="3"/>
  <c r="C18" i="3"/>
  <c r="C29" i="4"/>
  <c r="C28" i="4"/>
  <c r="C27" i="4"/>
  <c r="C18" i="4"/>
  <c r="C25" i="4"/>
  <c r="J13" i="6"/>
  <c r="D13" i="6" s="1"/>
  <c r="J12" i="6"/>
  <c r="D12" i="6" s="1"/>
  <c r="AS4" i="6" s="1"/>
  <c r="J11" i="6"/>
  <c r="D11" i="6" s="1"/>
  <c r="Q21" i="1" s="1"/>
  <c r="J10" i="6"/>
  <c r="J9" i="6"/>
  <c r="D9" i="6" s="1"/>
  <c r="J8" i="6"/>
  <c r="J7" i="6"/>
  <c r="D7" i="6" s="1"/>
  <c r="J6" i="6"/>
  <c r="J5" i="6"/>
  <c r="D5" i="6" s="1"/>
  <c r="J4" i="6"/>
  <c r="D37" i="10" s="1"/>
  <c r="D39" i="10" s="1"/>
  <c r="W20" i="10" s="1"/>
  <c r="C7" i="1" l="1"/>
  <c r="D8" i="6"/>
  <c r="C10" i="3" s="1"/>
  <c r="J16" i="3" s="1"/>
  <c r="D6" i="6"/>
  <c r="D17" i="6" s="1"/>
  <c r="AG4" i="6"/>
  <c r="C17" i="3"/>
  <c r="D18" i="6"/>
  <c r="AC4" i="6"/>
  <c r="D19" i="6"/>
  <c r="U3" i="6"/>
  <c r="AW4" i="6"/>
  <c r="Y3" i="6" l="1"/>
  <c r="BE4" i="6"/>
  <c r="C9" i="3"/>
  <c r="BI4" i="6"/>
  <c r="C6" i="1"/>
  <c r="F22" i="1" s="1"/>
  <c r="C6" i="4"/>
  <c r="F22" i="4" s="1"/>
  <c r="C6" i="3"/>
  <c r="F22" i="3" s="1"/>
  <c r="BA4" i="6"/>
  <c r="C8" i="3"/>
  <c r="K17" i="3"/>
  <c r="K16" i="3"/>
  <c r="Q22" i="3" l="1"/>
  <c r="K17" i="4" l="1"/>
  <c r="AO4" i="6" l="1"/>
  <c r="C7" i="3"/>
  <c r="C7" i="4"/>
  <c r="D29" i="6" l="1"/>
  <c r="D30" i="6" s="1"/>
  <c r="D31" i="6" s="1"/>
  <c r="D32" i="6" s="1"/>
  <c r="C11" i="3" l="1"/>
  <c r="K6" i="3" s="1"/>
  <c r="C10" i="4"/>
  <c r="K15" i="4" s="1"/>
  <c r="Y29" i="4" s="1"/>
  <c r="K15" i="3" l="1"/>
  <c r="D47" i="1"/>
  <c r="K7" i="3"/>
  <c r="K14" i="3" s="1"/>
  <c r="K13" i="3" s="1"/>
  <c r="K8" i="3" l="1"/>
  <c r="O25" i="3" s="1"/>
  <c r="O26" i="3" s="1"/>
  <c r="R15" i="3" s="1"/>
  <c r="B21" i="6" l="1"/>
  <c r="D21" i="6" l="1"/>
  <c r="B10" i="6" s="1"/>
  <c r="D15" i="10"/>
  <c r="AR1531" i="8" l="1"/>
  <c r="D10" i="6"/>
  <c r="AR750" i="8"/>
  <c r="AR357" i="8"/>
  <c r="AR530" i="8"/>
  <c r="AR938" i="8"/>
  <c r="AR1432" i="8"/>
  <c r="AR368" i="8"/>
  <c r="AR960" i="8"/>
  <c r="AR390" i="8"/>
  <c r="AR249" i="8"/>
  <c r="AR700" i="8"/>
  <c r="AR277" i="8"/>
  <c r="AR566" i="8"/>
  <c r="AR742" i="8"/>
  <c r="AR491" i="8"/>
  <c r="AR1321" i="8"/>
  <c r="AR307" i="8"/>
  <c r="AR1453" i="8"/>
  <c r="AR1160" i="8"/>
  <c r="AR1324" i="8"/>
  <c r="AR1425" i="8"/>
  <c r="AR1317" i="8"/>
  <c r="AR1357" i="8"/>
  <c r="AR758" i="8"/>
  <c r="AR731" i="8"/>
  <c r="AR959" i="8"/>
  <c r="AR1178" i="8"/>
  <c r="AR152" i="8"/>
  <c r="AR1177" i="8"/>
  <c r="AR131" i="8"/>
  <c r="AR689" i="8"/>
  <c r="AR584" i="8"/>
  <c r="AR639" i="8"/>
  <c r="AR1065" i="8"/>
  <c r="AR710" i="8"/>
  <c r="AR672" i="8"/>
  <c r="AR690" i="8"/>
  <c r="AR183" i="8"/>
  <c r="AR1289" i="8"/>
  <c r="AR1082" i="8"/>
  <c r="AR917" i="8"/>
  <c r="AR523" i="8"/>
  <c r="AR1540" i="8"/>
  <c r="AR1197" i="8"/>
  <c r="AR594" i="8"/>
  <c r="AR1346" i="8"/>
  <c r="AR673" i="8"/>
  <c r="AR1550" i="8"/>
  <c r="AR1093" i="8"/>
  <c r="AR721" i="8"/>
  <c r="AR936" i="8"/>
  <c r="AR902" i="8"/>
  <c r="AR890" i="8"/>
  <c r="AR634" i="8"/>
  <c r="AR1015" i="8"/>
  <c r="AR556" i="8"/>
  <c r="AR242" i="8"/>
  <c r="AR134" i="8"/>
  <c r="AR1557" i="8"/>
  <c r="AR1419" i="8"/>
  <c r="AR1134" i="8"/>
  <c r="AR977" i="8"/>
  <c r="AR201" i="8"/>
  <c r="AR1433" i="8"/>
  <c r="AR708" i="8"/>
  <c r="AR318" i="8"/>
  <c r="AR209" i="8"/>
  <c r="AR616" i="8"/>
  <c r="AR1037" i="8"/>
  <c r="AR254" i="8"/>
  <c r="AR1002" i="8"/>
  <c r="AR675" i="8"/>
  <c r="AR1303" i="8"/>
  <c r="AR1422" i="8"/>
  <c r="AR927" i="8"/>
  <c r="AR1184" i="8"/>
  <c r="AR119" i="8"/>
  <c r="AR587" i="8"/>
  <c r="AR180" i="8"/>
  <c r="AR1388" i="8"/>
  <c r="AR84" i="8"/>
  <c r="AR552" i="8"/>
  <c r="AR1196" i="8"/>
  <c r="AR1102" i="8"/>
  <c r="AR508" i="8"/>
  <c r="AR605" i="8"/>
  <c r="AR1171" i="8"/>
  <c r="AR727" i="8"/>
  <c r="AR1507" i="8"/>
  <c r="AR207" i="8"/>
  <c r="AR216" i="8"/>
  <c r="AR291" i="8"/>
  <c r="AR1030" i="8"/>
  <c r="AR951" i="8"/>
  <c r="AR563" i="8"/>
  <c r="AR529" i="8"/>
  <c r="AR778" i="8"/>
  <c r="AR1359" i="8"/>
  <c r="AR261" i="8"/>
  <c r="AR603" i="8"/>
  <c r="AR706" i="8"/>
  <c r="AR1440" i="8"/>
  <c r="AR1114" i="8"/>
  <c r="AR1392" i="8"/>
  <c r="AR610" i="8"/>
  <c r="AR1538" i="8"/>
  <c r="AR555" i="8"/>
  <c r="AR1521" i="8"/>
  <c r="AR1022" i="8"/>
  <c r="AR999" i="8"/>
  <c r="AR1371" i="8"/>
  <c r="AR1390" i="8"/>
  <c r="AR950" i="8"/>
  <c r="AR1361" i="8"/>
  <c r="AR157" i="8"/>
  <c r="AR769" i="8"/>
  <c r="AR1039" i="8"/>
  <c r="AR1192" i="8"/>
  <c r="AR1511" i="8"/>
  <c r="AR240" i="8"/>
  <c r="AR557" i="8"/>
  <c r="AR1121" i="8"/>
  <c r="AR350" i="8"/>
  <c r="AR669" i="8"/>
  <c r="AR510" i="8"/>
  <c r="AR528" i="8"/>
  <c r="AR301" i="8"/>
  <c r="AR287" i="8"/>
  <c r="AR929" i="8"/>
  <c r="AR255" i="8"/>
  <c r="AR626" i="8"/>
  <c r="AR295" i="8"/>
  <c r="AR1347" i="8"/>
  <c r="AR1316" i="8"/>
  <c r="AR1059" i="8"/>
  <c r="AR400" i="8"/>
  <c r="AR747" i="8"/>
  <c r="AR1110" i="8"/>
  <c r="AR1125" i="8"/>
  <c r="AR1428" i="8"/>
  <c r="AR1387" i="8"/>
  <c r="AR246" i="8"/>
  <c r="AR1042" i="8"/>
  <c r="AR88" i="8"/>
  <c r="AR702" i="8"/>
  <c r="AR1586" i="8"/>
  <c r="AR600" i="8"/>
  <c r="AR1023" i="8"/>
  <c r="AR1003" i="8"/>
  <c r="AR628" i="8"/>
  <c r="AR252" i="8"/>
  <c r="AR1426" i="8"/>
  <c r="AR204" i="8"/>
  <c r="AR1187" i="8"/>
  <c r="AR658" i="8"/>
  <c r="AR230" i="8"/>
  <c r="AR1129" i="8"/>
  <c r="AR1454" i="8"/>
  <c r="AR221" i="8"/>
  <c r="AR309" i="8"/>
  <c r="AR1578" i="8"/>
  <c r="AR1452" i="8"/>
  <c r="AR1601" i="8"/>
  <c r="AR1287" i="8"/>
  <c r="AR263" i="8"/>
  <c r="AR735" i="8"/>
  <c r="AR177" i="8"/>
  <c r="AR1345" i="8"/>
  <c r="AR1497" i="8"/>
  <c r="AR211" i="8"/>
  <c r="AR1486" i="8"/>
  <c r="AR194" i="8"/>
  <c r="AR1513" i="8"/>
  <c r="AR360" i="8"/>
  <c r="AR117" i="8"/>
  <c r="AR97" i="8"/>
  <c r="AR607" i="8"/>
  <c r="AR1366" i="8"/>
  <c r="AR748" i="8"/>
  <c r="AR103" i="8"/>
  <c r="AR737" i="8"/>
  <c r="AR921" i="8"/>
  <c r="AR1369" i="8"/>
  <c r="AR1084" i="8"/>
  <c r="AR647" i="8"/>
  <c r="AR674" i="8"/>
  <c r="AR991" i="8"/>
  <c r="AR308" i="8"/>
  <c r="AR1186" i="8"/>
  <c r="AR1362" i="8"/>
  <c r="AR1585" i="8"/>
  <c r="AR1423" i="8"/>
  <c r="AR170" i="8"/>
  <c r="AR697" i="8"/>
  <c r="AR682" i="8"/>
  <c r="AR1407" i="8"/>
  <c r="AR920" i="8"/>
  <c r="AR320" i="8"/>
  <c r="AR1018" i="8"/>
  <c r="AR893" i="8"/>
  <c r="AR1548" i="8"/>
  <c r="AR992" i="8"/>
  <c r="AR966" i="8"/>
  <c r="AR1365" i="8"/>
  <c r="AR1064" i="8"/>
  <c r="AR493" i="8"/>
  <c r="AR175" i="8"/>
  <c r="AR1283" i="8"/>
  <c r="AR1194" i="8"/>
  <c r="AR1474" i="8"/>
  <c r="AR1455" i="8"/>
  <c r="AR1514" i="8"/>
  <c r="AR949" i="8"/>
  <c r="AR671" i="8"/>
  <c r="AR196" i="8"/>
  <c r="AR937" i="8"/>
  <c r="AR1301" i="8"/>
  <c r="AR1420" i="8"/>
  <c r="AR345" i="8"/>
  <c r="AR505" i="8"/>
  <c r="AR1379" i="8"/>
  <c r="AR624" i="8"/>
  <c r="AR1547" i="8"/>
  <c r="AR1377" i="8"/>
  <c r="AR1499" i="8"/>
  <c r="AR694" i="8"/>
  <c r="AR199" i="8"/>
  <c r="AR755" i="8"/>
  <c r="AR580" i="8"/>
  <c r="AR1448" i="8"/>
  <c r="AR565" i="8"/>
  <c r="AR763" i="8"/>
  <c r="AR975" i="8"/>
  <c r="AR1360" i="8"/>
  <c r="AR970" i="8"/>
  <c r="AR1502" i="8"/>
  <c r="AR367" i="8"/>
  <c r="AR268" i="8"/>
  <c r="AR176" i="8"/>
  <c r="AR1113" i="8"/>
  <c r="AR1533" i="8"/>
  <c r="AR1077" i="8"/>
  <c r="AR1057" i="8"/>
  <c r="AR571" i="8"/>
  <c r="AR1530" i="8"/>
  <c r="AR574" i="8"/>
  <c r="AR151" i="8"/>
  <c r="AR623" i="8"/>
  <c r="AR1046" i="8"/>
  <c r="AR644" i="8"/>
  <c r="AR651" i="8"/>
  <c r="AR173" i="8"/>
  <c r="AR377" i="8"/>
  <c r="AR1584" i="8"/>
  <c r="AR1490" i="8"/>
  <c r="AR1588" i="8"/>
  <c r="AR1580" i="8"/>
  <c r="AR1602" i="8"/>
  <c r="AR504" i="8"/>
  <c r="AR234" i="8"/>
  <c r="AR284" i="8"/>
  <c r="AR395" i="8"/>
  <c r="AR1333" i="8"/>
  <c r="AR756" i="8"/>
  <c r="AR219" i="8"/>
  <c r="AR1355" i="8"/>
  <c r="AR1299" i="8"/>
  <c r="AR567" i="8"/>
  <c r="AR1167" i="8"/>
  <c r="AR1353" i="8"/>
  <c r="AR1592" i="8"/>
  <c r="AR1130" i="8"/>
  <c r="AR1516" i="8"/>
  <c r="AR967" i="8"/>
  <c r="AR802" i="8"/>
  <c r="AR382" i="8"/>
  <c r="AR915" i="8"/>
  <c r="AR1551" i="8"/>
  <c r="AR145" i="8"/>
  <c r="AR667" i="8"/>
  <c r="AR591" i="8"/>
  <c r="AR1021" i="8"/>
  <c r="AR953" i="8"/>
  <c r="AR1352" i="8"/>
  <c r="AR1151" i="8"/>
  <c r="AR968" i="8"/>
  <c r="AR734" i="8"/>
  <c r="AR886" i="8"/>
  <c r="AR1286" i="8"/>
  <c r="AR310" i="8"/>
  <c r="AR1314" i="8"/>
  <c r="AR283" i="8"/>
  <c r="AR107" i="8"/>
  <c r="AR1342" i="8"/>
  <c r="AR1378" i="8"/>
  <c r="AR323" i="8"/>
  <c r="AR609" i="8"/>
  <c r="AR1331" i="8"/>
  <c r="AR984" i="8"/>
  <c r="AR1168" i="8"/>
  <c r="AR1385" i="8"/>
  <c r="AR1395" i="8"/>
  <c r="AR1564" i="8"/>
  <c r="AR235" i="8"/>
  <c r="AR1358" i="8"/>
  <c r="AR597" i="8"/>
  <c r="AR562" i="8"/>
  <c r="AR1413" i="8"/>
  <c r="AR751" i="8"/>
  <c r="AR989" i="8"/>
  <c r="AR559" i="8"/>
  <c r="AR222" i="8"/>
  <c r="AR316" i="8"/>
  <c r="AR774" i="8"/>
  <c r="AR1364" i="8"/>
  <c r="AR1517" i="8"/>
  <c r="AR241" i="8"/>
  <c r="AR342" i="8"/>
  <c r="AR974" i="8"/>
  <c r="AR641" i="8"/>
  <c r="AR549" i="8"/>
  <c r="AR636" i="8"/>
  <c r="AR987" i="8"/>
  <c r="AR954" i="8"/>
  <c r="AR1297" i="8"/>
  <c r="AR1091" i="8"/>
  <c r="AR362" i="8"/>
  <c r="AR543" i="8"/>
  <c r="AR625" i="8"/>
  <c r="AR547" i="8"/>
  <c r="AR361" i="8"/>
  <c r="AR1172" i="8"/>
  <c r="AR1330" i="8"/>
  <c r="AR1148" i="8"/>
  <c r="AR781" i="8"/>
  <c r="AR86" i="8"/>
  <c r="AR1335" i="8"/>
  <c r="AR341" i="8"/>
  <c r="AR1525" i="8"/>
  <c r="AR185" i="8"/>
  <c r="AR402" i="8"/>
  <c r="AR384" i="8"/>
  <c r="AR728" i="8"/>
  <c r="AR922" i="8"/>
  <c r="AR375" i="8"/>
  <c r="AR340" i="8"/>
  <c r="AR326" i="8"/>
  <c r="AR1027" i="8"/>
  <c r="AR1058" i="8"/>
  <c r="AR1341" i="8"/>
  <c r="AR1582" i="8"/>
  <c r="AR941" i="8"/>
  <c r="AR1185" i="8"/>
  <c r="AR1096" i="8"/>
  <c r="AR699" i="8"/>
  <c r="AR907" i="8"/>
  <c r="AR282" i="8"/>
  <c r="AR1017" i="8"/>
  <c r="AR779" i="8"/>
  <c r="AR498" i="8"/>
  <c r="AR1367" i="8"/>
  <c r="AR1515" i="8"/>
  <c r="AR767" i="8"/>
  <c r="AR1570" i="8"/>
  <c r="AR302" i="8"/>
  <c r="AR1306" i="8"/>
  <c r="AR1567" i="8"/>
  <c r="AR485" i="8"/>
  <c r="AR1319" i="8"/>
  <c r="AR691" i="8"/>
  <c r="AR1106" i="8"/>
  <c r="AR733" i="8"/>
  <c r="AR942" i="8"/>
  <c r="AR1200" i="8"/>
  <c r="AR1505" i="8"/>
  <c r="AR884" i="8"/>
  <c r="AR1498" i="8"/>
  <c r="AR1408" i="8"/>
  <c r="AR604" i="8"/>
  <c r="AR916" i="8"/>
  <c r="AR1593" i="8"/>
  <c r="AR383" i="8"/>
  <c r="AR791" i="8"/>
  <c r="AR1136" i="8"/>
  <c r="AR801" i="8"/>
  <c r="AR1032" i="8"/>
  <c r="AR1147" i="8"/>
  <c r="AR167" i="8"/>
  <c r="AR643" i="8"/>
  <c r="AR331" i="8"/>
  <c r="AR89" i="8"/>
  <c r="AR657" i="8"/>
  <c r="AR646" i="8"/>
  <c r="AR1116" i="8"/>
  <c r="AR1062" i="8"/>
  <c r="AR1424" i="8"/>
  <c r="AR1351" i="8"/>
  <c r="AR1483" i="8"/>
  <c r="AR250" i="8"/>
  <c r="AR969" i="8"/>
  <c r="AR1372" i="8"/>
  <c r="AR135" i="8"/>
  <c r="AR108" i="8"/>
  <c r="AR635" i="8"/>
  <c r="AR1135" i="8"/>
  <c r="AR91" i="8"/>
  <c r="AR546" i="8"/>
  <c r="AR526" i="8"/>
  <c r="AR278" i="8"/>
  <c r="AR172" i="8"/>
  <c r="AR1542" i="8"/>
  <c r="AR676" i="8"/>
  <c r="AR726" i="8"/>
  <c r="AR1554" i="8"/>
  <c r="AR344" i="8"/>
  <c r="AR1150" i="8"/>
  <c r="AR290" i="8"/>
  <c r="AR962" i="8"/>
  <c r="AR322" i="8"/>
  <c r="AR1007" i="8"/>
  <c r="AR1539" i="8"/>
  <c r="AR952" i="8"/>
  <c r="AR910" i="8"/>
  <c r="AR224" i="8"/>
  <c r="AR106" i="8"/>
  <c r="AR1176" i="8"/>
  <c r="AR1036" i="8"/>
  <c r="AR692" i="8"/>
  <c r="AR1470" i="8"/>
  <c r="AR1492" i="8"/>
  <c r="AR560" i="8"/>
  <c r="AR662" i="8"/>
  <c r="AR606" i="8"/>
  <c r="AR1401" i="8"/>
  <c r="AR900" i="8"/>
  <c r="AR1534" i="8"/>
  <c r="AR150" i="8"/>
  <c r="AR217" i="8"/>
  <c r="AR95" i="8"/>
  <c r="AR366" i="8"/>
  <c r="AR1469" i="8"/>
  <c r="AR698" i="8"/>
  <c r="AR1145" i="8"/>
  <c r="AR1489" i="8"/>
  <c r="AR598" i="8"/>
  <c r="AR579" i="8"/>
  <c r="AR621" i="8"/>
  <c r="AR1195" i="8"/>
  <c r="AR325" i="8"/>
  <c r="AR668" i="8"/>
  <c r="AR329" i="8"/>
  <c r="AR888" i="8"/>
  <c r="AR1293" i="8"/>
  <c r="AR904" i="8"/>
  <c r="AR986" i="8"/>
  <c r="AR130" i="8"/>
  <c r="AR365" i="8"/>
  <c r="AR1080" i="8"/>
  <c r="AR981" i="8"/>
  <c r="AR545" i="8"/>
  <c r="AR1587" i="8"/>
  <c r="AR1370" i="8"/>
  <c r="AR279" i="8"/>
  <c r="AR947" i="8"/>
  <c r="AR159" i="8"/>
  <c r="AR305" i="8"/>
  <c r="AR1449" i="8"/>
  <c r="AR154" i="8"/>
  <c r="AR648" i="8"/>
  <c r="AR542" i="8"/>
  <c r="AR1092" i="8"/>
  <c r="AR142" i="8"/>
  <c r="AR663" i="8"/>
  <c r="AR912" i="8"/>
  <c r="AR1411" i="8"/>
  <c r="AR223" i="8"/>
  <c r="AR1012" i="8"/>
  <c r="AR1552" i="8"/>
  <c r="AR971" i="8"/>
  <c r="AR773" i="8"/>
  <c r="AR932" i="8"/>
  <c r="AR205" i="8"/>
  <c r="AR233" i="8"/>
  <c r="AR1152" i="8"/>
  <c r="AR899" i="8"/>
  <c r="AR1519" i="8"/>
  <c r="AR512" i="8"/>
  <c r="AR1577" i="8"/>
  <c r="AR1053" i="8"/>
  <c r="AR687" i="8"/>
  <c r="AR998" i="8"/>
  <c r="AR1597" i="8"/>
  <c r="AR1073" i="8"/>
  <c r="AR1079" i="8"/>
  <c r="AR503" i="8"/>
  <c r="AR1566" i="8"/>
  <c r="AR1405" i="8"/>
  <c r="AR179" i="8"/>
  <c r="AR501" i="8"/>
  <c r="AR1376" i="8"/>
  <c r="AR1450" i="8"/>
  <c r="AR321" i="8"/>
  <c r="AR995" i="8"/>
  <c r="AR681" i="8"/>
  <c r="AR1343" i="8"/>
  <c r="AR612" i="8"/>
  <c r="AR202" i="8"/>
  <c r="AR1107" i="8"/>
  <c r="AR1288" i="8"/>
  <c r="AR602" i="8"/>
  <c r="AR1309" i="8"/>
  <c r="AR918" i="8"/>
  <c r="AR212" i="8"/>
  <c r="AR1555" i="8"/>
  <c r="AR891" i="8"/>
  <c r="AR236" i="8"/>
  <c r="AR1368" i="8"/>
  <c r="AR548" i="8"/>
  <c r="AR732" i="8"/>
  <c r="AR1574" i="8"/>
  <c r="AR1075" i="8"/>
  <c r="AR768" i="8"/>
  <c r="AR790" i="8"/>
  <c r="AR1591" i="8"/>
  <c r="AR964" i="8"/>
  <c r="AR678" i="8"/>
  <c r="AR1356" i="8"/>
  <c r="AR754" i="8"/>
  <c r="AR276" i="8"/>
  <c r="AR705" i="8"/>
  <c r="AR187" i="8"/>
  <c r="AR1044" i="8"/>
  <c r="AR1143" i="8"/>
  <c r="AR558" i="8"/>
  <c r="AR370" i="8"/>
  <c r="AR740" i="8"/>
  <c r="AR1589" i="8"/>
  <c r="AR1546" i="8"/>
  <c r="AR280" i="8"/>
  <c r="AR1396" i="8"/>
  <c r="AR1183" i="8"/>
  <c r="AR374" i="8"/>
  <c r="AR337" i="8"/>
  <c r="AR1005" i="8"/>
  <c r="AR200" i="8"/>
  <c r="AR1559" i="8"/>
  <c r="AR153" i="8"/>
  <c r="AR251" i="8"/>
  <c r="AR192" i="8"/>
  <c r="AR1011" i="8"/>
  <c r="AR632" i="8"/>
  <c r="AR901" i="8"/>
  <c r="AR156" i="8"/>
  <c r="AR120" i="8"/>
  <c r="AR1569" i="8"/>
  <c r="AR139" i="8"/>
  <c r="AR272" i="8"/>
  <c r="AR1133" i="8"/>
  <c r="AR683" i="8"/>
  <c r="AR215" i="8"/>
  <c r="AR1165" i="8"/>
  <c r="AR1545" i="8"/>
  <c r="AR1322" i="8"/>
  <c r="AR488" i="8"/>
  <c r="AR1412" i="8"/>
  <c r="AR1344" i="8"/>
  <c r="AR348" i="8"/>
  <c r="AR527" i="8"/>
  <c r="AR939" i="8"/>
  <c r="AR1493" i="8"/>
  <c r="AR1523" i="8"/>
  <c r="AR495" i="8"/>
  <c r="AR892" i="8"/>
  <c r="AR1115" i="8"/>
  <c r="AR489" i="8"/>
  <c r="AR213" i="8"/>
  <c r="AR993" i="8"/>
  <c r="AR1047" i="8"/>
  <c r="AR1476" i="8"/>
  <c r="AR354" i="8"/>
  <c r="AR289" i="8"/>
  <c r="AR1512" i="8"/>
  <c r="AR638" i="8"/>
  <c r="AR1174" i="8"/>
  <c r="AR595" i="8"/>
  <c r="AR1579" i="8"/>
  <c r="AR1188" i="8"/>
  <c r="AR511" i="8"/>
  <c r="AR1389" i="8"/>
  <c r="AR1304" i="8"/>
  <c r="AR593" i="8"/>
  <c r="AR328" i="8"/>
  <c r="AR661" i="8"/>
  <c r="AR1120" i="8"/>
  <c r="AR716" i="8"/>
  <c r="AR274" i="8"/>
  <c r="AR1076" i="8"/>
  <c r="AR976" i="8"/>
  <c r="AR554" i="8"/>
  <c r="AR997" i="8"/>
  <c r="AR161" i="8"/>
  <c r="AR1599" i="8"/>
  <c r="AR1323" i="8"/>
  <c r="AR1598" i="8"/>
  <c r="AR1479" i="8"/>
  <c r="AR1140" i="8"/>
  <c r="AR1568" i="8"/>
  <c r="AR537" i="8"/>
  <c r="AR660" i="8"/>
  <c r="AR178" i="8"/>
  <c r="AR1083" i="8"/>
  <c r="AR506" i="8"/>
  <c r="AR386" i="8"/>
  <c r="AR794" i="8"/>
  <c r="AR141" i="8"/>
  <c r="AR1072" i="8"/>
  <c r="AR685" i="8"/>
  <c r="AR889" i="8"/>
  <c r="AR656" i="8"/>
  <c r="AR1484" i="8"/>
  <c r="AR483" i="8"/>
  <c r="AR1600" i="8"/>
  <c r="AR1327" i="8"/>
  <c r="AR228" i="8"/>
  <c r="AR1146" i="8"/>
  <c r="AR92" i="8"/>
  <c r="AR393" i="8"/>
  <c r="AR1041" i="8"/>
  <c r="AR1181" i="8"/>
  <c r="AR1028" i="8"/>
  <c r="AR1157" i="8"/>
  <c r="AR771" i="8"/>
  <c r="AR709" i="8"/>
  <c r="AR1397" i="8"/>
  <c r="AR1478" i="8"/>
  <c r="AR1487" i="8"/>
  <c r="AR369" i="8"/>
  <c r="AR793" i="8"/>
  <c r="AR1496" i="8"/>
  <c r="AR718" i="8"/>
  <c r="AR231" i="8"/>
  <c r="AR798" i="8"/>
  <c r="AR256" i="8"/>
  <c r="AR190" i="8"/>
  <c r="AR577" i="8"/>
  <c r="AR1442" i="8"/>
  <c r="AR723" i="8"/>
  <c r="AR197" i="8"/>
  <c r="AR353" i="8"/>
  <c r="AR1078" i="8"/>
  <c r="AR714" i="8"/>
  <c r="AR1375" i="8"/>
  <c r="AR1008" i="8"/>
  <c r="AR1504" i="8"/>
  <c r="AR618" i="8"/>
  <c r="AR1573" i="8"/>
  <c r="AR1144" i="8"/>
  <c r="AR1024" i="8"/>
  <c r="AR617" i="8"/>
  <c r="AR168" i="8"/>
  <c r="AR540" i="8"/>
  <c r="AR363" i="8"/>
  <c r="AR304" i="8"/>
  <c r="AR883" i="8"/>
  <c r="AR158" i="8"/>
  <c r="AR961" i="8"/>
  <c r="AR693" i="8"/>
  <c r="AR1427" i="8"/>
  <c r="AR1063" i="8"/>
  <c r="AR1475" i="8"/>
  <c r="AR266" i="8"/>
  <c r="AR265" i="8"/>
  <c r="AR101" i="8"/>
  <c r="AR684" i="8"/>
  <c r="AR1001" i="8"/>
  <c r="AR707" i="8"/>
  <c r="AR1326" i="8"/>
  <c r="AR186" i="8"/>
  <c r="AR122" i="8"/>
  <c r="AR589" i="8"/>
  <c r="AR225" i="8"/>
  <c r="AR670" i="8"/>
  <c r="AR1382" i="8"/>
  <c r="AR1048" i="8"/>
  <c r="AR317" i="8"/>
  <c r="AR327" i="8"/>
  <c r="AR990" i="8"/>
  <c r="AR490" i="8"/>
  <c r="AR533" i="8"/>
  <c r="AR913" i="8"/>
  <c r="AR1363" i="8"/>
  <c r="AR1161" i="8"/>
  <c r="AR1374" i="8"/>
  <c r="AR165" i="8"/>
  <c r="AR1312" i="8"/>
  <c r="AR1131" i="8"/>
  <c r="AR396" i="8"/>
  <c r="AR1118" i="8"/>
  <c r="AR188" i="8"/>
  <c r="AR359" i="8"/>
  <c r="AR1393" i="8"/>
  <c r="AR1026" i="8"/>
  <c r="AR637" i="8"/>
  <c r="AR1572" i="8"/>
  <c r="AR1170" i="8"/>
  <c r="AR238" i="8"/>
  <c r="AR744" i="8"/>
  <c r="AR388" i="8"/>
  <c r="AR1020" i="8"/>
  <c r="AR1451" i="8"/>
  <c r="AR980" i="8"/>
  <c r="AR789" i="8"/>
  <c r="AR1305" i="8"/>
  <c r="AR160" i="8"/>
  <c r="AR294" i="8"/>
  <c r="AR994" i="8"/>
  <c r="AR210" i="8"/>
  <c r="AR518" i="8"/>
  <c r="AR1313" i="8"/>
  <c r="AR239" i="8"/>
  <c r="AR296" i="8"/>
  <c r="AR184" i="8"/>
  <c r="AR1193" i="8"/>
  <c r="AR1373" i="8"/>
  <c r="AR659" i="8"/>
  <c r="AR1066" i="8"/>
  <c r="AR1528" i="8"/>
  <c r="AR1180" i="8"/>
  <c r="AR792" i="8"/>
  <c r="AR1014" i="8"/>
  <c r="AR343" i="8"/>
  <c r="AR392" i="8"/>
  <c r="AR655" i="8"/>
  <c r="AR541" i="8"/>
  <c r="AR1163" i="8"/>
  <c r="AR1414" i="8"/>
  <c r="AR1038" i="8"/>
  <c r="AR401" i="8"/>
  <c r="AR1320" i="8"/>
  <c r="AR87" i="8"/>
  <c r="AR1381" i="8"/>
  <c r="AR1009" i="8"/>
  <c r="AR247" i="8"/>
  <c r="AR1124" i="8"/>
  <c r="AR940" i="8"/>
  <c r="AR492" i="8"/>
  <c r="AR1402" i="8"/>
  <c r="AR1049" i="8"/>
  <c r="AR155" i="8"/>
  <c r="AR1291" i="8"/>
  <c r="AR1329" i="8"/>
  <c r="AR1117" i="8"/>
  <c r="AR281" i="8"/>
  <c r="AR110" i="8"/>
  <c r="AR972" i="8"/>
  <c r="AR100" i="8"/>
  <c r="AR1132" i="8"/>
  <c r="AR1340" i="8"/>
  <c r="AR298" i="8"/>
  <c r="AR627" i="8"/>
  <c r="AR1556" i="8"/>
  <c r="AR338" i="8"/>
  <c r="AR136" i="8"/>
  <c r="AR514" i="8"/>
  <c r="AR99" i="8"/>
  <c r="AR1025" i="8"/>
  <c r="AR1097" i="8"/>
  <c r="AR963" i="8"/>
  <c r="AR711" i="8"/>
  <c r="AR1006" i="8"/>
  <c r="AR1576" i="8"/>
  <c r="AR582" i="8"/>
  <c r="AR198" i="8"/>
  <c r="AR1480" i="8"/>
  <c r="AR1284" i="8"/>
  <c r="AR313" i="8"/>
  <c r="AR919" i="8"/>
  <c r="AR267" i="8"/>
  <c r="AR943" i="8"/>
  <c r="AR945" i="8"/>
  <c r="AR1434" i="8"/>
  <c r="AR896" i="8"/>
  <c r="AR933" i="8"/>
  <c r="AR1410" i="8"/>
  <c r="AR203" i="8"/>
  <c r="AR1089" i="8"/>
  <c r="AR105" i="8"/>
  <c r="AR1444" i="8"/>
  <c r="AR115" i="8"/>
  <c r="AR680" i="8"/>
  <c r="AR930" i="8"/>
  <c r="AR914" i="8"/>
  <c r="AR629" i="8"/>
  <c r="AR1348" i="8"/>
  <c r="AR724" i="8"/>
  <c r="AR1350" i="8"/>
  <c r="AR569" i="8"/>
  <c r="AR1095" i="8"/>
  <c r="AR121" i="8"/>
  <c r="AR1122" i="8"/>
  <c r="AR1462" i="8"/>
  <c r="AR1098" i="8"/>
  <c r="AR1445" i="8"/>
  <c r="AR1549" i="8"/>
  <c r="AR1198" i="8"/>
  <c r="AR772" i="8"/>
  <c r="AR614" i="8"/>
  <c r="AR1074" i="8"/>
  <c r="AR1406" i="8"/>
  <c r="AR516" i="8"/>
  <c r="AR299" i="8"/>
  <c r="AR1380" i="8"/>
  <c r="AR253" i="8"/>
  <c r="AR1149" i="8"/>
  <c r="AR189" i="8"/>
  <c r="AR1308" i="8"/>
  <c r="AR143" i="8"/>
  <c r="AR1050" i="8"/>
  <c r="AR1169" i="8"/>
  <c r="AR286" i="8"/>
  <c r="AR144" i="8"/>
  <c r="AR765" i="8"/>
  <c r="AR312" i="8"/>
  <c r="AR1019" i="8"/>
  <c r="AR166" i="8"/>
  <c r="AR783" i="8"/>
  <c r="AR738" i="8"/>
  <c r="AR102" i="8"/>
  <c r="AR785" i="8"/>
  <c r="AR1004" i="8"/>
  <c r="AR777" i="8"/>
  <c r="AR394" i="8"/>
  <c r="AR162" i="8"/>
  <c r="AR1054" i="8"/>
  <c r="AR391" i="8"/>
  <c r="AR1285" i="8"/>
  <c r="AR94" i="8"/>
  <c r="AR654" i="8"/>
  <c r="AR653" i="8"/>
  <c r="AR303" i="8"/>
  <c r="AR905" i="8"/>
  <c r="AR544" i="8"/>
  <c r="AR1439" i="8"/>
  <c r="AR1456" i="8"/>
  <c r="AR378" i="8"/>
  <c r="AR1190" i="8"/>
  <c r="AR1094" i="8"/>
  <c r="AR925" i="8"/>
  <c r="AR1465" i="8"/>
  <c r="AR1472" i="8"/>
  <c r="AR1099" i="8"/>
  <c r="AR1535" i="8"/>
  <c r="AR214" i="8"/>
  <c r="AR1045" i="8"/>
  <c r="AR677" i="8"/>
  <c r="AR244" i="8"/>
  <c r="AR1491" i="8"/>
  <c r="AR996" i="8"/>
  <c r="AR1400" i="8"/>
  <c r="AR581" i="8"/>
  <c r="AR182" i="8"/>
  <c r="AR1137" i="8"/>
  <c r="AR717" i="8"/>
  <c r="AR1524" i="8"/>
  <c r="AR1563" i="8"/>
  <c r="AR1154" i="8"/>
  <c r="AR181" i="8"/>
  <c r="AR163" i="8"/>
  <c r="AR1560" i="8"/>
  <c r="AR334" i="8"/>
  <c r="B9" i="7"/>
  <c r="E8" i="7" s="1"/>
  <c r="E29" i="7" s="1"/>
  <c r="AR258" i="8"/>
  <c r="AR1518" i="8"/>
  <c r="AR1060" i="8"/>
  <c r="AR736" i="8"/>
  <c r="AR688" i="8"/>
  <c r="AR1503" i="8"/>
  <c r="AR336" i="8"/>
  <c r="AR1467" i="8"/>
  <c r="AR550" i="8"/>
  <c r="AR985" i="8"/>
  <c r="AR1031" i="8"/>
  <c r="AR1575" i="8"/>
  <c r="AR979" i="8"/>
  <c r="AR148" i="8"/>
  <c r="AR1565" i="8"/>
  <c r="AR324" i="8"/>
  <c r="AR500" i="8"/>
  <c r="AR1595" i="8"/>
  <c r="AR631" i="8"/>
  <c r="AR1292" i="8"/>
  <c r="AR786" i="8"/>
  <c r="AR1437" i="8"/>
  <c r="AR536" i="8"/>
  <c r="AR1052" i="8"/>
  <c r="AR800" i="8"/>
  <c r="AR1338" i="8"/>
  <c r="AR1590" i="8"/>
  <c r="AR1300" i="8"/>
  <c r="AR924" i="8"/>
  <c r="AR330" i="8"/>
  <c r="AR502" i="8"/>
  <c r="AR1349" i="8"/>
  <c r="AR906" i="8"/>
  <c r="AR1070" i="8"/>
  <c r="AR796" i="8"/>
  <c r="AR1510" i="8"/>
  <c r="AR1596" i="8"/>
  <c r="AR622" i="8"/>
  <c r="AR1443" i="8"/>
  <c r="AR109" i="8"/>
  <c r="AR1429" i="8"/>
  <c r="AR1128" i="8"/>
  <c r="AR1430" i="8"/>
  <c r="AR640" i="8"/>
  <c r="AR1294" i="8"/>
  <c r="AR946" i="8"/>
  <c r="AR1000" i="8"/>
  <c r="AR112" i="8"/>
  <c r="AR642" i="8"/>
  <c r="AR1526" i="8"/>
  <c r="AR513" i="8"/>
  <c r="AR1398" i="8"/>
  <c r="AR538" i="8"/>
  <c r="AR83" i="8"/>
  <c r="AR701" i="8"/>
  <c r="AR973" i="8"/>
  <c r="AR570" i="8"/>
  <c r="AR1158" i="8"/>
  <c r="AR633" i="8"/>
  <c r="AR775" i="8"/>
  <c r="AR1332" i="8"/>
  <c r="AR1016" i="8"/>
  <c r="AR1318" i="8"/>
  <c r="AR128" i="8"/>
  <c r="AR399" i="8"/>
  <c r="AR372" i="8"/>
  <c r="AR1155" i="8"/>
  <c r="AR297" i="8"/>
  <c r="AR703" i="8"/>
  <c r="AR1056" i="8"/>
  <c r="AR137" i="8"/>
  <c r="AR764" i="8"/>
  <c r="AR1386" i="8"/>
  <c r="AR398" i="8"/>
  <c r="AR1071" i="8"/>
  <c r="AR1339" i="8"/>
  <c r="AR376" i="8"/>
  <c r="AR397" i="8"/>
  <c r="AR743" i="8"/>
  <c r="AR911" i="8"/>
  <c r="AR1421" i="8"/>
  <c r="AR935" i="8"/>
  <c r="AR243" i="8"/>
  <c r="AR686" i="8"/>
  <c r="AR1529" i="8"/>
  <c r="AR174" i="8"/>
  <c r="AR123" i="8"/>
  <c r="AR720" i="8"/>
  <c r="AR784" i="8"/>
  <c r="AR1141" i="8"/>
  <c r="AR1112" i="8"/>
  <c r="AR333" i="8"/>
  <c r="AR553" i="8"/>
  <c r="AR1088" i="8"/>
  <c r="AR1067" i="8"/>
  <c r="AR926" i="8"/>
  <c r="AR193" i="8"/>
  <c r="AR346" i="8"/>
  <c r="AR124" i="8"/>
  <c r="AR1543" i="8"/>
  <c r="AR1336" i="8"/>
  <c r="AR965" i="8"/>
  <c r="AR1447" i="8"/>
  <c r="AR171" i="8"/>
  <c r="AR664" i="8"/>
  <c r="AR761" i="8"/>
  <c r="AR575" i="8"/>
  <c r="AR164" i="8"/>
  <c r="AR908" i="8"/>
  <c r="AR140" i="8"/>
  <c r="AR1416" i="8"/>
  <c r="AR293" i="8"/>
  <c r="AR1404" i="8"/>
  <c r="AR885" i="8"/>
  <c r="AR208" i="8"/>
  <c r="AR206" i="8"/>
  <c r="AR314" i="8"/>
  <c r="AR285" i="8"/>
  <c r="AR957" i="8"/>
  <c r="AR113" i="8"/>
  <c r="AR1541" i="8"/>
  <c r="AR90" i="8"/>
  <c r="AR1307" i="8"/>
  <c r="AR1501" i="8"/>
  <c r="AR379" i="8"/>
  <c r="AR1418" i="8"/>
  <c r="AR752" i="8"/>
  <c r="AR271" i="8"/>
  <c r="AR645" i="8"/>
  <c r="AR522" i="8"/>
  <c r="AR704" i="8"/>
  <c r="AR116" i="8"/>
  <c r="AR385" i="8"/>
  <c r="AR586" i="8"/>
  <c r="AR1436" i="8"/>
  <c r="AR620" i="8"/>
  <c r="AR923" i="8"/>
  <c r="AR220" i="8"/>
  <c r="AR1189" i="8"/>
  <c r="AR111" i="8"/>
  <c r="AR132" i="8"/>
  <c r="AR897" i="8"/>
  <c r="AR118" i="8"/>
  <c r="AR759" i="8"/>
  <c r="AR114" i="8"/>
  <c r="AR1536" i="8"/>
  <c r="AR1179" i="8"/>
  <c r="AR1138" i="8"/>
  <c r="AR226" i="8"/>
  <c r="AR259" i="8"/>
  <c r="AR1325" i="8"/>
  <c r="AR1201" i="8"/>
  <c r="AR1111" i="8"/>
  <c r="AR1051" i="8"/>
  <c r="AR988" i="8"/>
  <c r="AR349" i="8"/>
  <c r="AR715" i="8"/>
  <c r="AR138" i="8"/>
  <c r="AR1034" i="8"/>
  <c r="AR515" i="8"/>
  <c r="AR746" i="8"/>
  <c r="AR1431" i="8"/>
  <c r="AR650" i="8"/>
  <c r="AR260" i="8"/>
  <c r="AR104" i="8"/>
  <c r="AR1457" i="8"/>
  <c r="AR520" i="8"/>
  <c r="AR292" i="8"/>
  <c r="AR1033" i="8"/>
  <c r="AR507" i="8"/>
  <c r="AR1142" i="8"/>
  <c r="AR1527" i="8"/>
  <c r="AR1159" i="8"/>
  <c r="AR679" i="8"/>
  <c r="AR387" i="8"/>
  <c r="AR169" i="8"/>
  <c r="AR311" i="8"/>
  <c r="AR613" i="8"/>
  <c r="AR719" i="8"/>
  <c r="AR1415" i="8"/>
  <c r="AR739" i="8"/>
  <c r="AR782" i="8"/>
  <c r="AR364" i="8"/>
  <c r="AR1520" i="8"/>
  <c r="AR1199" i="8"/>
  <c r="AR1191" i="8"/>
  <c r="AR776" i="8"/>
  <c r="AR762" i="8"/>
  <c r="AR894" i="8"/>
  <c r="AR487" i="8"/>
  <c r="AR1086" i="8"/>
  <c r="AR237" i="8"/>
  <c r="AR315" i="8"/>
  <c r="AR273" i="8"/>
  <c r="AR1311" i="8"/>
  <c r="AR1508" i="8"/>
  <c r="AR934" i="8"/>
  <c r="AR1296" i="8"/>
  <c r="AR127" i="8"/>
  <c r="AR532" i="8"/>
  <c r="AR1488" i="8"/>
  <c r="AR1500" i="8"/>
  <c r="AR85" i="8"/>
  <c r="AR1384" i="8"/>
  <c r="AR1495" i="8"/>
  <c r="AR1123" i="8"/>
  <c r="AR1459" i="8"/>
  <c r="AR649" i="8"/>
  <c r="AR269" i="8"/>
  <c r="AR1105" i="8"/>
  <c r="AR958" i="8"/>
  <c r="AR766" i="8"/>
  <c r="AR795" i="8"/>
  <c r="AR1164" i="8"/>
  <c r="AR1409" i="8"/>
  <c r="AR1328" i="8"/>
  <c r="AR1417" i="8"/>
  <c r="AR93" i="8"/>
  <c r="AR1100" i="8"/>
  <c r="AR615" i="8"/>
  <c r="AR568" i="8"/>
  <c r="AR630" i="8"/>
  <c r="AR1477" i="8"/>
  <c r="AR1583" i="8"/>
  <c r="AR956" i="8"/>
  <c r="AR1108" i="8"/>
  <c r="AR588" i="8"/>
  <c r="AR573" i="8"/>
  <c r="AR218" i="8"/>
  <c r="AR1561" i="8"/>
  <c r="AR306" i="8"/>
  <c r="AR1127" i="8"/>
  <c r="AR583" i="8"/>
  <c r="AR1104" i="8"/>
  <c r="AR1173" i="8"/>
  <c r="AR484" i="8"/>
  <c r="AR887" i="8"/>
  <c r="AR1463" i="8"/>
  <c r="AR944" i="8"/>
  <c r="AR232" i="8"/>
  <c r="AR749" i="8"/>
  <c r="AR347" i="8"/>
  <c r="AR1482" i="8"/>
  <c r="AR380" i="8"/>
  <c r="AR895" i="8"/>
  <c r="AR1337" i="8"/>
  <c r="AR757" i="8"/>
  <c r="AR903" i="8"/>
  <c r="AR496" i="8"/>
  <c r="AR1435" i="8"/>
  <c r="AR1069" i="8"/>
  <c r="AR1485" i="8"/>
  <c r="AR539" i="8"/>
  <c r="AR787" i="8"/>
  <c r="AR898" i="8"/>
  <c r="AR1468" i="8"/>
  <c r="AR592" i="8"/>
  <c r="AR1290" i="8"/>
  <c r="AR1162" i="8"/>
  <c r="AR1101" i="8"/>
  <c r="AR1040" i="8"/>
  <c r="AR1087" i="8"/>
  <c r="AR1055" i="8"/>
  <c r="AR531" i="8"/>
  <c r="AR1295" i="8"/>
  <c r="AR1553" i="8"/>
  <c r="AR931" i="8"/>
  <c r="AR494" i="8"/>
  <c r="AR245" i="8"/>
  <c r="AR590" i="8"/>
  <c r="AR741" i="8"/>
  <c r="AR1182" i="8"/>
  <c r="AR96" i="8"/>
  <c r="AR1334" i="8"/>
  <c r="AR955" i="8"/>
  <c r="AR729" i="8"/>
  <c r="AR1103" i="8"/>
  <c r="AR696" i="8"/>
  <c r="AR521" i="8"/>
  <c r="AR1298" i="8"/>
  <c r="AR1594" i="8"/>
  <c r="AR713" i="8"/>
  <c r="AR576" i="8"/>
  <c r="AR1310" i="8"/>
  <c r="AR1126" i="8"/>
  <c r="AR300" i="8"/>
  <c r="AR948" i="8"/>
  <c r="AR371" i="8"/>
  <c r="AR1471" i="8"/>
  <c r="AR1153" i="8"/>
  <c r="AR373" i="8"/>
  <c r="AR355" i="8"/>
  <c r="AR486" i="8"/>
  <c r="AR1522" i="8"/>
  <c r="AR524" i="8"/>
  <c r="AR1562" i="8"/>
  <c r="AR1458" i="8"/>
  <c r="AR770" i="8"/>
  <c r="AR666" i="8"/>
  <c r="AR695" i="8"/>
  <c r="AR1035" i="8"/>
  <c r="AR1466" i="8"/>
  <c r="AR195" i="8"/>
  <c r="AR596" i="8"/>
  <c r="AR1537" i="8"/>
  <c r="AR1391" i="8"/>
  <c r="AR652" i="8"/>
  <c r="AR619" i="8"/>
  <c r="AR1481" i="8"/>
  <c r="AR517" i="8"/>
  <c r="AR611" i="8"/>
  <c r="AR722" i="8"/>
  <c r="AR352" i="8"/>
  <c r="AR1119" i="8"/>
  <c r="AR1166" i="8"/>
  <c r="AR797" i="8"/>
  <c r="AR262" i="8"/>
  <c r="AR599" i="8"/>
  <c r="AR525" i="8"/>
  <c r="AR1394" i="8"/>
  <c r="AR730" i="8"/>
  <c r="AR1460" i="8"/>
  <c r="AR1532" i="8"/>
  <c r="AR1090" i="8"/>
  <c r="AR978" i="8"/>
  <c r="AR1461" i="8"/>
  <c r="AR1029" i="8"/>
  <c r="AR1438" i="8"/>
  <c r="AR1010" i="8"/>
  <c r="AR928" i="8"/>
  <c r="AR712" i="8"/>
  <c r="AR270" i="8"/>
  <c r="AR227" i="8"/>
  <c r="AR788" i="8"/>
  <c r="AR1156" i="8"/>
  <c r="AR1506" i="8"/>
  <c r="AR760" i="8"/>
  <c r="AR149" i="8"/>
  <c r="AR335" i="8"/>
  <c r="AR358" i="8"/>
  <c r="AR608" i="8"/>
  <c r="AR125" i="8"/>
  <c r="AR572" i="8"/>
  <c r="AR319" i="8"/>
  <c r="AR1068" i="8"/>
  <c r="AR983" i="8"/>
  <c r="AR381" i="8"/>
  <c r="AR1085" i="8"/>
  <c r="AR126" i="8"/>
  <c r="AR1473" i="8"/>
  <c r="AR191" i="8"/>
  <c r="AR389" i="8"/>
  <c r="AR551" i="8"/>
  <c r="AR982" i="8"/>
  <c r="AR1081" i="8"/>
  <c r="AR1494" i="8"/>
  <c r="AR1446" i="8"/>
  <c r="AR745" i="8"/>
  <c r="AR147" i="8"/>
  <c r="AR578" i="8"/>
  <c r="AR1558" i="8"/>
  <c r="AR1139" i="8"/>
  <c r="AR1509" i="8"/>
  <c r="AR332" i="8"/>
  <c r="AR264" i="8"/>
  <c r="AR1399" i="8"/>
  <c r="AR1354" i="8"/>
  <c r="AR146" i="8"/>
  <c r="AR585" i="8"/>
  <c r="AR1581" i="8"/>
  <c r="AR98" i="8"/>
  <c r="AR1013" i="8"/>
  <c r="AR1175" i="8"/>
  <c r="AR1202" i="8"/>
  <c r="AR499" i="8"/>
  <c r="AR1441" i="8"/>
  <c r="AR909" i="8"/>
  <c r="AR509" i="8"/>
  <c r="AR288" i="8"/>
  <c r="AR248" i="8"/>
  <c r="AR339" i="8"/>
  <c r="AR1571" i="8"/>
  <c r="AR725" i="8"/>
  <c r="AR1403" i="8"/>
  <c r="AR1464" i="8"/>
  <c r="AR1109" i="8"/>
  <c r="AR753" i="8"/>
  <c r="AR534" i="8"/>
  <c r="AR356" i="8"/>
  <c r="AR229" i="8"/>
  <c r="AR1315" i="8"/>
  <c r="AR535" i="8"/>
  <c r="AR799" i="8"/>
  <c r="AR275" i="8"/>
  <c r="AR257" i="8"/>
  <c r="AR665" i="8"/>
  <c r="AR351" i="8"/>
  <c r="AR129" i="8"/>
  <c r="AR561" i="8"/>
  <c r="AR1383" i="8"/>
  <c r="AR1302" i="8"/>
  <c r="AR1043" i="8"/>
  <c r="AR133" i="8"/>
  <c r="AR601" i="8"/>
  <c r="AR497" i="8"/>
  <c r="AR1061" i="8"/>
  <c r="AR780" i="8"/>
  <c r="AR519" i="8"/>
  <c r="AR1544" i="8"/>
  <c r="AR564" i="8"/>
  <c r="E9" i="7" l="1"/>
  <c r="L22" i="7" s="1"/>
  <c r="D7" i="10"/>
  <c r="AK4" i="6"/>
  <c r="C19" i="3"/>
  <c r="F25" i="3" s="1"/>
  <c r="L23" i="7" l="1"/>
  <c r="N23" i="7" s="1"/>
  <c r="L14" i="7"/>
  <c r="M14" i="7" s="1"/>
  <c r="S14" i="7" s="1"/>
  <c r="L21" i="7"/>
  <c r="M21" i="7" s="1"/>
  <c r="S21" i="7" s="1"/>
  <c r="E22" i="7"/>
  <c r="E25" i="7" s="1"/>
  <c r="L10" i="7"/>
  <c r="M10" i="7" s="1"/>
  <c r="S10" i="7" s="1"/>
  <c r="L13" i="7"/>
  <c r="N13" i="7" s="1"/>
  <c r="L9" i="7"/>
  <c r="N9" i="7" s="1"/>
  <c r="L7" i="7"/>
  <c r="M7" i="7" s="1"/>
  <c r="S7" i="7" s="1"/>
  <c r="L24" i="7"/>
  <c r="M24" i="7" s="1"/>
  <c r="S24" i="7" s="1"/>
  <c r="L12" i="7"/>
  <c r="M12" i="7" s="1"/>
  <c r="S12" i="7" s="1"/>
  <c r="L11" i="7"/>
  <c r="N11" i="7" s="1"/>
  <c r="L16" i="7"/>
  <c r="M16" i="7" s="1"/>
  <c r="S16" i="7" s="1"/>
  <c r="L8" i="7"/>
  <c r="M8" i="7" s="1"/>
  <c r="S8" i="7" s="1"/>
  <c r="L6" i="7"/>
  <c r="M6" i="7" s="1"/>
  <c r="L25" i="7"/>
  <c r="O25" i="7" s="1"/>
  <c r="L17" i="7"/>
  <c r="O17" i="7" s="1"/>
  <c r="L20" i="7"/>
  <c r="N20" i="7" s="1"/>
  <c r="L18" i="7"/>
  <c r="M18" i="7" s="1"/>
  <c r="S18" i="7" s="1"/>
  <c r="L19" i="7"/>
  <c r="N19" i="7" s="1"/>
  <c r="L15" i="7"/>
  <c r="N15" i="7" s="1"/>
  <c r="L26" i="7"/>
  <c r="O26" i="7" s="1"/>
  <c r="F19" i="3"/>
  <c r="D1" i="10"/>
  <c r="D48" i="1"/>
  <c r="F27" i="3"/>
  <c r="F28" i="3" s="1"/>
  <c r="F29" i="3" s="1"/>
  <c r="N22" i="7"/>
  <c r="O22" i="7"/>
  <c r="M22" i="7"/>
  <c r="S22" i="7" s="1"/>
  <c r="N14" i="7" l="1"/>
  <c r="U14" i="7" s="1"/>
  <c r="O23" i="7"/>
  <c r="Q21" i="7" s="1"/>
  <c r="N10" i="7"/>
  <c r="P11" i="7" s="1"/>
  <c r="M23" i="7"/>
  <c r="S23" i="7" s="1"/>
  <c r="N24" i="7"/>
  <c r="P24" i="7" s="1"/>
  <c r="O9" i="7"/>
  <c r="N25" i="7"/>
  <c r="U25" i="7" s="1"/>
  <c r="O14" i="7"/>
  <c r="M9" i="7"/>
  <c r="S9" i="7" s="1"/>
  <c r="M25" i="7"/>
  <c r="S25" i="7" s="1"/>
  <c r="O21" i="7"/>
  <c r="Q20" i="7" s="1"/>
  <c r="O11" i="7"/>
  <c r="M11" i="7"/>
  <c r="S11" i="7" s="1"/>
  <c r="N7" i="7"/>
  <c r="U7" i="7" s="1"/>
  <c r="O16" i="7"/>
  <c r="Q15" i="7" s="1"/>
  <c r="E24" i="7"/>
  <c r="B6" i="5" s="1"/>
  <c r="O7" i="7"/>
  <c r="N16" i="7"/>
  <c r="P16" i="7" s="1"/>
  <c r="E23" i="7"/>
  <c r="N12" i="7"/>
  <c r="P12" i="7" s="1"/>
  <c r="M13" i="7"/>
  <c r="S13" i="7" s="1"/>
  <c r="O13" i="7"/>
  <c r="O12" i="7"/>
  <c r="N8" i="7"/>
  <c r="P9" i="7" s="1"/>
  <c r="O10" i="7"/>
  <c r="N21" i="7"/>
  <c r="P22" i="7" s="1"/>
  <c r="O24" i="7"/>
  <c r="O8" i="7"/>
  <c r="N6" i="7"/>
  <c r="U6" i="7" s="1"/>
  <c r="O6" i="7"/>
  <c r="Q24" i="7"/>
  <c r="N26" i="7"/>
  <c r="U26" i="7" s="1"/>
  <c r="M26" i="7"/>
  <c r="S26" i="7" s="1"/>
  <c r="T26" i="7" s="1"/>
  <c r="O20" i="7"/>
  <c r="M20" i="7"/>
  <c r="S20" i="7" s="1"/>
  <c r="M17" i="7"/>
  <c r="S17" i="7" s="1"/>
  <c r="N17" i="7"/>
  <c r="U17" i="7" s="1"/>
  <c r="O18" i="7"/>
  <c r="Q16" i="7" s="1"/>
  <c r="N18" i="7"/>
  <c r="P19" i="7" s="1"/>
  <c r="O15" i="7"/>
  <c r="O19" i="7"/>
  <c r="M19" i="7"/>
  <c r="S19" i="7" s="1"/>
  <c r="M15" i="7"/>
  <c r="S15" i="7" s="1"/>
  <c r="U15" i="7"/>
  <c r="J11" i="3"/>
  <c r="K11" i="3" s="1"/>
  <c r="U22" i="7"/>
  <c r="J22" i="3"/>
  <c r="U23" i="7"/>
  <c r="P23" i="7"/>
  <c r="U19" i="7"/>
  <c r="P20" i="7"/>
  <c r="U20" i="7"/>
  <c r="U9" i="7"/>
  <c r="U13" i="7"/>
  <c r="U11" i="7"/>
  <c r="E13" i="7"/>
  <c r="S6" i="7"/>
  <c r="Q5" i="5"/>
  <c r="C9" i="4"/>
  <c r="AS551" i="8" l="1"/>
  <c r="D10" i="10"/>
  <c r="D12" i="10" s="1"/>
  <c r="D14" i="10" s="1"/>
  <c r="P14" i="7"/>
  <c r="T13" i="7" s="1"/>
  <c r="P15" i="7"/>
  <c r="T14" i="7" s="1"/>
  <c r="Q13" i="7"/>
  <c r="Q22" i="7"/>
  <c r="R22" i="7" s="1"/>
  <c r="P10" i="7"/>
  <c r="T9" i="7" s="1"/>
  <c r="AS571" i="8"/>
  <c r="U10" i="7"/>
  <c r="P25" i="7"/>
  <c r="T24" i="7" s="1"/>
  <c r="U24" i="7"/>
  <c r="Q8" i="7"/>
  <c r="Q7" i="7"/>
  <c r="R7" i="7" s="1"/>
  <c r="AS752" i="8"/>
  <c r="AS402" i="8"/>
  <c r="AS982" i="8"/>
  <c r="AS680" i="8"/>
  <c r="AS1390" i="8"/>
  <c r="AS169" i="8"/>
  <c r="AS1338" i="8"/>
  <c r="AS1546" i="8"/>
  <c r="AS1334" i="8"/>
  <c r="AS601" i="8"/>
  <c r="AS626" i="8"/>
  <c r="AS1578" i="8"/>
  <c r="AS1351" i="8"/>
  <c r="AS1294" i="8"/>
  <c r="AS784" i="8"/>
  <c r="AS796" i="8"/>
  <c r="AS1198" i="8"/>
  <c r="AS1292" i="8"/>
  <c r="AS306" i="8"/>
  <c r="AS1156" i="8"/>
  <c r="AS281" i="8"/>
  <c r="AS927" i="8"/>
  <c r="AS510" i="8"/>
  <c r="AS129" i="8"/>
  <c r="AS1199" i="8"/>
  <c r="C8" i="4"/>
  <c r="AS389" i="8"/>
  <c r="AS1095" i="8"/>
  <c r="AS620" i="8"/>
  <c r="AS732" i="8"/>
  <c r="AS191" i="8"/>
  <c r="AS1290" i="8"/>
  <c r="AS1405" i="8"/>
  <c r="AS1501" i="8"/>
  <c r="AS493" i="8"/>
  <c r="AS627" i="8"/>
  <c r="AS1306" i="8"/>
  <c r="AS673" i="8"/>
  <c r="AS889" i="8"/>
  <c r="AS231" i="8"/>
  <c r="AS895" i="8"/>
  <c r="AS1301" i="8"/>
  <c r="AS624" i="8"/>
  <c r="AS1087" i="8"/>
  <c r="AS1182" i="8"/>
  <c r="AS164" i="8"/>
  <c r="AS1053" i="8"/>
  <c r="AS1344" i="8"/>
  <c r="AS768" i="8"/>
  <c r="AS1133" i="8"/>
  <c r="AS1097" i="8"/>
  <c r="AS1109" i="8"/>
  <c r="AS588" i="8"/>
  <c r="AS652" i="8"/>
  <c r="AS189" i="8"/>
  <c r="AS1159" i="8"/>
  <c r="AS1341" i="8"/>
  <c r="AS1180" i="8"/>
  <c r="AS695" i="8"/>
  <c r="AS215" i="8"/>
  <c r="AS527" i="8"/>
  <c r="AS1518" i="8"/>
  <c r="AS1543" i="8"/>
  <c r="AS245" i="8"/>
  <c r="AS513" i="8"/>
  <c r="AS762" i="8"/>
  <c r="AS310" i="8"/>
  <c r="AS341" i="8"/>
  <c r="AS1585" i="8"/>
  <c r="P8" i="7"/>
  <c r="T7" i="7" s="1"/>
  <c r="AS165" i="8"/>
  <c r="AS591" i="8"/>
  <c r="AS1547" i="8"/>
  <c r="AS750" i="8"/>
  <c r="AS1401" i="8"/>
  <c r="AS930" i="8"/>
  <c r="AS991" i="8"/>
  <c r="AS204" i="8"/>
  <c r="AS177" i="8"/>
  <c r="AS1366" i="8"/>
  <c r="AS665" i="8"/>
  <c r="AS1497" i="8"/>
  <c r="AS1321" i="8"/>
  <c r="AS1043" i="8"/>
  <c r="AS1061" i="8"/>
  <c r="AS520" i="8"/>
  <c r="AS971" i="8"/>
  <c r="AS1073" i="8"/>
  <c r="AS672" i="8"/>
  <c r="AS1450" i="8"/>
  <c r="AS951" i="8"/>
  <c r="AS697" i="8"/>
  <c r="AS1474" i="8"/>
  <c r="AS1480" i="8"/>
  <c r="AS1435" i="8"/>
  <c r="AS1423" i="8"/>
  <c r="AS523" i="8"/>
  <c r="AS1466" i="8"/>
  <c r="AS1315" i="8"/>
  <c r="AS338" i="8"/>
  <c r="AS1298" i="8"/>
  <c r="AS779" i="8"/>
  <c r="AS1016" i="8"/>
  <c r="AS1131" i="8"/>
  <c r="AS1343" i="8"/>
  <c r="AS304" i="8"/>
  <c r="AS969" i="8"/>
  <c r="AS1286" i="8"/>
  <c r="AS1530" i="8"/>
  <c r="AS1160" i="8"/>
  <c r="AS685" i="8"/>
  <c r="AS170" i="8"/>
  <c r="AS88" i="8"/>
  <c r="AS1015" i="8"/>
  <c r="AS562" i="8"/>
  <c r="AS656" i="8"/>
  <c r="AS115" i="8"/>
  <c r="AS1304" i="8"/>
  <c r="AS1599" i="8"/>
  <c r="AS603" i="8"/>
  <c r="AS213" i="8"/>
  <c r="AS1364" i="8"/>
  <c r="AS373" i="8"/>
  <c r="AS1461" i="8"/>
  <c r="AS124" i="8"/>
  <c r="AS1528" i="8"/>
  <c r="AS1526" i="8"/>
  <c r="AS963" i="8"/>
  <c r="AS87" i="8"/>
  <c r="AS266" i="8"/>
  <c r="AS718" i="8"/>
  <c r="AS775" i="8"/>
  <c r="AS159" i="8"/>
  <c r="AS739" i="8"/>
  <c r="AS1374" i="8"/>
  <c r="AS700" i="8"/>
  <c r="AS899" i="8"/>
  <c r="AS1007" i="8"/>
  <c r="AS225" i="8"/>
  <c r="AS1430" i="8"/>
  <c r="AS1326" i="8"/>
  <c r="AS584" i="8"/>
  <c r="AS924" i="8"/>
  <c r="AS1516" i="8"/>
  <c r="AS217" i="8"/>
  <c r="AS1004" i="8"/>
  <c r="AS555" i="8"/>
  <c r="AS1319" i="8"/>
  <c r="AS214" i="8"/>
  <c r="AS508" i="8"/>
  <c r="AS632" i="8"/>
  <c r="AS781" i="8"/>
  <c r="AS309" i="8"/>
  <c r="AS715" i="8"/>
  <c r="AS731" i="8"/>
  <c r="AS349" i="8"/>
  <c r="AS511" i="8"/>
  <c r="AS1394" i="8"/>
  <c r="AS908" i="8"/>
  <c r="AS209" i="8"/>
  <c r="AS1499" i="8"/>
  <c r="AS296" i="8"/>
  <c r="AS1006" i="8"/>
  <c r="AS210" i="8"/>
  <c r="AS918" i="8"/>
  <c r="AS276" i="8"/>
  <c r="AS724" i="8"/>
  <c r="AS1337" i="8"/>
  <c r="AS156" i="8"/>
  <c r="AS589" i="8"/>
  <c r="AS489" i="8"/>
  <c r="AS1445" i="8"/>
  <c r="AS1358" i="8"/>
  <c r="AS1191" i="8"/>
  <c r="AS989" i="8"/>
  <c r="AS744" i="8"/>
  <c r="AS202" i="8"/>
  <c r="AS587" i="8"/>
  <c r="AS1571" i="8"/>
  <c r="AS381" i="8"/>
  <c r="AS282" i="8"/>
  <c r="AS1527" i="8"/>
  <c r="AS1093" i="8"/>
  <c r="AS914" i="8"/>
  <c r="AS1085" i="8"/>
  <c r="AS1283" i="8"/>
  <c r="AS593" i="8"/>
  <c r="AS242" i="8"/>
  <c r="AS621" i="8"/>
  <c r="AS543" i="8"/>
  <c r="AS1324" i="8"/>
  <c r="AS356" i="8"/>
  <c r="AS1143" i="8"/>
  <c r="AS1024" i="8"/>
  <c r="AS890" i="8"/>
  <c r="AS557" i="8"/>
  <c r="AS1525" i="8"/>
  <c r="AS390" i="8"/>
  <c r="AS1288" i="8"/>
  <c r="AS1101" i="8"/>
  <c r="AS1313" i="8"/>
  <c r="AS1573" i="8"/>
  <c r="AS1196" i="8"/>
  <c r="AS956" i="8"/>
  <c r="AS1167" i="8"/>
  <c r="AS1454" i="8"/>
  <c r="AS940" i="8"/>
  <c r="AS274" i="8"/>
  <c r="AS778" i="8"/>
  <c r="AS1483" i="8"/>
  <c r="AS500" i="8"/>
  <c r="AS1355" i="8"/>
  <c r="AS979" i="8"/>
  <c r="AS227" i="8"/>
  <c r="AS1537" i="8"/>
  <c r="AS1398" i="8"/>
  <c r="AS780" i="8"/>
  <c r="AS99" i="8"/>
  <c r="AS968" i="8"/>
  <c r="AS745" i="8"/>
  <c r="AS1074" i="8"/>
  <c r="AS572" i="8"/>
  <c r="AS977" i="8"/>
  <c r="AS1132" i="8"/>
  <c r="AS1575" i="8"/>
  <c r="AS1023" i="8"/>
  <c r="AS1507" i="8"/>
  <c r="AS1536" i="8"/>
  <c r="AS288" i="8"/>
  <c r="AS1407" i="8"/>
  <c r="AS358" i="8"/>
  <c r="AS900" i="8"/>
  <c r="AS1082" i="8"/>
  <c r="AS935" i="8"/>
  <c r="AS953" i="8"/>
  <c r="AS1320" i="8"/>
  <c r="AS1162" i="8"/>
  <c r="AS658" i="8"/>
  <c r="AS1345" i="8"/>
  <c r="AS1069" i="8"/>
  <c r="AS539" i="8"/>
  <c r="AS1476" i="8"/>
  <c r="AS1075" i="8"/>
  <c r="AS1432" i="8"/>
  <c r="AS1189" i="8"/>
  <c r="AS312" i="8"/>
  <c r="AS365" i="8"/>
  <c r="AS1310" i="8"/>
  <c r="AS394" i="8"/>
  <c r="AS298" i="8"/>
  <c r="AS1562" i="8"/>
  <c r="AS690" i="8"/>
  <c r="AS681" i="8"/>
  <c r="AS1433" i="8"/>
  <c r="AS354" i="8"/>
  <c r="AS1438" i="8"/>
  <c r="AS1032" i="8"/>
  <c r="AS1554" i="8"/>
  <c r="AS1194" i="8"/>
  <c r="AS327" i="8"/>
  <c r="AS370" i="8"/>
  <c r="AS699" i="8"/>
  <c r="AS343" i="8"/>
  <c r="AS185" i="8"/>
  <c r="AS126" i="8"/>
  <c r="AS517" i="8"/>
  <c r="AS346" i="8"/>
  <c r="AS287" i="8"/>
  <c r="AS893" i="8"/>
  <c r="AS1168" i="8"/>
  <c r="AS179" i="8"/>
  <c r="AS148" i="8"/>
  <c r="AS1498" i="8"/>
  <c r="AS1403" i="8"/>
  <c r="AS612" i="8"/>
  <c r="AS912" i="8"/>
  <c r="AS1452" i="8"/>
  <c r="AS303" i="8"/>
  <c r="AS1391" i="8"/>
  <c r="AS1359" i="8"/>
  <c r="AS696" i="8"/>
  <c r="AS786" i="8"/>
  <c r="AS706" i="8"/>
  <c r="AS490" i="8"/>
  <c r="AS1419" i="8"/>
  <c r="AS790" i="8"/>
  <c r="AS1170" i="8"/>
  <c r="AS238" i="8"/>
  <c r="AS1418" i="8"/>
  <c r="AS1428" i="8"/>
  <c r="AS267" i="8"/>
  <c r="AS711" i="8"/>
  <c r="AS255" i="8"/>
  <c r="AS891" i="8"/>
  <c r="AS717" i="8"/>
  <c r="AS981" i="8"/>
  <c r="AS176" i="8"/>
  <c r="AS1404" i="8"/>
  <c r="AS297" i="8"/>
  <c r="AS1125" i="8"/>
  <c r="AS1561" i="8"/>
  <c r="AS568" i="8"/>
  <c r="AS344" i="8"/>
  <c r="AS289" i="8"/>
  <c r="AS1001" i="8"/>
  <c r="AS1551" i="8"/>
  <c r="AS1481" i="8"/>
  <c r="AS1144" i="8"/>
  <c r="AS345" i="8"/>
  <c r="AS1475" i="8"/>
  <c r="AS109" i="8"/>
  <c r="AS1375" i="8"/>
  <c r="AS1147" i="8"/>
  <c r="AS1602" i="8"/>
  <c r="AS765" i="8"/>
  <c r="AS607" i="8"/>
  <c r="AS228" i="8"/>
  <c r="AS1195" i="8"/>
  <c r="AS330" i="8"/>
  <c r="AS679" i="8"/>
  <c r="AS1387" i="8"/>
  <c r="AS921" i="8"/>
  <c r="AS1201" i="8"/>
  <c r="AS1335" i="8"/>
  <c r="AS393" i="8"/>
  <c r="AS172" i="8"/>
  <c r="AS1005" i="8"/>
  <c r="AS331" i="8"/>
  <c r="AS609" i="8"/>
  <c r="AS84" i="8"/>
  <c r="AS1523" i="8"/>
  <c r="AS937" i="8"/>
  <c r="AS1325" i="8"/>
  <c r="AS1468" i="8"/>
  <c r="AS295" i="8"/>
  <c r="AS728" i="8"/>
  <c r="AS926" i="8"/>
  <c r="AS400" i="8"/>
  <c r="AS565" i="8"/>
  <c r="AS1399" i="8"/>
  <c r="AS994" i="8"/>
  <c r="AS1385" i="8"/>
  <c r="AS1178" i="8"/>
  <c r="AS257" i="8"/>
  <c r="AS766" i="8"/>
  <c r="AS687" i="8"/>
  <c r="AS97" i="8"/>
  <c r="AS236" i="8"/>
  <c r="AS1064" i="8"/>
  <c r="AS1550" i="8"/>
  <c r="AS1092" i="8"/>
  <c r="AS1532" i="8"/>
  <c r="AS374" i="8"/>
  <c r="AS546" i="8"/>
  <c r="AS212" i="8"/>
  <c r="AS1012" i="8"/>
  <c r="AS1091" i="8"/>
  <c r="AS772" i="8"/>
  <c r="AS1457" i="8"/>
  <c r="AS329" i="8"/>
  <c r="AS299" i="8"/>
  <c r="AS237" i="8"/>
  <c r="AS522" i="8"/>
  <c r="AS1289" i="8"/>
  <c r="AS232" i="8"/>
  <c r="AS1040" i="8"/>
  <c r="AS629" i="8"/>
  <c r="AS1357" i="8"/>
  <c r="AS569" i="8"/>
  <c r="AS980" i="8"/>
  <c r="AS379" i="8"/>
  <c r="AS376" i="8"/>
  <c r="AS689" i="8"/>
  <c r="AS235" i="8"/>
  <c r="AS128" i="8"/>
  <c r="AS1291" i="8"/>
  <c r="AS1384" i="8"/>
  <c r="AS684" i="8"/>
  <c r="AS1118" i="8"/>
  <c r="AS270" i="8"/>
  <c r="AS142" i="8"/>
  <c r="AS727" i="8"/>
  <c r="AS608" i="8"/>
  <c r="AS1502" i="8"/>
  <c r="AS190" i="8"/>
  <c r="AS1140" i="8"/>
  <c r="AS1393" i="8"/>
  <c r="AS1036" i="8"/>
  <c r="AS688" i="8"/>
  <c r="AS397" i="8"/>
  <c r="AS157" i="8"/>
  <c r="AS1129" i="8"/>
  <c r="AS254" i="8"/>
  <c r="AS674" i="8"/>
  <c r="AS1066" i="8"/>
  <c r="AS301" i="8"/>
  <c r="AS187" i="8"/>
  <c r="AS1154" i="8"/>
  <c r="AS1360" i="8"/>
  <c r="AS892" i="8"/>
  <c r="AS103" i="8"/>
  <c r="AS286" i="8"/>
  <c r="AS693" i="8"/>
  <c r="AS355" i="8"/>
  <c r="AS1465" i="8"/>
  <c r="AS1406" i="8"/>
  <c r="AS917" i="8"/>
  <c r="AS1192" i="8"/>
  <c r="AS1588" i="8"/>
  <c r="AS486" i="8"/>
  <c r="AS907" i="8"/>
  <c r="AS1111" i="8"/>
  <c r="AS1030" i="8"/>
  <c r="AS585" i="8"/>
  <c r="AS111" i="8"/>
  <c r="AS755" i="8"/>
  <c r="AS643" i="8"/>
  <c r="AS610" i="8"/>
  <c r="AS636" i="8"/>
  <c r="AS1552" i="8"/>
  <c r="AS702" i="8"/>
  <c r="AS207" i="8"/>
  <c r="AS492" i="8"/>
  <c r="AS102" i="8"/>
  <c r="AS505" i="8"/>
  <c r="AS757" i="8"/>
  <c r="AS1008" i="8"/>
  <c r="AS175" i="8"/>
  <c r="AS670" i="8"/>
  <c r="AS1145" i="8"/>
  <c r="AS372" i="8"/>
  <c r="AS1558" i="8"/>
  <c r="AS1100" i="8"/>
  <c r="AS550" i="8"/>
  <c r="AS151" i="8"/>
  <c r="AS581" i="8"/>
  <c r="AS1479" i="8"/>
  <c r="AS1453" i="8"/>
  <c r="AS537" i="8"/>
  <c r="AS602" i="8"/>
  <c r="AS920" i="8"/>
  <c r="AS746" i="8"/>
  <c r="AS788" i="8"/>
  <c r="AS730" i="8"/>
  <c r="AS143" i="8"/>
  <c r="AS1116" i="8"/>
  <c r="AS1464" i="8"/>
  <c r="AS1567" i="8"/>
  <c r="AS224" i="8"/>
  <c r="AS1442" i="8"/>
  <c r="AS534" i="8"/>
  <c r="AS1477" i="8"/>
  <c r="AS519" i="8"/>
  <c r="AS1601" i="8"/>
  <c r="AS1057" i="8"/>
  <c r="AS1473" i="8"/>
  <c r="AS959" i="8"/>
  <c r="AS800" i="8"/>
  <c r="AS1126" i="8"/>
  <c r="AS1489" i="8"/>
  <c r="AS547" i="8"/>
  <c r="AS529" i="8"/>
  <c r="AS386" i="8"/>
  <c r="AS1181" i="8"/>
  <c r="AS641" i="8"/>
  <c r="AS999" i="8"/>
  <c r="AS166" i="8"/>
  <c r="AS967" i="8"/>
  <c r="AS1148" i="8"/>
  <c r="AS168" i="8"/>
  <c r="AS777" i="8"/>
  <c r="AS1386" i="8"/>
  <c r="AS1044" i="8"/>
  <c r="AS1187" i="8"/>
  <c r="AS133" i="8"/>
  <c r="AS116" i="8"/>
  <c r="AS302" i="8"/>
  <c r="AS783" i="8"/>
  <c r="AS1311" i="8"/>
  <c r="AS1545" i="8"/>
  <c r="AS316" i="8"/>
  <c r="AS721" i="8"/>
  <c r="AS392" i="8"/>
  <c r="AS1305" i="8"/>
  <c r="AS1114" i="8"/>
  <c r="AS291" i="8"/>
  <c r="AS135" i="8"/>
  <c r="AS269" i="8"/>
  <c r="AS1569" i="8"/>
  <c r="AS323" i="8"/>
  <c r="AS738" i="8"/>
  <c r="AS162" i="8"/>
  <c r="AS1146" i="8"/>
  <c r="AS203" i="8"/>
  <c r="AS136" i="8"/>
  <c r="AS735" i="8"/>
  <c r="AS1084" i="8"/>
  <c r="AS1173" i="8"/>
  <c r="AS1365" i="8"/>
  <c r="AS158" i="8"/>
  <c r="AS1539" i="8"/>
  <c r="AS357" i="8"/>
  <c r="AS1063" i="8"/>
  <c r="AS1041" i="8"/>
  <c r="AS617" i="8"/>
  <c r="AS1348" i="8"/>
  <c r="AS1524" i="8"/>
  <c r="AS648" i="8"/>
  <c r="C8" i="1"/>
  <c r="AS1350" i="8"/>
  <c r="AS542" i="8"/>
  <c r="AS751" i="8"/>
  <c r="AS682" i="8"/>
  <c r="AS1574" i="8"/>
  <c r="AS502" i="8"/>
  <c r="AS1112" i="8"/>
  <c r="AS85" i="8"/>
  <c r="AS160" i="8"/>
  <c r="P17" i="7"/>
  <c r="R15" i="7" s="1"/>
  <c r="AS119" i="8"/>
  <c r="AS325" i="8"/>
  <c r="AS763" i="8"/>
  <c r="AS578" i="8"/>
  <c r="AS795" i="8"/>
  <c r="AS580" i="8"/>
  <c r="AS220" i="8"/>
  <c r="AS668" i="8"/>
  <c r="AS399" i="8"/>
  <c r="AS1541" i="8"/>
  <c r="AS1486" i="8"/>
  <c r="AS640" i="8"/>
  <c r="AS759" i="8"/>
  <c r="AS909" i="8"/>
  <c r="AS1494" i="8"/>
  <c r="AS631" i="8"/>
  <c r="AS1141" i="8"/>
  <c r="AS1519" i="8"/>
  <c r="AS704" i="8"/>
  <c r="AS1579" i="8"/>
  <c r="AS1491" i="8"/>
  <c r="AS553" i="8"/>
  <c r="AS1190" i="8"/>
  <c r="AS1503" i="8"/>
  <c r="AS395" i="8"/>
  <c r="AS1482" i="8"/>
  <c r="AS678" i="8"/>
  <c r="AS712" i="8"/>
  <c r="AS558" i="8"/>
  <c r="AS1510" i="8"/>
  <c r="AS198" i="8"/>
  <c r="AS290" i="8"/>
  <c r="AS998" i="8"/>
  <c r="AS713" i="8"/>
  <c r="AS683" i="8"/>
  <c r="AS747" i="8"/>
  <c r="AS199" i="8"/>
  <c r="AS1413" i="8"/>
  <c r="AS1166" i="8"/>
  <c r="AS710" i="8"/>
  <c r="AS904" i="8"/>
  <c r="AS178" i="8"/>
  <c r="AS1487" i="8"/>
  <c r="AS1322" i="8"/>
  <c r="AS923" i="8"/>
  <c r="AS1597" i="8"/>
  <c r="AS1493" i="8"/>
  <c r="AS1382" i="8"/>
  <c r="AS993" i="8"/>
  <c r="AS1060" i="8"/>
  <c r="AS1128" i="8"/>
  <c r="AS86" i="8"/>
  <c r="Q4" i="5"/>
  <c r="AS292" i="8"/>
  <c r="AS140" i="8"/>
  <c r="AS396" i="8"/>
  <c r="AS605" i="8"/>
  <c r="AS1333" i="8"/>
  <c r="AS222" i="8"/>
  <c r="AS1076" i="8"/>
  <c r="AS988" i="8"/>
  <c r="AS1149" i="8"/>
  <c r="AS1000" i="8"/>
  <c r="AS1421" i="8"/>
  <c r="AS1163" i="8"/>
  <c r="AS595" i="8"/>
  <c r="AS996" i="8"/>
  <c r="AS583" i="8"/>
  <c r="AS1284" i="8"/>
  <c r="AS530" i="8"/>
  <c r="AS248" i="8"/>
  <c r="AS774" i="8"/>
  <c r="AS1054" i="8"/>
  <c r="AS929" i="8"/>
  <c r="AS1137" i="8"/>
  <c r="AS1426" i="8"/>
  <c r="AS1193" i="8"/>
  <c r="AS95" i="8"/>
  <c r="AS1505" i="8"/>
  <c r="AS1422" i="8"/>
  <c r="AS367" i="8"/>
  <c r="AS797" i="8"/>
  <c r="AS995" i="8"/>
  <c r="AS1563" i="8"/>
  <c r="AS1014" i="8"/>
  <c r="AS1336" i="8"/>
  <c r="AS1021" i="8"/>
  <c r="AS984" i="8"/>
  <c r="AS319" i="8"/>
  <c r="AS211" i="8"/>
  <c r="AS366" i="8"/>
  <c r="AS1485" i="8"/>
  <c r="AS1451" i="8"/>
  <c r="AS101" i="8"/>
  <c r="AS604" i="8"/>
  <c r="AS278" i="8"/>
  <c r="AS666" i="8"/>
  <c r="AS1031" i="8"/>
  <c r="AS277" i="8"/>
  <c r="AS230" i="8"/>
  <c r="AS1328" i="8"/>
  <c r="AS954" i="8"/>
  <c r="AS987" i="8"/>
  <c r="AS1592" i="8"/>
  <c r="AS736" i="8"/>
  <c r="AS966" i="8"/>
  <c r="AS359" i="8"/>
  <c r="AS261" i="8"/>
  <c r="AS1522" i="8"/>
  <c r="AS1317" i="8"/>
  <c r="AS701" i="8"/>
  <c r="AS1412" i="8"/>
  <c r="AS614" i="8"/>
  <c r="AS1202" i="8"/>
  <c r="AS122" i="8"/>
  <c r="AS280" i="8"/>
  <c r="AS265" i="8"/>
  <c r="AS948" i="8"/>
  <c r="AS897" i="8"/>
  <c r="AS692" i="8"/>
  <c r="AS1506" i="8"/>
  <c r="AS1560" i="8"/>
  <c r="AS1297" i="8"/>
  <c r="AS1105" i="8"/>
  <c r="AS495" i="8"/>
  <c r="AS1296" i="8"/>
  <c r="AS1593" i="8"/>
  <c r="AS962" i="8"/>
  <c r="AS1471" i="8"/>
  <c r="AS1120" i="8"/>
  <c r="AS206" i="8"/>
  <c r="AS1458" i="8"/>
  <c r="AS186" i="8"/>
  <c r="AS1362" i="8"/>
  <c r="AS509" i="8"/>
  <c r="AS200" i="8"/>
  <c r="AS716" i="8"/>
  <c r="AS613" i="8"/>
  <c r="AS1049" i="8"/>
  <c r="AS1017" i="8"/>
  <c r="AS1330" i="8"/>
  <c r="AS1010" i="8"/>
  <c r="AS1327" i="8"/>
  <c r="AS1139" i="8"/>
  <c r="AS1356" i="8"/>
  <c r="AS147" i="8"/>
  <c r="AS150" i="8"/>
  <c r="AS1447" i="8"/>
  <c r="AS1308" i="8"/>
  <c r="AS952" i="8"/>
  <c r="AS1500" i="8"/>
  <c r="AS183" i="8"/>
  <c r="AS132" i="8"/>
  <c r="AS201" i="8"/>
  <c r="AS1177" i="8"/>
  <c r="AS260" i="8"/>
  <c r="AS566" i="8"/>
  <c r="AS1595" i="8"/>
  <c r="AS1456" i="8"/>
  <c r="AS152" i="8"/>
  <c r="AS1029" i="8"/>
  <c r="AS990" i="8"/>
  <c r="AS1039" i="8"/>
  <c r="AS1495" i="8"/>
  <c r="AS654" i="8"/>
  <c r="AS382" i="8"/>
  <c r="AS1496" i="8"/>
  <c r="AS964" i="8"/>
  <c r="AS883" i="8"/>
  <c r="AS1441" i="8"/>
  <c r="AS320" i="8"/>
  <c r="AS1564" i="8"/>
  <c r="AS1323" i="8"/>
  <c r="AS305" i="8"/>
  <c r="AS535" i="8"/>
  <c r="AS1028" i="8"/>
  <c r="AS321" i="8"/>
  <c r="AS1367" i="8"/>
  <c r="AS1094" i="8"/>
  <c r="AS1462" i="8"/>
  <c r="AS729" i="8"/>
  <c r="AS1434" i="8"/>
  <c r="AS104" i="8"/>
  <c r="AS1349" i="8"/>
  <c r="AS1110" i="8"/>
  <c r="AS1392" i="8"/>
  <c r="AS239" i="8"/>
  <c r="AS1594" i="8"/>
  <c r="AS1309" i="8"/>
  <c r="AS743" i="8"/>
  <c r="AS538" i="8"/>
  <c r="AS1431" i="8"/>
  <c r="AS1417" i="8"/>
  <c r="AS149" i="8"/>
  <c r="AS573" i="8"/>
  <c r="AS663" i="8"/>
  <c r="AS741" i="8"/>
  <c r="AS1153" i="8"/>
  <c r="AS100" i="8"/>
  <c r="AS957" i="8"/>
  <c r="AS1331" i="8"/>
  <c r="AS978" i="8"/>
  <c r="AS714" i="8"/>
  <c r="AS1376" i="8"/>
  <c r="AS754" i="8"/>
  <c r="AS205" i="8"/>
  <c r="AS650" i="8"/>
  <c r="AS144" i="8"/>
  <c r="AS756" i="8"/>
  <c r="AS512" i="8"/>
  <c r="AS1373" i="8"/>
  <c r="AS749" i="8"/>
  <c r="AS503" i="8"/>
  <c r="AS256" i="8"/>
  <c r="AS1285" i="8"/>
  <c r="AS960" i="8"/>
  <c r="AS1509" i="8"/>
  <c r="AS1490" i="8"/>
  <c r="AS241" i="8"/>
  <c r="AS1106" i="8"/>
  <c r="AS691" i="8"/>
  <c r="AS532" i="8"/>
  <c r="AS1070" i="8"/>
  <c r="Q12" i="7"/>
  <c r="Q19" i="7"/>
  <c r="AS121" i="8"/>
  <c r="AS259" i="8"/>
  <c r="AS992" i="8"/>
  <c r="AS644" i="8"/>
  <c r="AS1185" i="8"/>
  <c r="AS324" i="8"/>
  <c r="AS192" i="8"/>
  <c r="AS737" i="8"/>
  <c r="AS246" i="8"/>
  <c r="AS1142" i="8"/>
  <c r="AS548" i="8"/>
  <c r="AS633" i="8"/>
  <c r="AS686" i="8"/>
  <c r="AS634" i="8"/>
  <c r="AS1553" i="8"/>
  <c r="AS1314" i="8"/>
  <c r="AS92" i="8"/>
  <c r="AS488" i="8"/>
  <c r="AS911" i="8"/>
  <c r="AS1096" i="8"/>
  <c r="AS272" i="8"/>
  <c r="AS1299" i="8"/>
  <c r="AS975" i="8"/>
  <c r="AS1514" i="8"/>
  <c r="AS1104" i="8"/>
  <c r="AS1535" i="8"/>
  <c r="AS506" i="8"/>
  <c r="AS1511" i="8"/>
  <c r="AS748" i="8"/>
  <c r="AS606" i="8"/>
  <c r="AS98" i="8"/>
  <c r="AS518" i="8"/>
  <c r="AS262" i="8"/>
  <c r="AS1067" i="8"/>
  <c r="AS1045" i="8"/>
  <c r="AS651" i="8"/>
  <c r="AS1155" i="8"/>
  <c r="AS635" i="8"/>
  <c r="AS294" i="8"/>
  <c r="AS1117" i="8"/>
  <c r="AS1443" i="8"/>
  <c r="AS1135" i="8"/>
  <c r="AS174" i="8"/>
  <c r="AS945" i="8"/>
  <c r="AS247" i="8"/>
  <c r="AS1090" i="8"/>
  <c r="AS559" i="8"/>
  <c r="AS1047" i="8"/>
  <c r="AS1164" i="8"/>
  <c r="AS334" i="8"/>
  <c r="AS1425" i="8"/>
  <c r="AS163" i="8"/>
  <c r="AS662" i="8"/>
  <c r="AS1372" i="8"/>
  <c r="AS563" i="8"/>
  <c r="AS252" i="8"/>
  <c r="AS997" i="8"/>
  <c r="AS1436" i="8"/>
  <c r="AS906" i="8"/>
  <c r="AS943" i="8"/>
  <c r="AS671" i="8"/>
  <c r="AS887" i="8"/>
  <c r="AS1455" i="8"/>
  <c r="AS1568" i="8"/>
  <c r="AS1152" i="8"/>
  <c r="AS1050" i="8"/>
  <c r="AS348" i="8"/>
  <c r="AS646" i="8"/>
  <c r="AS315" i="8"/>
  <c r="AS380" i="8"/>
  <c r="AS308" i="8"/>
  <c r="AS1363" i="8"/>
  <c r="AS661" i="8"/>
  <c r="AS1086" i="8"/>
  <c r="AS916" i="8"/>
  <c r="AS694" i="8"/>
  <c r="AS898" i="8"/>
  <c r="AS339" i="8"/>
  <c r="AS758" i="8"/>
  <c r="AS1383" i="8"/>
  <c r="AS188" i="8"/>
  <c r="AS1437" i="8"/>
  <c r="AS283" i="8"/>
  <c r="AS1083" i="8"/>
  <c r="AS293" i="8"/>
  <c r="AS1037" i="8"/>
  <c r="AS93" i="8"/>
  <c r="AS1572" i="8"/>
  <c r="AS922" i="8"/>
  <c r="AS536" i="8"/>
  <c r="AS592" i="8"/>
  <c r="AS233" i="8"/>
  <c r="AS961" i="8"/>
  <c r="AS552" i="8"/>
  <c r="AS949" i="8"/>
  <c r="AS615" i="8"/>
  <c r="AS770" i="8"/>
  <c r="AS1538" i="8"/>
  <c r="AS1409" i="8"/>
  <c r="AS250" i="8"/>
  <c r="AS1577" i="8"/>
  <c r="AS138" i="8"/>
  <c r="AS939" i="8"/>
  <c r="AS1025" i="8"/>
  <c r="AS1165" i="8"/>
  <c r="AS707" i="8"/>
  <c r="AS182" i="8"/>
  <c r="AS1581" i="8"/>
  <c r="AS258" i="8"/>
  <c r="AS1460" i="8"/>
  <c r="AS243" i="8"/>
  <c r="AS347" i="8"/>
  <c r="AS1329" i="8"/>
  <c r="AS1484" i="8"/>
  <c r="AS1352" i="8"/>
  <c r="AS1508" i="8"/>
  <c r="AS1080" i="8"/>
  <c r="AS317" i="8"/>
  <c r="AS1102" i="8"/>
  <c r="AS96" i="8"/>
  <c r="AS675" i="8"/>
  <c r="AS1340" i="8"/>
  <c r="AS208" i="8"/>
  <c r="AS352" i="8"/>
  <c r="AS494" i="8"/>
  <c r="AS1175" i="8"/>
  <c r="AS1416" i="8"/>
  <c r="AS340" i="8"/>
  <c r="AS369" i="8"/>
  <c r="AS1544" i="8"/>
  <c r="AS742" i="8"/>
  <c r="AS1600" i="8"/>
  <c r="AS497" i="8"/>
  <c r="AS792" i="8"/>
  <c r="AS1521" i="8"/>
  <c r="AS1448" i="8"/>
  <c r="AS597" i="8"/>
  <c r="AS1467" i="8"/>
  <c r="AS544" i="8"/>
  <c r="AS628" i="8"/>
  <c r="AS936" i="8"/>
  <c r="AS504" i="8"/>
  <c r="AS311" i="8"/>
  <c r="AS388" i="8"/>
  <c r="AS905" i="8"/>
  <c r="AS637" i="8"/>
  <c r="AS885" i="8"/>
  <c r="AS118" i="8"/>
  <c r="AS1504" i="8"/>
  <c r="AS791" i="8"/>
  <c r="AS950" i="8"/>
  <c r="AS576" i="8"/>
  <c r="AS1119" i="8"/>
  <c r="AS1115" i="8"/>
  <c r="AS285" i="8"/>
  <c r="AS1033" i="8"/>
  <c r="AS501" i="8"/>
  <c r="AS664" i="8"/>
  <c r="AS947" i="8"/>
  <c r="AS117" i="8"/>
  <c r="AS570" i="8"/>
  <c r="AS1555" i="8"/>
  <c r="AS594" i="8"/>
  <c r="AS1459" i="8"/>
  <c r="AS645" i="8"/>
  <c r="AS1576" i="8"/>
  <c r="AS271" i="8"/>
  <c r="AS342" i="8"/>
  <c r="AS1402" i="8"/>
  <c r="AS567" i="8"/>
  <c r="AS94" i="8"/>
  <c r="AS760" i="8"/>
  <c r="AS110" i="8"/>
  <c r="AS123" i="8"/>
  <c r="AS726" i="8"/>
  <c r="AS1130" i="8"/>
  <c r="AS1379" i="8"/>
  <c r="AS630" i="8"/>
  <c r="AS932" i="8"/>
  <c r="AS307" i="8"/>
  <c r="AS1492" i="8"/>
  <c r="AS983" i="8"/>
  <c r="AS1353" i="8"/>
  <c r="AS1183" i="8"/>
  <c r="AS526" i="8"/>
  <c r="AS577" i="8"/>
  <c r="AS1034" i="8"/>
  <c r="AS1113" i="8"/>
  <c r="AS616" i="8"/>
  <c r="AS782" i="8"/>
  <c r="AS384" i="8"/>
  <c r="AS1346" i="8"/>
  <c r="AS1444" i="8"/>
  <c r="AS125" i="8"/>
  <c r="AS1035" i="8"/>
  <c r="AS554" i="8"/>
  <c r="AS801" i="8"/>
  <c r="AS391" i="8"/>
  <c r="AS720" i="8"/>
  <c r="AS676" i="8"/>
  <c r="AS1161" i="8"/>
  <c r="AS273" i="8"/>
  <c r="AS1397" i="8"/>
  <c r="AS337" i="8"/>
  <c r="AS972" i="8"/>
  <c r="AS108" i="8"/>
  <c r="AS1469" i="8"/>
  <c r="AS639" i="8"/>
  <c r="AS1197" i="8"/>
  <c r="AS401" i="8"/>
  <c r="AS253" i="8"/>
  <c r="AS582" i="8"/>
  <c r="AS314" i="8"/>
  <c r="AS1122" i="8"/>
  <c r="AS106" i="8"/>
  <c r="AS1188" i="8"/>
  <c r="AS798" i="8"/>
  <c r="AS332" i="8"/>
  <c r="AS1388" i="8"/>
  <c r="AS173" i="8"/>
  <c r="AS1411" i="8"/>
  <c r="AS1027" i="8"/>
  <c r="AS1302" i="8"/>
  <c r="AS1169" i="8"/>
  <c r="AS1042" i="8"/>
  <c r="AS884" i="8"/>
  <c r="AS1582" i="8"/>
  <c r="AS1300" i="8"/>
  <c r="AS1396" i="8"/>
  <c r="AS1515" i="8"/>
  <c r="AS1124" i="8"/>
  <c r="AS794" i="8"/>
  <c r="AS1134" i="8"/>
  <c r="AS974" i="8"/>
  <c r="AS1098" i="8"/>
  <c r="AS1446" i="8"/>
  <c r="AS1022" i="8"/>
  <c r="AS655" i="8"/>
  <c r="AS105" i="8"/>
  <c r="AS642" i="8"/>
  <c r="AS1369" i="8"/>
  <c r="AS787" i="8"/>
  <c r="AS1342" i="8"/>
  <c r="AS1408" i="8"/>
  <c r="AS226" i="8"/>
  <c r="AS1583" i="8"/>
  <c r="AS669" i="8"/>
  <c r="AS218" i="8"/>
  <c r="AS764" i="8"/>
  <c r="AS934" i="8"/>
  <c r="AS1478" i="8"/>
  <c r="AS363" i="8"/>
  <c r="AS599" i="8"/>
  <c r="AS1354" i="8"/>
  <c r="AS1108" i="8"/>
  <c r="AS333" i="8"/>
  <c r="AS540" i="8"/>
  <c r="AS351" i="8"/>
  <c r="AS377" i="8"/>
  <c r="AS1587" i="8"/>
  <c r="AS574" i="8"/>
  <c r="AS938" i="8"/>
  <c r="AS946" i="8"/>
  <c r="AS1517" i="8"/>
  <c r="AS1449" i="8"/>
  <c r="AS575" i="8"/>
  <c r="AS112" i="8"/>
  <c r="AS1287" i="8"/>
  <c r="AS154" i="8"/>
  <c r="AS1347" i="8"/>
  <c r="AS1512" i="8"/>
  <c r="AS1559" i="8"/>
  <c r="AS139" i="8"/>
  <c r="AS1400" i="8"/>
  <c r="AS1570" i="8"/>
  <c r="AS785" i="8"/>
  <c r="AS496" i="8"/>
  <c r="AS1065" i="8"/>
  <c r="AS1088" i="8"/>
  <c r="AS90" i="8"/>
  <c r="AS915" i="8"/>
  <c r="AS322" i="8"/>
  <c r="AS619" i="8"/>
  <c r="AS1038" i="8"/>
  <c r="AS705" i="8"/>
  <c r="AS719" i="8"/>
  <c r="AS1596" i="8"/>
  <c r="AS378" i="8"/>
  <c r="AS1591" i="8"/>
  <c r="AS618" i="8"/>
  <c r="AS1059" i="8"/>
  <c r="AS229" i="8"/>
  <c r="AS1371" i="8"/>
  <c r="AS1529" i="8"/>
  <c r="AS1303" i="8"/>
  <c r="AS773" i="8"/>
  <c r="AS387" i="8"/>
  <c r="AS1011" i="8"/>
  <c r="AS1172" i="8"/>
  <c r="AS498" i="8"/>
  <c r="AS799" i="8"/>
  <c r="AS1046" i="8"/>
  <c r="AS919" i="8"/>
  <c r="AS698" i="8"/>
  <c r="AS127" i="8"/>
  <c r="AS1158" i="8"/>
  <c r="AS1121" i="8"/>
  <c r="AS1429" i="8"/>
  <c r="AS1103" i="8"/>
  <c r="AS1002" i="8"/>
  <c r="AS598" i="8"/>
  <c r="AS1377" i="8"/>
  <c r="AS531" i="8"/>
  <c r="AS1584" i="8"/>
  <c r="AS167" i="8"/>
  <c r="AS240" i="8"/>
  <c r="AS1099" i="8"/>
  <c r="AS398" i="8"/>
  <c r="AS385" i="8"/>
  <c r="AS910" i="8"/>
  <c r="AS1293" i="8"/>
  <c r="AS284" i="8"/>
  <c r="AS223" i="8"/>
  <c r="AS336" i="8"/>
  <c r="AS528" i="8"/>
  <c r="AS965" i="8"/>
  <c r="AS483" i="8"/>
  <c r="AS1540" i="8"/>
  <c r="AS753" i="8"/>
  <c r="AS368" i="8"/>
  <c r="AS335" i="8"/>
  <c r="AS955" i="8"/>
  <c r="AS1565" i="8"/>
  <c r="AS896" i="8"/>
  <c r="AS1472" i="8"/>
  <c r="AS1127" i="8"/>
  <c r="AS1157" i="8"/>
  <c r="AS184" i="8"/>
  <c r="AS1548" i="8"/>
  <c r="AS1370" i="8"/>
  <c r="AS83" i="8"/>
  <c r="AS902" i="8"/>
  <c r="AS1174" i="8"/>
  <c r="AS1470" i="8"/>
  <c r="AS1176" i="8"/>
  <c r="AS1020" i="8"/>
  <c r="AS944" i="8"/>
  <c r="AS1019" i="8"/>
  <c r="AS514" i="8"/>
  <c r="AS263" i="8"/>
  <c r="AS521" i="8"/>
  <c r="AS625" i="8"/>
  <c r="AS499" i="8"/>
  <c r="AS901" i="8"/>
  <c r="AS491" i="8"/>
  <c r="AS91" i="8"/>
  <c r="AS1078" i="8"/>
  <c r="AS350" i="8"/>
  <c r="AS1542" i="8"/>
  <c r="AS1439" i="8"/>
  <c r="AS600" i="8"/>
  <c r="AS1055" i="8"/>
  <c r="AS709" i="8"/>
  <c r="AS371" i="8"/>
  <c r="AS1381" i="8"/>
  <c r="AS1590" i="8"/>
  <c r="AS375" i="8"/>
  <c r="AS1003" i="8"/>
  <c r="AS769" i="8"/>
  <c r="AS89" i="8"/>
  <c r="AS487" i="8"/>
  <c r="AS925" i="8"/>
  <c r="AS802" i="8"/>
  <c r="AS888" i="8"/>
  <c r="AS1150" i="8"/>
  <c r="AS1026" i="8"/>
  <c r="AS1081" i="8"/>
  <c r="AS1414" i="8"/>
  <c r="AS1171" i="8"/>
  <c r="AS484" i="8"/>
  <c r="AS928" i="8"/>
  <c r="AS1018" i="8"/>
  <c r="AS1107" i="8"/>
  <c r="AS771" i="8"/>
  <c r="AS1184" i="8"/>
  <c r="AS107" i="8"/>
  <c r="AS1589" i="8"/>
  <c r="AS244" i="8"/>
  <c r="AS1549" i="8"/>
  <c r="AS622" i="8"/>
  <c r="AS1424" i="8"/>
  <c r="AS549" i="8"/>
  <c r="AS733" i="8"/>
  <c r="AS793" i="8"/>
  <c r="AS1071" i="8"/>
  <c r="AS986" i="8"/>
  <c r="AS1427" i="8"/>
  <c r="AS767" i="8"/>
  <c r="AS516" i="8"/>
  <c r="AS268" i="8"/>
  <c r="AS1136" i="8"/>
  <c r="AS145" i="8"/>
  <c r="AS1048" i="8"/>
  <c r="AS564" i="8"/>
  <c r="AS300" i="8"/>
  <c r="AS507" i="8"/>
  <c r="AS638" i="8"/>
  <c r="AS1332" i="8"/>
  <c r="AS155" i="8"/>
  <c r="AS886" i="8"/>
  <c r="AS660" i="8"/>
  <c r="AS524" i="8"/>
  <c r="AS171" i="8"/>
  <c r="AS647" i="8"/>
  <c r="AS1566" i="8"/>
  <c r="AS1368" i="8"/>
  <c r="AS1079" i="8"/>
  <c r="AS1316" i="8"/>
  <c r="AS1389" i="8"/>
  <c r="AS1072" i="8"/>
  <c r="AS1123" i="8"/>
  <c r="AS1056" i="8"/>
  <c r="AS1440" i="8"/>
  <c r="AS1051" i="8"/>
  <c r="AS1410" i="8"/>
  <c r="AS1138" i="8"/>
  <c r="AS221" i="8"/>
  <c r="AS1089" i="8"/>
  <c r="AS251" i="8"/>
  <c r="AS623" i="8"/>
  <c r="AS234" i="8"/>
  <c r="AS264" i="8"/>
  <c r="AS1361" i="8"/>
  <c r="AS249" i="8"/>
  <c r="AS134" i="8"/>
  <c r="AS153" i="8"/>
  <c r="AS1531" i="8"/>
  <c r="AS362" i="8"/>
  <c r="AS590" i="8"/>
  <c r="AS725" i="8"/>
  <c r="AS941" i="8"/>
  <c r="AS789" i="8"/>
  <c r="AS1488" i="8"/>
  <c r="AS653" i="8"/>
  <c r="AS515" i="8"/>
  <c r="AS193" i="8"/>
  <c r="AS360" i="8"/>
  <c r="AS1052" i="8"/>
  <c r="AS985" i="8"/>
  <c r="AS579" i="8"/>
  <c r="AS560" i="8"/>
  <c r="AS1068" i="8"/>
  <c r="AS556" i="8"/>
  <c r="AS776" i="8"/>
  <c r="AS1186" i="8"/>
  <c r="AS913" i="8"/>
  <c r="AS657" i="8"/>
  <c r="AS942" i="8"/>
  <c r="AS1513" i="8"/>
  <c r="AS1557" i="8"/>
  <c r="AS1415" i="8"/>
  <c r="AS485" i="8"/>
  <c r="AS279" i="8"/>
  <c r="AS146" i="8"/>
  <c r="AS131" i="8"/>
  <c r="AS1534" i="8"/>
  <c r="AS903" i="8"/>
  <c r="AS708" i="8"/>
  <c r="AS761" i="8"/>
  <c r="AS318" i="8"/>
  <c r="AS1420" i="8"/>
  <c r="AS973" i="8"/>
  <c r="AS1395" i="8"/>
  <c r="AS383" i="8"/>
  <c r="AS141" i="8"/>
  <c r="AS1586" i="8"/>
  <c r="AS970" i="8"/>
  <c r="AS328" i="8"/>
  <c r="AS667" i="8"/>
  <c r="AS353" i="8"/>
  <c r="AS313" i="8"/>
  <c r="AS561" i="8"/>
  <c r="AS1318" i="8"/>
  <c r="AS197" i="8"/>
  <c r="AS1339" i="8"/>
  <c r="AS364" i="8"/>
  <c r="AS659" i="8"/>
  <c r="AS113" i="8"/>
  <c r="AS137" i="8"/>
  <c r="AS120" i="8"/>
  <c r="AS180" i="8"/>
  <c r="AS611" i="8"/>
  <c r="AS1013" i="8"/>
  <c r="AS586" i="8"/>
  <c r="AS1463" i="8"/>
  <c r="AS1062" i="8"/>
  <c r="AS1533" i="8"/>
  <c r="AS1598" i="8"/>
  <c r="AS1058" i="8"/>
  <c r="AS1556" i="8"/>
  <c r="AS734" i="8"/>
  <c r="AS976" i="8"/>
  <c r="AS1200" i="8"/>
  <c r="AS533" i="8"/>
  <c r="AS649" i="8"/>
  <c r="AS677" i="8"/>
  <c r="AS1312" i="8"/>
  <c r="AS703" i="8"/>
  <c r="AS722" i="8"/>
  <c r="AS275" i="8"/>
  <c r="AS740" i="8"/>
  <c r="AS1295" i="8"/>
  <c r="AS1077" i="8"/>
  <c r="AS1151" i="8"/>
  <c r="AS130" i="8"/>
  <c r="AS596" i="8"/>
  <c r="AS1179" i="8"/>
  <c r="AS181" i="8"/>
  <c r="AS931" i="8"/>
  <c r="AS1378" i="8"/>
  <c r="AS195" i="8"/>
  <c r="AS161" i="8"/>
  <c r="AS545" i="8"/>
  <c r="AS194" i="8"/>
  <c r="AS541" i="8"/>
  <c r="AS723" i="8"/>
  <c r="AS525" i="8"/>
  <c r="AS114" i="8"/>
  <c r="AS1520" i="8"/>
  <c r="AS219" i="8"/>
  <c r="AS1009" i="8"/>
  <c r="AS958" i="8"/>
  <c r="AS216" i="8"/>
  <c r="AS1307" i="8"/>
  <c r="AS326" i="8"/>
  <c r="AS1580" i="8"/>
  <c r="AS933" i="8"/>
  <c r="AS196" i="8"/>
  <c r="AS1380" i="8"/>
  <c r="AS361" i="8"/>
  <c r="AS894" i="8"/>
  <c r="U16" i="7"/>
  <c r="Q10" i="7"/>
  <c r="R10" i="7" s="1"/>
  <c r="Q5" i="7"/>
  <c r="U12" i="7"/>
  <c r="P13" i="7"/>
  <c r="T12" i="7" s="1"/>
  <c r="U8" i="7"/>
  <c r="Q6" i="7"/>
  <c r="U21" i="7"/>
  <c r="Q23" i="7"/>
  <c r="U18" i="7"/>
  <c r="Q11" i="7"/>
  <c r="Q9" i="7"/>
  <c r="R9" i="7" s="1"/>
  <c r="P7" i="7"/>
  <c r="T6" i="7" s="1"/>
  <c r="P21" i="7"/>
  <c r="Q18" i="7"/>
  <c r="R18" i="7" s="1"/>
  <c r="P26" i="7"/>
  <c r="R24" i="7" s="1"/>
  <c r="Q14" i="7"/>
  <c r="R14" i="7" s="1"/>
  <c r="P18" i="7"/>
  <c r="R16" i="7" s="1"/>
  <c r="Q17" i="7"/>
  <c r="R17" i="7" s="1"/>
  <c r="O23" i="3"/>
  <c r="T8" i="7"/>
  <c r="T19" i="7"/>
  <c r="T15" i="7"/>
  <c r="T10" i="7"/>
  <c r="T23" i="7"/>
  <c r="T18" i="7"/>
  <c r="T11" i="7"/>
  <c r="T22" i="7"/>
  <c r="R21" i="7"/>
  <c r="T21" i="7"/>
  <c r="R20" i="7"/>
  <c r="R12" i="7" l="1"/>
  <c r="R13" i="7"/>
  <c r="R8" i="7"/>
  <c r="R23" i="7"/>
  <c r="T16" i="7"/>
  <c r="R6" i="7"/>
  <c r="C17" i="4"/>
  <c r="D3" i="10"/>
  <c r="R19" i="7"/>
  <c r="E14" i="7"/>
  <c r="R11" i="7"/>
  <c r="R5" i="7"/>
  <c r="T17" i="7"/>
  <c r="T20" i="7"/>
  <c r="T25" i="7"/>
  <c r="E48" i="1" l="1"/>
  <c r="C48" i="1" s="1"/>
  <c r="F27" i="4"/>
  <c r="F28" i="4" s="1"/>
  <c r="J22" i="4" s="1"/>
  <c r="F29" i="4" l="1"/>
  <c r="J11" i="4" s="1"/>
  <c r="O23" i="4" s="1"/>
  <c r="C17" i="1"/>
  <c r="I8" i="2" s="1"/>
  <c r="F28" i="1"/>
  <c r="F29" i="1" l="1"/>
  <c r="J11" i="1" s="1"/>
  <c r="T13" i="2"/>
  <c r="J22" i="1"/>
  <c r="K11" i="4"/>
  <c r="AC8" i="2" l="1"/>
  <c r="O23" i="1"/>
  <c r="K11" i="1"/>
  <c r="F8" i="2" l="1"/>
  <c r="P11" i="2"/>
  <c r="B4" i="6" l="1"/>
  <c r="D4" i="6" s="1"/>
  <c r="Q3" i="6" l="1"/>
  <c r="C5" i="4"/>
  <c r="C5" i="1"/>
  <c r="C5" i="3"/>
  <c r="J9" i="3" l="1"/>
  <c r="F3" i="10"/>
  <c r="J9" i="1"/>
  <c r="J9" i="4"/>
  <c r="K9" i="4" s="1"/>
  <c r="R9" i="4" s="1"/>
  <c r="T29" i="4"/>
  <c r="W21" i="4"/>
  <c r="Z29" i="2" l="1"/>
  <c r="K9" i="1"/>
  <c r="U29" i="4"/>
  <c r="S29" i="4" s="1"/>
  <c r="S22" i="3"/>
  <c r="R22" i="3"/>
  <c r="X21" i="4"/>
  <c r="K9" i="3"/>
  <c r="R9" i="3" s="1"/>
  <c r="E29" i="2" l="1"/>
  <c r="R9" i="1"/>
  <c r="J15" i="3"/>
  <c r="J17" i="3" l="1"/>
  <c r="J6" i="3" s="1"/>
  <c r="R18" i="3"/>
  <c r="F7" i="3" l="1"/>
  <c r="D46" i="1"/>
  <c r="R6" i="3"/>
  <c r="J7" i="3"/>
  <c r="F20" i="3"/>
  <c r="C23" i="1" l="1"/>
  <c r="C23" i="4"/>
  <c r="G6" i="5"/>
  <c r="D2" i="10"/>
  <c r="J8" i="3"/>
  <c r="F21" i="3"/>
  <c r="R7" i="3"/>
  <c r="F8" i="3"/>
  <c r="F5" i="3" s="1"/>
  <c r="F6" i="3" s="1"/>
  <c r="J14" i="3"/>
  <c r="J13" i="3" s="1"/>
  <c r="F11" i="3" l="1"/>
  <c r="F15" i="3" s="1"/>
  <c r="Q7" i="5" s="1"/>
  <c r="F13" i="3"/>
  <c r="F12" i="3" s="1"/>
  <c r="D49" i="1"/>
  <c r="R10" i="3"/>
  <c r="Z29" i="4"/>
  <c r="Z21" i="4"/>
  <c r="F14" i="3"/>
  <c r="F9" i="3"/>
  <c r="R8" i="3"/>
  <c r="O16" i="3"/>
  <c r="O19" i="3"/>
  <c r="R11" i="3" s="1"/>
  <c r="F26" i="3"/>
  <c r="J12" i="3" l="1"/>
  <c r="K12" i="3" s="1"/>
  <c r="K23" i="3" s="1"/>
  <c r="F10" i="3"/>
  <c r="F16" i="3" s="1"/>
  <c r="O17" i="3" s="1"/>
  <c r="Y21" i="4"/>
  <c r="T21" i="4"/>
  <c r="W29" i="4"/>
  <c r="V29" i="4"/>
  <c r="R29" i="4" s="1"/>
  <c r="O6" i="3"/>
  <c r="O21" i="3" l="1"/>
  <c r="J23" i="3"/>
  <c r="K24" i="3" s="1"/>
  <c r="Q6" i="5"/>
  <c r="J10" i="3"/>
  <c r="J29" i="3" s="1"/>
  <c r="O11" i="3" s="1"/>
  <c r="O7" i="3"/>
  <c r="O5" i="3"/>
  <c r="V21" i="4"/>
  <c r="Q21" i="4" s="1"/>
  <c r="U21" i="4"/>
  <c r="Q29" i="4"/>
  <c r="R30" i="4" s="1"/>
  <c r="O8" i="3" l="1"/>
  <c r="R21" i="4"/>
  <c r="O9" i="3"/>
  <c r="K10" i="3"/>
  <c r="K29" i="3" s="1"/>
  <c r="O10" i="3" s="1"/>
  <c r="R31" i="4"/>
  <c r="R33" i="4"/>
  <c r="R32" i="4"/>
  <c r="S21" i="4"/>
  <c r="J28" i="3"/>
  <c r="O12" i="3" s="1"/>
  <c r="K27" i="3"/>
  <c r="K25" i="3"/>
  <c r="J27" i="3"/>
  <c r="O22" i="3"/>
  <c r="R23" i="4" l="1"/>
  <c r="J7" i="4" s="1"/>
  <c r="R24" i="4" s="1"/>
  <c r="O20" i="3"/>
  <c r="K28" i="3"/>
  <c r="O13" i="3"/>
  <c r="R16" i="3"/>
  <c r="O15" i="3"/>
  <c r="J25" i="3"/>
  <c r="J24" i="3"/>
  <c r="O24" i="3"/>
  <c r="R25" i="4" l="1"/>
  <c r="R22" i="4"/>
  <c r="J6" i="4" s="1"/>
  <c r="O27" i="3"/>
  <c r="R12" i="3" s="1"/>
  <c r="O14" i="3"/>
  <c r="J26" i="3"/>
  <c r="O28" i="3" s="1"/>
  <c r="R13" i="3"/>
  <c r="J17" i="4" l="1"/>
  <c r="K6" i="4"/>
  <c r="F7" i="4" s="1"/>
  <c r="E46" i="1"/>
  <c r="J6" i="1" s="1"/>
  <c r="J14" i="4"/>
  <c r="J13" i="4" s="1"/>
  <c r="J15" i="4"/>
  <c r="F21" i="4" s="1"/>
  <c r="J16" i="4"/>
  <c r="R17" i="3"/>
  <c r="R14" i="3"/>
  <c r="O29" i="3"/>
  <c r="C46" i="1" l="1"/>
  <c r="E47" i="1"/>
  <c r="K6" i="1" s="1"/>
  <c r="D5" i="10"/>
  <c r="R6" i="4"/>
  <c r="K7" i="4"/>
  <c r="K14" i="4" s="1"/>
  <c r="K13" i="4" s="1"/>
  <c r="D6" i="10"/>
  <c r="D4" i="10"/>
  <c r="G7" i="5"/>
  <c r="X41" i="2"/>
  <c r="D9" i="10" l="1"/>
  <c r="D11" i="10" s="1"/>
  <c r="D13" i="10" s="1"/>
  <c r="D32" i="10" s="1"/>
  <c r="D35" i="10" s="1"/>
  <c r="D45" i="10" s="1"/>
  <c r="C47" i="1"/>
  <c r="J8" i="4"/>
  <c r="O19" i="4" s="1"/>
  <c r="K16" i="4"/>
  <c r="F20" i="4"/>
  <c r="F8" i="4"/>
  <c r="F13" i="4" s="1"/>
  <c r="F12" i="4" s="1"/>
  <c r="K8" i="4"/>
  <c r="O25" i="4" s="1"/>
  <c r="O26" i="4" s="1"/>
  <c r="R15" i="4" s="1"/>
  <c r="R7" i="4"/>
  <c r="I42" i="2"/>
  <c r="F7" i="1"/>
  <c r="R6" i="1"/>
  <c r="D21" i="5"/>
  <c r="E21" i="5"/>
  <c r="D16" i="10" l="1"/>
  <c r="D20" i="10" s="1"/>
  <c r="F5" i="4"/>
  <c r="F6" i="4" s="1"/>
  <c r="R10" i="4" s="1"/>
  <c r="W17" i="10"/>
  <c r="W32" i="10"/>
  <c r="F14" i="4"/>
  <c r="F26" i="4"/>
  <c r="O16" i="4"/>
  <c r="F9" i="4"/>
  <c r="F11" i="4"/>
  <c r="J12" i="4" s="1"/>
  <c r="K12" i="4" s="1"/>
  <c r="R8" i="4"/>
  <c r="F21" i="5"/>
  <c r="G21" i="5" s="1"/>
  <c r="O6" i="4"/>
  <c r="R11" i="4"/>
  <c r="S16" i="10" l="1"/>
  <c r="C13" i="1"/>
  <c r="C10" i="1" s="1"/>
  <c r="E49" i="1"/>
  <c r="C49" i="1" s="1"/>
  <c r="B3" i="5"/>
  <c r="F15" i="4"/>
  <c r="Q9" i="5" s="1"/>
  <c r="F10" i="4"/>
  <c r="F16" i="4" s="1"/>
  <c r="Q8" i="5" s="1"/>
  <c r="K23" i="4"/>
  <c r="J23" i="4"/>
  <c r="O21" i="4"/>
  <c r="K17" i="1" l="1"/>
  <c r="J10" i="4"/>
  <c r="K10" i="4" s="1"/>
  <c r="O20" i="4" s="1"/>
  <c r="O17" i="4"/>
  <c r="O5" i="4"/>
  <c r="O7" i="4"/>
  <c r="O9" i="4"/>
  <c r="O8" i="4"/>
  <c r="K24" i="4"/>
  <c r="K15" i="1"/>
  <c r="K29" i="4" l="1"/>
  <c r="J29" i="4"/>
  <c r="O11" i="4" s="1"/>
  <c r="O22" i="4"/>
  <c r="J28" i="4"/>
  <c r="K27" i="4"/>
  <c r="K28" i="4" s="1"/>
  <c r="K25" i="4"/>
  <c r="J27" i="4"/>
  <c r="K18" i="1"/>
  <c r="K7" i="1"/>
  <c r="O12" i="4" l="1"/>
  <c r="O10" i="4"/>
  <c r="O13" i="4"/>
  <c r="J25" i="4"/>
  <c r="J24" i="4"/>
  <c r="O15" i="4"/>
  <c r="O24" i="4"/>
  <c r="R16" i="4"/>
  <c r="K41" i="2"/>
  <c r="K8" i="1"/>
  <c r="K16" i="1"/>
  <c r="K14" i="1"/>
  <c r="S23" i="1"/>
  <c r="S21" i="1"/>
  <c r="R21" i="1"/>
  <c r="T21" i="1" l="1"/>
  <c r="J15" i="1" s="1"/>
  <c r="J17" i="1" s="1"/>
  <c r="J7" i="1" s="1"/>
  <c r="L34" i="2"/>
  <c r="O25" i="1"/>
  <c r="G50" i="2"/>
  <c r="K13" i="1"/>
  <c r="C45" i="2" s="1"/>
  <c r="O27" i="4"/>
  <c r="O14" i="4"/>
  <c r="J26" i="4"/>
  <c r="O28" i="4" s="1"/>
  <c r="R13" i="4"/>
  <c r="C50" i="1" l="1"/>
  <c r="F21" i="1"/>
  <c r="R14" i="4"/>
  <c r="R12" i="4"/>
  <c r="J18" i="1"/>
  <c r="R17" i="4"/>
  <c r="J8" i="1"/>
  <c r="F8" i="1"/>
  <c r="V41" i="2"/>
  <c r="J14" i="1"/>
  <c r="J16" i="1"/>
  <c r="R7" i="1"/>
  <c r="O26" i="1"/>
  <c r="P37" i="2"/>
  <c r="O29" i="4"/>
  <c r="J13" i="1" l="1"/>
  <c r="AD45" i="2" s="1"/>
  <c r="Y50" i="2"/>
  <c r="F9" i="1"/>
  <c r="F14" i="1"/>
  <c r="F11" i="1"/>
  <c r="F26" i="1"/>
  <c r="F5" i="1"/>
  <c r="F13" i="1"/>
  <c r="F12" i="1" s="1"/>
  <c r="C9" i="1"/>
  <c r="C22" i="1" s="1"/>
  <c r="O16" i="1"/>
  <c r="U34" i="2"/>
  <c r="O19" i="1"/>
  <c r="R11" i="1" s="1"/>
  <c r="R8" i="1"/>
  <c r="P41" i="2"/>
  <c r="R15" i="1"/>
  <c r="G3" i="5" l="1"/>
  <c r="F2" i="10"/>
  <c r="F6" i="1"/>
  <c r="J12" i="1"/>
  <c r="K12" i="1" s="1"/>
  <c r="F10" i="1"/>
  <c r="O6" i="1"/>
  <c r="P45" i="2"/>
  <c r="R23" i="1"/>
  <c r="F15" i="1"/>
  <c r="D16" i="2"/>
  <c r="AB14" i="2"/>
  <c r="K23" i="1" l="1"/>
  <c r="F38" i="2"/>
  <c r="G4" i="5"/>
  <c r="R10" i="1"/>
  <c r="J10" i="1"/>
  <c r="AD30" i="2" s="1"/>
  <c r="D42" i="10"/>
  <c r="F16" i="1"/>
  <c r="J23" i="1"/>
  <c r="AA38" i="2"/>
  <c r="O21" i="1"/>
  <c r="P28" i="2" s="1"/>
  <c r="B24" i="5" l="1"/>
  <c r="B19" i="5"/>
  <c r="B21" i="5" s="1"/>
  <c r="K10" i="1"/>
  <c r="J29" i="1"/>
  <c r="O8" i="1"/>
  <c r="K24" i="1"/>
  <c r="O9" i="1"/>
  <c r="O5" i="1"/>
  <c r="O7" i="1"/>
  <c r="O17" i="1"/>
  <c r="W21" i="10"/>
  <c r="W22" i="10"/>
  <c r="D46" i="10"/>
  <c r="D47" i="10"/>
  <c r="D48" i="10"/>
  <c r="W18" i="10"/>
  <c r="W19" i="10"/>
  <c r="D49" i="10" a="1"/>
  <c r="D50" i="10" l="1"/>
  <c r="D51" i="10"/>
  <c r="D49" i="10"/>
  <c r="D52" i="10"/>
  <c r="C30" i="2"/>
  <c r="K29" i="1"/>
  <c r="O20" i="1"/>
  <c r="J27" i="1"/>
  <c r="K25" i="1"/>
  <c r="L8" i="2"/>
  <c r="O22" i="1"/>
  <c r="J28" i="1"/>
  <c r="O12" i="1" s="1"/>
  <c r="K27" i="1"/>
  <c r="K28" i="1" s="1"/>
  <c r="O11" i="1"/>
  <c r="I5" i="5"/>
  <c r="B23" i="5"/>
  <c r="D26" i="10" l="1"/>
  <c r="D41" i="10" s="1"/>
  <c r="O13" i="1"/>
  <c r="P7" i="2"/>
  <c r="P32" i="2"/>
  <c r="O10" i="1"/>
  <c r="O15" i="1"/>
  <c r="O24" i="1"/>
  <c r="F11" i="2"/>
  <c r="Z13" i="2"/>
  <c r="J24" i="1"/>
  <c r="J14" i="2"/>
  <c r="J25" i="1"/>
  <c r="X16" i="2" s="1"/>
  <c r="R16" i="1"/>
  <c r="D38" i="10" l="1"/>
  <c r="I27" i="10" s="1"/>
  <c r="G5" i="5"/>
  <c r="G15" i="10"/>
  <c r="W16" i="10"/>
  <c r="I41" i="10"/>
  <c r="J16" i="10"/>
  <c r="I16" i="10"/>
  <c r="D27" i="10"/>
  <c r="R13" i="1"/>
  <c r="AA19" i="2"/>
  <c r="E8" i="2"/>
  <c r="O14" i="1"/>
  <c r="W10" i="2"/>
  <c r="J26" i="1"/>
  <c r="P20" i="2"/>
  <c r="O27" i="1"/>
  <c r="R12" i="1" s="1"/>
  <c r="H16" i="10"/>
  <c r="O28" i="1" l="1"/>
  <c r="R14" i="1" s="1"/>
  <c r="Z8" i="2"/>
  <c r="P24" i="2"/>
  <c r="O29" i="1" l="1"/>
  <c r="P15" i="2"/>
  <c r="R1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Physio</author>
    <author>Chandra</author>
  </authors>
  <commentList>
    <comment ref="C12" authorId="0" shapeId="0" xr:uid="{00000000-0006-0000-0000-000001000000}">
      <text>
        <r>
          <rPr>
            <b/>
            <sz val="8"/>
            <color indexed="81"/>
            <rFont val="Tahoma"/>
            <family val="2"/>
          </rPr>
          <t>Physio:</t>
        </r>
        <r>
          <rPr>
            <sz val="8"/>
            <color indexed="81"/>
            <rFont val="Tahoma"/>
            <family val="2"/>
          </rPr>
          <t xml:space="preserve">
Cite also Ku and edwards 1976, Hall and keys 1983</t>
        </r>
      </text>
    </comment>
    <comment ref="H21" authorId="1" shapeId="0" xr:uid="{00000000-0006-0000-0000-000002000000}">
      <text>
        <r>
          <rPr>
            <b/>
            <sz val="8"/>
            <color indexed="81"/>
            <rFont val="Tahoma"/>
            <family val="2"/>
          </rPr>
          <t>Chandra:</t>
        </r>
        <r>
          <rPr>
            <sz val="8"/>
            <color indexed="81"/>
            <rFont val="Tahoma"/>
            <family val="2"/>
          </rPr>
          <t xml:space="preserve">
Δha</t>
        </r>
      </text>
    </comment>
    <comment ref="A33" authorId="1" shapeId="0" xr:uid="{00000000-0006-0000-0000-000003000000}">
      <text>
        <r>
          <rPr>
            <b/>
            <sz val="8"/>
            <color indexed="81"/>
            <rFont val="Tahoma"/>
            <family val="2"/>
          </rPr>
          <t>Chandra:</t>
        </r>
        <r>
          <rPr>
            <sz val="8"/>
            <color indexed="81"/>
            <rFont val="Tahoma"/>
            <family val="2"/>
          </rPr>
          <t xml:space="preserve">
Specify the engagement of PEPCK. This may depend on the assimilatory type and also may respond to transient ATP availability in BS. Note that PEPCK engagement decreases the NADPH potentially available in BS (cell J21).
</t>
        </r>
      </text>
    </comment>
    <comment ref="A34" authorId="1" shapeId="0" xr:uid="{00000000-0006-0000-0000-000004000000}">
      <text>
        <r>
          <rPr>
            <b/>
            <sz val="8"/>
            <color indexed="81"/>
            <rFont val="Tahoma"/>
            <family val="2"/>
          </rPr>
          <t>Chandra:</t>
        </r>
        <r>
          <rPr>
            <sz val="8"/>
            <color indexed="81"/>
            <rFont val="Tahoma"/>
            <family val="2"/>
          </rPr>
          <t xml:space="preserve">
Specify the BS contribution to RLIGHT. For instance 0 for C3, 0.5 for C4 plants</t>
        </r>
      </text>
    </comment>
    <comment ref="A37" authorId="1" shapeId="0" xr:uid="{00000000-0006-0000-0000-000005000000}">
      <text>
        <r>
          <rPr>
            <b/>
            <sz val="8"/>
            <color indexed="81"/>
            <rFont val="Tahoma"/>
            <family val="2"/>
          </rPr>
          <t>Chandra:</t>
        </r>
        <r>
          <rPr>
            <sz val="8"/>
            <color indexed="81"/>
            <rFont val="Tahoma"/>
            <family val="2"/>
          </rPr>
          <t xml:space="preserve">
Specify the BS contribution to PGA reduction. This can vary according to ATP and NADPH availabilty in BS. For instance 0.3 for C4 plants.</t>
        </r>
      </text>
    </comment>
    <comment ref="A38" authorId="1" shapeId="0" xr:uid="{00000000-0006-0000-0000-000006000000}">
      <text>
        <r>
          <rPr>
            <b/>
            <sz val="8"/>
            <color indexed="81"/>
            <rFont val="Tahoma"/>
            <family val="2"/>
          </rPr>
          <t>Chandra:</t>
        </r>
        <r>
          <rPr>
            <sz val="8"/>
            <color indexed="81"/>
            <rFont val="Tahoma"/>
            <family val="2"/>
          </rPr>
          <t xml:space="preserve">
Specify the BS contribution to carbohydrate synthesis. This can vary according to energy availability in BS.</t>
        </r>
      </text>
    </comment>
    <comment ref="A39" authorId="1" shapeId="0" xr:uid="{00000000-0006-0000-0000-000007000000}">
      <text>
        <r>
          <rPr>
            <b/>
            <sz val="8"/>
            <color indexed="81"/>
            <rFont val="Tahoma"/>
            <family val="2"/>
          </rPr>
          <t>Chandra:</t>
        </r>
        <r>
          <rPr>
            <sz val="8"/>
            <color indexed="81"/>
            <rFont val="Tahoma"/>
            <family val="2"/>
          </rPr>
          <t xml:space="preserve">
Specify the BS contribution to PEP regeneration through PPDK. This may be &gt;0 when ATP availability in BS is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Chandra</author>
    <author>Physio</author>
  </authors>
  <commentList>
    <comment ref="B5" authorId="0" shapeId="0" xr:uid="{00000000-0006-0000-0100-000001000000}">
      <text>
        <r>
          <rPr>
            <b/>
            <sz val="8"/>
            <color indexed="81"/>
            <rFont val="Tahoma"/>
            <family val="2"/>
          </rPr>
          <t>Chandra:</t>
        </r>
        <r>
          <rPr>
            <sz val="8"/>
            <color indexed="81"/>
            <rFont val="Tahoma"/>
            <family val="2"/>
          </rPr>
          <t xml:space="preserve">
Respiration in the light
</t>
        </r>
      </text>
    </comment>
    <comment ref="E6" authorId="0" shapeId="0" xr:uid="{00000000-0006-0000-0100-000002000000}">
      <text>
        <r>
          <rPr>
            <b/>
            <sz val="8"/>
            <color indexed="81"/>
            <rFont val="Tahoma"/>
            <family val="2"/>
          </rPr>
          <t>Chandra:</t>
        </r>
        <r>
          <rPr>
            <sz val="8"/>
            <color indexed="81"/>
            <rFont val="Tahoma"/>
            <family val="2"/>
          </rPr>
          <t xml:space="preserve">
Assimilation</t>
        </r>
      </text>
    </comment>
    <comment ref="E9" authorId="0" shapeId="0" xr:uid="{00000000-0006-0000-0100-000003000000}">
      <text>
        <r>
          <rPr>
            <b/>
            <sz val="8"/>
            <color indexed="81"/>
            <rFont val="Tahoma"/>
            <family val="2"/>
          </rPr>
          <t>Chandra:</t>
        </r>
        <r>
          <rPr>
            <sz val="8"/>
            <color indexed="81"/>
            <rFont val="Tahoma"/>
            <family val="2"/>
          </rPr>
          <t xml:space="preserve">
Rubisco oxygenation versus carboxylation rate.
</t>
        </r>
      </text>
    </comment>
    <comment ref="M16" authorId="0" shapeId="0" xr:uid="{00000000-0006-0000-0100-000004000000}">
      <text>
        <r>
          <rPr>
            <b/>
            <sz val="8"/>
            <color indexed="81"/>
            <rFont val="Tahoma"/>
            <family val="2"/>
          </rPr>
          <t>Chandra:</t>
        </r>
        <r>
          <rPr>
            <sz val="8"/>
            <color indexed="81"/>
            <rFont val="Tahoma"/>
            <family val="2"/>
          </rPr>
          <t xml:space="preserve">
Specify the relative abundance of GDC in BS. For instance 0 for C3 and 1 for C2, C3-C4 and C4.</t>
        </r>
      </text>
    </comment>
    <comment ref="B18" authorId="0" shapeId="0" xr:uid="{00000000-0006-0000-0100-000005000000}">
      <text>
        <r>
          <rPr>
            <b/>
            <sz val="8"/>
            <color indexed="81"/>
            <rFont val="Tahoma"/>
            <family val="2"/>
          </rPr>
          <t>Chandra:</t>
        </r>
        <r>
          <rPr>
            <sz val="8"/>
            <color indexed="81"/>
            <rFont val="Tahoma"/>
            <family val="2"/>
          </rPr>
          <t xml:space="preserve">
Specify the engagement of PEPCK. This may depend on the assimilatory type and also may respond to transient ATP availability in BS. Note that PEPCK engagement decreases the NADPH potentially available in BS (cell J21).
</t>
        </r>
      </text>
    </comment>
    <comment ref="H22" authorId="0" shapeId="0" xr:uid="{00000000-0006-0000-0100-000006000000}">
      <text>
        <r>
          <rPr>
            <b/>
            <sz val="8"/>
            <color indexed="81"/>
            <rFont val="Tahoma"/>
            <family val="2"/>
          </rPr>
          <t>Chandra:</t>
        </r>
        <r>
          <rPr>
            <sz val="8"/>
            <color indexed="81"/>
            <rFont val="Tahoma"/>
            <family val="2"/>
          </rPr>
          <t xml:space="preserve">
Calculates the NADPH potentially delivered to BS through the CCM as Vp-PEPCK.
</t>
        </r>
      </text>
    </comment>
    <comment ref="B23" authorId="0" shapeId="0" xr:uid="{00000000-0006-0000-0100-000007000000}">
      <text>
        <r>
          <rPr>
            <b/>
            <sz val="8"/>
            <color indexed="81"/>
            <rFont val="Tahoma"/>
            <family val="2"/>
          </rPr>
          <t>Chandra:</t>
        </r>
        <r>
          <rPr>
            <sz val="8"/>
            <color indexed="81"/>
            <rFont val="Tahoma"/>
            <family val="2"/>
          </rPr>
          <t xml:space="preserve">
Here the relative amount of Rubisco in BS is specified. For instance 0 for C3 or 1 for C4 plants.</t>
        </r>
      </text>
    </comment>
    <comment ref="H23" authorId="0" shapeId="0" xr:uid="{00000000-0006-0000-0100-000008000000}">
      <text>
        <r>
          <rPr>
            <b/>
            <sz val="8"/>
            <color indexed="81"/>
            <rFont val="Tahoma"/>
            <family val="2"/>
          </rPr>
          <t>Chandra:</t>
        </r>
        <r>
          <rPr>
            <sz val="8"/>
            <color indexed="81"/>
            <rFont val="Tahoma"/>
            <family val="2"/>
          </rPr>
          <t xml:space="preserve">
Calculates the NADPH demand excluding the NADPH shuttled by the CCM
</t>
        </r>
      </text>
    </comment>
    <comment ref="H24" authorId="0" shapeId="0" xr:uid="{00000000-0006-0000-0100-000009000000}">
      <text>
        <r>
          <rPr>
            <b/>
            <sz val="8"/>
            <color indexed="81"/>
            <rFont val="Tahoma"/>
            <family val="2"/>
          </rPr>
          <t>Chandra:</t>
        </r>
        <r>
          <rPr>
            <sz val="8"/>
            <color indexed="81"/>
            <rFont val="Tahoma"/>
            <family val="2"/>
          </rPr>
          <t xml:space="preserve">
MDHM is the process exporting NADPH to BS. MDHM rate is calculated so as to supply enough NADPH to BS.</t>
        </r>
      </text>
    </comment>
    <comment ref="B25" authorId="0" shapeId="0" xr:uid="{00000000-0006-0000-0100-00000A000000}">
      <text>
        <r>
          <rPr>
            <b/>
            <sz val="8"/>
            <color indexed="81"/>
            <rFont val="Tahoma"/>
            <family val="2"/>
          </rPr>
          <t>Chandra:</t>
        </r>
        <r>
          <rPr>
            <sz val="8"/>
            <color indexed="81"/>
            <rFont val="Tahoma"/>
            <family val="2"/>
          </rPr>
          <t xml:space="preserve">
Specify the BS contribution to RLIGHT. For instance 0 for C3, 0.5 for C4 plants</t>
        </r>
      </text>
    </comment>
    <comment ref="H25" authorId="0" shapeId="0" xr:uid="{00000000-0006-0000-0100-00000B000000}">
      <text>
        <r>
          <rPr>
            <b/>
            <sz val="8"/>
            <color indexed="81"/>
            <rFont val="Tahoma"/>
            <family val="2"/>
          </rPr>
          <t>Chandra:</t>
        </r>
        <r>
          <rPr>
            <sz val="8"/>
            <color indexed="81"/>
            <rFont val="Tahoma"/>
            <family val="2"/>
          </rPr>
          <t xml:space="preserve">
Transamination balances the NADPH demand in BS. If Vp-PEPCK is in excess of NADPH demand, T is positive.</t>
        </r>
      </text>
    </comment>
    <comment ref="E26" authorId="0" shapeId="0" xr:uid="{00000000-0006-0000-0100-00000C000000}">
      <text>
        <r>
          <rPr>
            <b/>
            <sz val="8"/>
            <color indexed="81"/>
            <rFont val="Tahoma"/>
            <family val="2"/>
          </rPr>
          <t>Chandra:</t>
        </r>
        <r>
          <rPr>
            <sz val="8"/>
            <color indexed="81"/>
            <rFont val="Tahoma"/>
            <family val="2"/>
          </rPr>
          <t xml:space="preserve">
x is the fraction of the total ATP production rate used by PEPC. Only for this calculation we used the simplified equations for ATP demand of von Caemmerer. Note that x does not refer to BS/M localisation of ATP demand. In alternative VP can be specified directly in cell F25
</t>
        </r>
      </text>
    </comment>
    <comment ref="B27" authorId="0" shapeId="0" xr:uid="{00000000-0006-0000-0100-00000D000000}">
      <text>
        <r>
          <rPr>
            <b/>
            <sz val="8"/>
            <color indexed="81"/>
            <rFont val="Tahoma"/>
            <family val="2"/>
          </rPr>
          <t>Chandra:</t>
        </r>
        <r>
          <rPr>
            <sz val="8"/>
            <color indexed="81"/>
            <rFont val="Tahoma"/>
            <family val="2"/>
          </rPr>
          <t xml:space="preserve">
Specify the BS contribution to PGA reduction. This can vary according to ATP and NADPH availabilty in BS. For instance 0.3 for C4 plants.</t>
        </r>
      </text>
    </comment>
    <comment ref="B28" authorId="0" shapeId="0" xr:uid="{00000000-0006-0000-0100-00000E000000}">
      <text>
        <r>
          <rPr>
            <b/>
            <sz val="8"/>
            <color indexed="81"/>
            <rFont val="Tahoma"/>
            <family val="2"/>
          </rPr>
          <t>Chandra:</t>
        </r>
        <r>
          <rPr>
            <sz val="8"/>
            <color indexed="81"/>
            <rFont val="Tahoma"/>
            <family val="2"/>
          </rPr>
          <t xml:space="preserve">
Specify the BS contribution to carbohydrate synthesis. This can vary according to energy availability in BS.</t>
        </r>
      </text>
    </comment>
    <comment ref="H28" authorId="0" shapeId="0" xr:uid="{00000000-0006-0000-0100-00000F000000}">
      <text>
        <r>
          <rPr>
            <b/>
            <sz val="8"/>
            <color indexed="81"/>
            <rFont val="Tahoma"/>
            <family val="2"/>
          </rPr>
          <t>Chandra:</t>
        </r>
        <r>
          <rPr>
            <sz val="8"/>
            <color indexed="81"/>
            <rFont val="Tahoma"/>
            <family val="2"/>
          </rPr>
          <t xml:space="preserve">
If Vp-PEPCK is lower than NADPH demand in BS, NADPH demand has to be supplied by LEF in BS</t>
        </r>
      </text>
    </comment>
    <comment ref="B29" authorId="0" shapeId="0" xr:uid="{00000000-0006-0000-0100-000010000000}">
      <text>
        <r>
          <rPr>
            <b/>
            <sz val="8"/>
            <color indexed="81"/>
            <rFont val="Tahoma"/>
            <family val="2"/>
          </rPr>
          <t>Chandra:</t>
        </r>
        <r>
          <rPr>
            <sz val="8"/>
            <color indexed="81"/>
            <rFont val="Tahoma"/>
            <family val="2"/>
          </rPr>
          <t xml:space="preserve">
Specify the BS contribution to PEP regeneration through PPDK. This may be &gt;0 when ATP availability in BS is high.</t>
        </r>
      </text>
    </comment>
    <comment ref="V59" authorId="1" shapeId="0" xr:uid="{00000000-0006-0000-0100-000011000000}">
      <text>
        <r>
          <rPr>
            <b/>
            <sz val="8"/>
            <color indexed="81"/>
            <rFont val="Tahoma"/>
            <family val="2"/>
          </rPr>
          <t>Physio:</t>
        </r>
        <r>
          <rPr>
            <sz val="8"/>
            <color indexed="81"/>
            <rFont val="Tahoma"/>
            <family val="2"/>
          </rPr>
          <t xml:space="preserve">
Ubierna n 16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Chandra</author>
    <author>Physio</author>
  </authors>
  <commentList>
    <comment ref="B5" authorId="0" shapeId="0" xr:uid="{00000000-0006-0000-0300-000001000000}">
      <text>
        <r>
          <rPr>
            <b/>
            <sz val="8"/>
            <color indexed="81"/>
            <rFont val="Tahoma"/>
            <family val="2"/>
          </rPr>
          <t>Chandra:</t>
        </r>
        <r>
          <rPr>
            <sz val="8"/>
            <color indexed="81"/>
            <rFont val="Tahoma"/>
            <family val="2"/>
          </rPr>
          <t xml:space="preserve">
Respiration in the light
</t>
        </r>
      </text>
    </comment>
    <comment ref="E6" authorId="0" shapeId="0" xr:uid="{00000000-0006-0000-0300-000002000000}">
      <text>
        <r>
          <rPr>
            <b/>
            <sz val="8"/>
            <color indexed="81"/>
            <rFont val="Tahoma"/>
            <family val="2"/>
          </rPr>
          <t>Chandra:</t>
        </r>
        <r>
          <rPr>
            <sz val="8"/>
            <color indexed="81"/>
            <rFont val="Tahoma"/>
            <family val="2"/>
          </rPr>
          <t xml:space="preserve">
Assimilation</t>
        </r>
      </text>
    </comment>
    <comment ref="E9" authorId="0" shapeId="0" xr:uid="{00000000-0006-0000-0300-000003000000}">
      <text>
        <r>
          <rPr>
            <b/>
            <sz val="8"/>
            <color indexed="81"/>
            <rFont val="Tahoma"/>
            <family val="2"/>
          </rPr>
          <t>Chandra:</t>
        </r>
        <r>
          <rPr>
            <sz val="8"/>
            <color indexed="81"/>
            <rFont val="Tahoma"/>
            <family val="2"/>
          </rPr>
          <t xml:space="preserve">
Rubisco oxygenation versus carboxylation rate.
</t>
        </r>
      </text>
    </comment>
    <comment ref="M16" authorId="0" shapeId="0" xr:uid="{00000000-0006-0000-0300-000004000000}">
      <text>
        <r>
          <rPr>
            <b/>
            <sz val="8"/>
            <color indexed="81"/>
            <rFont val="Tahoma"/>
            <family val="2"/>
          </rPr>
          <t>Chandra:</t>
        </r>
        <r>
          <rPr>
            <sz val="8"/>
            <color indexed="81"/>
            <rFont val="Tahoma"/>
            <family val="2"/>
          </rPr>
          <t xml:space="preserve">
Specify the relative abundance of GDC in BS. For instance 0 for C3 and 1 for C2, C3-C4 and C4.</t>
        </r>
      </text>
    </comment>
    <comment ref="B18" authorId="0" shapeId="0" xr:uid="{00000000-0006-0000-0300-000005000000}">
      <text>
        <r>
          <rPr>
            <b/>
            <sz val="8"/>
            <color indexed="81"/>
            <rFont val="Tahoma"/>
            <family val="2"/>
          </rPr>
          <t>Chandra:</t>
        </r>
        <r>
          <rPr>
            <sz val="8"/>
            <color indexed="81"/>
            <rFont val="Tahoma"/>
            <family val="2"/>
          </rPr>
          <t xml:space="preserve">
Specify the engagement of PEPCK. This may depend on the assimilatory type and also may respond to transient ATP availability in BS. Note that PEPCK engagement decreases the NADPH potentially available in BS (cell J21).
</t>
        </r>
      </text>
    </comment>
    <comment ref="H22" authorId="0" shapeId="0" xr:uid="{00000000-0006-0000-0300-000006000000}">
      <text>
        <r>
          <rPr>
            <b/>
            <sz val="8"/>
            <color indexed="81"/>
            <rFont val="Tahoma"/>
            <family val="2"/>
          </rPr>
          <t>Chandra:</t>
        </r>
        <r>
          <rPr>
            <sz val="8"/>
            <color indexed="81"/>
            <rFont val="Tahoma"/>
            <family val="2"/>
          </rPr>
          <t xml:space="preserve">
Calculates the NADPH potentially delivered to BS through the CCM as Vp-PEPCK.
</t>
        </r>
      </text>
    </comment>
    <comment ref="H23" authorId="0" shapeId="0" xr:uid="{00000000-0006-0000-0300-000007000000}">
      <text>
        <r>
          <rPr>
            <b/>
            <sz val="8"/>
            <color indexed="81"/>
            <rFont val="Tahoma"/>
            <family val="2"/>
          </rPr>
          <t>Chandra:</t>
        </r>
        <r>
          <rPr>
            <sz val="8"/>
            <color indexed="81"/>
            <rFont val="Tahoma"/>
            <family val="2"/>
          </rPr>
          <t xml:space="preserve">
Calculates the NADPH demand excluding the NADPH shuttled by the CCM
</t>
        </r>
      </text>
    </comment>
    <comment ref="H24" authorId="0" shapeId="0" xr:uid="{00000000-0006-0000-0300-000008000000}">
      <text>
        <r>
          <rPr>
            <b/>
            <sz val="8"/>
            <color indexed="81"/>
            <rFont val="Tahoma"/>
            <family val="2"/>
          </rPr>
          <t>Chandra:</t>
        </r>
        <r>
          <rPr>
            <sz val="8"/>
            <color indexed="81"/>
            <rFont val="Tahoma"/>
            <family val="2"/>
          </rPr>
          <t xml:space="preserve">
MDHM is the process exporting NADPH to BS. MDHM rate is calculated so as to supply enough NADPH to BS.</t>
        </r>
      </text>
    </comment>
    <comment ref="B25" authorId="0" shapeId="0" xr:uid="{00000000-0006-0000-0300-000009000000}">
      <text>
        <r>
          <rPr>
            <b/>
            <sz val="8"/>
            <color indexed="81"/>
            <rFont val="Tahoma"/>
            <family val="2"/>
          </rPr>
          <t>Chandra:</t>
        </r>
        <r>
          <rPr>
            <sz val="8"/>
            <color indexed="81"/>
            <rFont val="Tahoma"/>
            <family val="2"/>
          </rPr>
          <t xml:space="preserve">
Specify the BS contribution to RLIGHT. For instance 0 for C3, 0.5 for C4 plants</t>
        </r>
      </text>
    </comment>
    <comment ref="H25" authorId="0" shapeId="0" xr:uid="{00000000-0006-0000-0300-00000A000000}">
      <text>
        <r>
          <rPr>
            <b/>
            <sz val="8"/>
            <color indexed="81"/>
            <rFont val="Tahoma"/>
            <family val="2"/>
          </rPr>
          <t>Chandra:</t>
        </r>
        <r>
          <rPr>
            <sz val="8"/>
            <color indexed="81"/>
            <rFont val="Tahoma"/>
            <family val="2"/>
          </rPr>
          <t xml:space="preserve">
Transamination balances the NADPH demand in BS. If Vp-PEPCK is in excess of NADPH demand, T is positive.</t>
        </r>
      </text>
    </comment>
    <comment ref="E26" authorId="0" shapeId="0" xr:uid="{00000000-0006-0000-0300-00000B000000}">
      <text>
        <r>
          <rPr>
            <b/>
            <sz val="8"/>
            <color indexed="81"/>
            <rFont val="Tahoma"/>
            <family val="2"/>
          </rPr>
          <t>Chandra:</t>
        </r>
        <r>
          <rPr>
            <sz val="8"/>
            <color indexed="81"/>
            <rFont val="Tahoma"/>
            <family val="2"/>
          </rPr>
          <t xml:space="preserve">
x is the fraction of the total ATP production rate used by PEPC. Only for this calculation we used the simplified equations for ATP demand of von Caemmerer. Note that x does not refer to BS/M localisation of ATP demand. In alternative VP can be specified directly in cell F25
</t>
        </r>
      </text>
    </comment>
    <comment ref="B27" authorId="0" shapeId="0" xr:uid="{00000000-0006-0000-0300-00000C000000}">
      <text>
        <r>
          <rPr>
            <b/>
            <sz val="8"/>
            <color indexed="81"/>
            <rFont val="Tahoma"/>
            <family val="2"/>
          </rPr>
          <t>Chandra:</t>
        </r>
        <r>
          <rPr>
            <sz val="8"/>
            <color indexed="81"/>
            <rFont val="Tahoma"/>
            <family val="2"/>
          </rPr>
          <t xml:space="preserve">
Specify the BS contribution to PGA reduction. This can vary according to ATP and NADPH availabilty in BS. For instance 0.3 for C4 plants.</t>
        </r>
      </text>
    </comment>
    <comment ref="B28" authorId="0" shapeId="0" xr:uid="{00000000-0006-0000-0300-00000D000000}">
      <text>
        <r>
          <rPr>
            <b/>
            <sz val="8"/>
            <color indexed="81"/>
            <rFont val="Tahoma"/>
            <family val="2"/>
          </rPr>
          <t>Chandra:</t>
        </r>
        <r>
          <rPr>
            <sz val="8"/>
            <color indexed="81"/>
            <rFont val="Tahoma"/>
            <family val="2"/>
          </rPr>
          <t xml:space="preserve">
Specify the BS contribution to carbohydrate synthesis. This can vary according to energy availability in BS.</t>
        </r>
      </text>
    </comment>
    <comment ref="H28" authorId="0" shapeId="0" xr:uid="{00000000-0006-0000-0300-00000E000000}">
      <text>
        <r>
          <rPr>
            <b/>
            <sz val="8"/>
            <color indexed="81"/>
            <rFont val="Tahoma"/>
            <family val="2"/>
          </rPr>
          <t>Chandra:</t>
        </r>
        <r>
          <rPr>
            <sz val="8"/>
            <color indexed="81"/>
            <rFont val="Tahoma"/>
            <family val="2"/>
          </rPr>
          <t xml:space="preserve">
If Vp-PEPCK is lower than NADPH demand in BS, NADPH demand has to be supplied by LEF in BS</t>
        </r>
      </text>
    </comment>
    <comment ref="B29" authorId="0" shapeId="0" xr:uid="{00000000-0006-0000-0300-00000F000000}">
      <text>
        <r>
          <rPr>
            <b/>
            <sz val="8"/>
            <color indexed="81"/>
            <rFont val="Tahoma"/>
            <family val="2"/>
          </rPr>
          <t>Chandra:</t>
        </r>
        <r>
          <rPr>
            <sz val="8"/>
            <color indexed="81"/>
            <rFont val="Tahoma"/>
            <family val="2"/>
          </rPr>
          <t xml:space="preserve">
Specify the BS contribution to PEP regeneration through PPDK. This may be &gt;0 when ATP availability in BS is high.</t>
        </r>
      </text>
    </comment>
    <comment ref="V59" authorId="1" shapeId="0" xr:uid="{00000000-0006-0000-0300-000010000000}">
      <text>
        <r>
          <rPr>
            <b/>
            <sz val="8"/>
            <color indexed="81"/>
            <rFont val="Tahoma"/>
            <family val="2"/>
          </rPr>
          <t>Physio:</t>
        </r>
        <r>
          <rPr>
            <sz val="8"/>
            <color indexed="81"/>
            <rFont val="Tahoma"/>
            <family val="2"/>
          </rPr>
          <t xml:space="preserve">
Ubierna n 16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Chandra</author>
    <author>Physio</author>
  </authors>
  <commentList>
    <comment ref="B5" authorId="0" shapeId="0" xr:uid="{00000000-0006-0000-0400-000001000000}">
      <text>
        <r>
          <rPr>
            <b/>
            <sz val="8"/>
            <color indexed="81"/>
            <rFont val="Tahoma"/>
            <family val="2"/>
          </rPr>
          <t>Chandra:</t>
        </r>
        <r>
          <rPr>
            <sz val="8"/>
            <color indexed="81"/>
            <rFont val="Tahoma"/>
            <family val="2"/>
          </rPr>
          <t xml:space="preserve">
Respiration in the light
</t>
        </r>
      </text>
    </comment>
    <comment ref="E6" authorId="0" shapeId="0" xr:uid="{00000000-0006-0000-0400-000002000000}">
      <text>
        <r>
          <rPr>
            <b/>
            <sz val="8"/>
            <color indexed="81"/>
            <rFont val="Tahoma"/>
            <family val="2"/>
          </rPr>
          <t>Chandra:</t>
        </r>
        <r>
          <rPr>
            <sz val="8"/>
            <color indexed="81"/>
            <rFont val="Tahoma"/>
            <family val="2"/>
          </rPr>
          <t xml:space="preserve">
Assimilation</t>
        </r>
      </text>
    </comment>
    <comment ref="E9" authorId="0" shapeId="0" xr:uid="{00000000-0006-0000-0400-000003000000}">
      <text>
        <r>
          <rPr>
            <b/>
            <sz val="8"/>
            <color indexed="81"/>
            <rFont val="Tahoma"/>
            <family val="2"/>
          </rPr>
          <t>Chandra:</t>
        </r>
        <r>
          <rPr>
            <sz val="8"/>
            <color indexed="81"/>
            <rFont val="Tahoma"/>
            <family val="2"/>
          </rPr>
          <t xml:space="preserve">
Rubisco oxygenation versus carboxylation rate.
</t>
        </r>
      </text>
    </comment>
    <comment ref="M16" authorId="0" shapeId="0" xr:uid="{00000000-0006-0000-0400-000004000000}">
      <text>
        <r>
          <rPr>
            <b/>
            <sz val="8"/>
            <color indexed="81"/>
            <rFont val="Tahoma"/>
            <family val="2"/>
          </rPr>
          <t>Chandra:</t>
        </r>
        <r>
          <rPr>
            <sz val="8"/>
            <color indexed="81"/>
            <rFont val="Tahoma"/>
            <family val="2"/>
          </rPr>
          <t xml:space="preserve">
Specify the relative abundance of GDC in BS. For instance 0 for C3 and 1 for C2, C3-C4 and C4.</t>
        </r>
      </text>
    </comment>
    <comment ref="B22" authorId="0" shapeId="0" xr:uid="{00000000-0006-0000-0400-000005000000}">
      <text>
        <r>
          <rPr>
            <b/>
            <sz val="8"/>
            <color indexed="81"/>
            <rFont val="Tahoma"/>
            <family val="2"/>
          </rPr>
          <t>Chandra:</t>
        </r>
        <r>
          <rPr>
            <sz val="8"/>
            <color indexed="81"/>
            <rFont val="Tahoma"/>
            <family val="2"/>
          </rPr>
          <t xml:space="preserve">
Here the relative amount of Rubisco in BS is specified. For instance 0 for C3 or 1 for C4 plants.</t>
        </r>
      </text>
    </comment>
    <comment ref="H22" authorId="0" shapeId="0" xr:uid="{00000000-0006-0000-0400-000006000000}">
      <text>
        <r>
          <rPr>
            <b/>
            <sz val="8"/>
            <color indexed="81"/>
            <rFont val="Tahoma"/>
            <family val="2"/>
          </rPr>
          <t>Chandra:</t>
        </r>
        <r>
          <rPr>
            <sz val="8"/>
            <color indexed="81"/>
            <rFont val="Tahoma"/>
            <family val="2"/>
          </rPr>
          <t xml:space="preserve">
Calculates the NADPH potentially delivered to BS through the CCM as Vp-PEPCK.
</t>
        </r>
      </text>
    </comment>
    <comment ref="H23" authorId="0" shapeId="0" xr:uid="{00000000-0006-0000-0400-000007000000}">
      <text>
        <r>
          <rPr>
            <b/>
            <sz val="8"/>
            <color indexed="81"/>
            <rFont val="Tahoma"/>
            <family val="2"/>
          </rPr>
          <t>Chandra:</t>
        </r>
        <r>
          <rPr>
            <sz val="8"/>
            <color indexed="81"/>
            <rFont val="Tahoma"/>
            <family val="2"/>
          </rPr>
          <t xml:space="preserve">
Calculates the NADPH demand excluding the NADPH shuttled by the CCM
</t>
        </r>
      </text>
    </comment>
    <comment ref="H24" authorId="0" shapeId="0" xr:uid="{00000000-0006-0000-0400-000008000000}">
      <text>
        <r>
          <rPr>
            <b/>
            <sz val="8"/>
            <color indexed="81"/>
            <rFont val="Tahoma"/>
            <family val="2"/>
          </rPr>
          <t>Chandra:</t>
        </r>
        <r>
          <rPr>
            <sz val="8"/>
            <color indexed="81"/>
            <rFont val="Tahoma"/>
            <family val="2"/>
          </rPr>
          <t xml:space="preserve">
MDHM is the process exporting NADPH to BS. MDHM rate is calculated so as to supply enough NADPH to BS.</t>
        </r>
      </text>
    </comment>
    <comment ref="B25" authorId="0" shapeId="0" xr:uid="{00000000-0006-0000-0400-000009000000}">
      <text>
        <r>
          <rPr>
            <b/>
            <sz val="8"/>
            <color indexed="81"/>
            <rFont val="Tahoma"/>
            <family val="2"/>
          </rPr>
          <t>Chandra:</t>
        </r>
        <r>
          <rPr>
            <sz val="8"/>
            <color indexed="81"/>
            <rFont val="Tahoma"/>
            <family val="2"/>
          </rPr>
          <t xml:space="preserve">
Specify the BS contribution to RLIGHT. For instance 0 for C3, 0.5 for C4 plants</t>
        </r>
      </text>
    </comment>
    <comment ref="H25" authorId="0" shapeId="0" xr:uid="{00000000-0006-0000-0400-00000A000000}">
      <text>
        <r>
          <rPr>
            <b/>
            <sz val="8"/>
            <color indexed="81"/>
            <rFont val="Tahoma"/>
            <family val="2"/>
          </rPr>
          <t>Chandra:</t>
        </r>
        <r>
          <rPr>
            <sz val="8"/>
            <color indexed="81"/>
            <rFont val="Tahoma"/>
            <family val="2"/>
          </rPr>
          <t xml:space="preserve">
Transamination balances the NADPH demand in BS. If Vp-PEPCK is in excess of NADPH demand, T is positive.</t>
        </r>
      </text>
    </comment>
    <comment ref="E26" authorId="0" shapeId="0" xr:uid="{00000000-0006-0000-0400-00000B000000}">
      <text>
        <r>
          <rPr>
            <b/>
            <sz val="8"/>
            <color indexed="81"/>
            <rFont val="Tahoma"/>
            <family val="2"/>
          </rPr>
          <t>Chandra:</t>
        </r>
        <r>
          <rPr>
            <sz val="8"/>
            <color indexed="81"/>
            <rFont val="Tahoma"/>
            <family val="2"/>
          </rPr>
          <t xml:space="preserve">
x is the fraction of the total ATP production rate used by PEPC. Only for this calculation we used the simplified equations for ATP demand of von Caemmerer. Note that x does not refer to BS/M localisation of ATP demand. In alternative VP can be specified directly in cell F25
</t>
        </r>
      </text>
    </comment>
    <comment ref="B27" authorId="0" shapeId="0" xr:uid="{00000000-0006-0000-0400-00000C000000}">
      <text>
        <r>
          <rPr>
            <b/>
            <sz val="8"/>
            <color indexed="81"/>
            <rFont val="Tahoma"/>
            <family val="2"/>
          </rPr>
          <t>Chandra:</t>
        </r>
        <r>
          <rPr>
            <sz val="8"/>
            <color indexed="81"/>
            <rFont val="Tahoma"/>
            <family val="2"/>
          </rPr>
          <t xml:space="preserve">
Specify the BS contribution to PGA reduction. This can vary according to ATP and NADPH availabilty in BS. For instance 0.3 for C4 plants.</t>
        </r>
      </text>
    </comment>
    <comment ref="B28" authorId="0" shapeId="0" xr:uid="{00000000-0006-0000-0400-00000D000000}">
      <text>
        <r>
          <rPr>
            <b/>
            <sz val="8"/>
            <color indexed="81"/>
            <rFont val="Tahoma"/>
            <family val="2"/>
          </rPr>
          <t>Chandra:</t>
        </r>
        <r>
          <rPr>
            <sz val="8"/>
            <color indexed="81"/>
            <rFont val="Tahoma"/>
            <family val="2"/>
          </rPr>
          <t xml:space="preserve">
Specify the BS contribution to carbohydrate synthesis. This can vary according to energy availability in BS.</t>
        </r>
      </text>
    </comment>
    <comment ref="H28" authorId="0" shapeId="0" xr:uid="{00000000-0006-0000-0400-00000E000000}">
      <text>
        <r>
          <rPr>
            <b/>
            <sz val="8"/>
            <color indexed="81"/>
            <rFont val="Tahoma"/>
            <family val="2"/>
          </rPr>
          <t>Chandra:</t>
        </r>
        <r>
          <rPr>
            <sz val="8"/>
            <color indexed="81"/>
            <rFont val="Tahoma"/>
            <family val="2"/>
          </rPr>
          <t xml:space="preserve">
If Vp-PEPCK is lower than NADPH demand in BS, NADPH demand has to be supplied by LEF in BS</t>
        </r>
      </text>
    </comment>
    <comment ref="B29" authorId="0" shapeId="0" xr:uid="{00000000-0006-0000-0400-00000F000000}">
      <text>
        <r>
          <rPr>
            <b/>
            <sz val="8"/>
            <color indexed="81"/>
            <rFont val="Tahoma"/>
            <family val="2"/>
          </rPr>
          <t>Chandra:</t>
        </r>
        <r>
          <rPr>
            <sz val="8"/>
            <color indexed="81"/>
            <rFont val="Tahoma"/>
            <family val="2"/>
          </rPr>
          <t xml:space="preserve">
Specify the BS contribution to PEP regeneration through PPDK. This may be &gt;0 when ATP availability in BS is high.</t>
        </r>
      </text>
    </comment>
    <comment ref="V59" authorId="1" shapeId="0" xr:uid="{00000000-0006-0000-0400-000010000000}">
      <text>
        <r>
          <rPr>
            <b/>
            <sz val="8"/>
            <color indexed="81"/>
            <rFont val="Tahoma"/>
            <family val="2"/>
          </rPr>
          <t>Physio:</t>
        </r>
        <r>
          <rPr>
            <sz val="8"/>
            <color indexed="81"/>
            <rFont val="Tahoma"/>
            <family val="2"/>
          </rPr>
          <t xml:space="preserve">
Ubierna n 16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Physio</author>
  </authors>
  <commentList>
    <comment ref="W16" authorId="0" shapeId="0" xr:uid="{00000000-0006-0000-0700-000001000000}">
      <text>
        <r>
          <rPr>
            <b/>
            <sz val="8"/>
            <color indexed="81"/>
            <rFont val="Tahoma"/>
            <family val="2"/>
          </rPr>
          <t>Physio:</t>
        </r>
        <r>
          <rPr>
            <sz val="8"/>
            <color indexed="81"/>
            <rFont val="Tahoma"/>
            <family val="2"/>
          </rPr>
          <t xml:space="preserve">
Eqn 9 Ok
</t>
        </r>
      </text>
    </comment>
    <comment ref="D49" authorId="0" shapeId="0" xr:uid="{00000000-0006-0000-0700-000002000000}">
      <text>
        <r>
          <rPr>
            <b/>
            <sz val="8"/>
            <color indexed="81"/>
            <rFont val="Tahoma"/>
            <family val="2"/>
          </rPr>
          <t>Physio:</t>
        </r>
        <r>
          <rPr>
            <sz val="8"/>
            <color indexed="81"/>
            <rFont val="Tahoma"/>
            <family val="2"/>
          </rPr>
          <t xml:space="preserve">
https://newtonexcelbach.wordpress.com/2014/01/14/solving-quadratic-cubic-quartic-and-higher-order-equations-examples/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Chandra</author>
    <author>Physio</author>
  </authors>
  <commentList>
    <comment ref="AJ2" authorId="0" shapeId="0" xr:uid="{00000000-0006-0000-0900-000001000000}">
      <text>
        <r>
          <rPr>
            <b/>
            <sz val="8"/>
            <color indexed="81"/>
            <rFont val="Tahoma"/>
            <family val="2"/>
          </rPr>
          <t>Chandra:</t>
        </r>
        <r>
          <rPr>
            <sz val="8"/>
            <color indexed="81"/>
            <rFont val="Tahoma"/>
            <family val="2"/>
          </rPr>
          <t xml:space="preserve">
Specify the relative abundance of GDC in BS. For instance 0 for C3 and 1 for C2, C3-C4 and C4.</t>
        </r>
      </text>
    </comment>
    <comment ref="A3" authorId="1" shapeId="0" xr:uid="{00000000-0006-0000-0900-000002000000}">
      <text>
        <r>
          <rPr>
            <b/>
            <sz val="8"/>
            <color indexed="81"/>
            <rFont val="Tahoma"/>
            <family val="2"/>
          </rPr>
          <t>Physio:</t>
        </r>
        <r>
          <rPr>
            <sz val="8"/>
            <color indexed="81"/>
            <rFont val="Tahoma"/>
            <family val="2"/>
          </rPr>
          <t xml:space="preserve">
PPFD response curve Ca 400 Nmax 0.3</t>
        </r>
      </text>
    </comment>
    <comment ref="A13" authorId="1" shapeId="0" xr:uid="{00000000-0006-0000-0900-000003000000}">
      <text>
        <r>
          <rPr>
            <b/>
            <sz val="8"/>
            <color indexed="81"/>
            <rFont val="Tahoma"/>
            <family val="2"/>
          </rPr>
          <t>Physio:</t>
        </r>
        <r>
          <rPr>
            <sz val="8"/>
            <color indexed="81"/>
            <rFont val="Tahoma"/>
            <family val="2"/>
          </rPr>
          <t xml:space="preserve">
Ca response curve PPFD =1000 Nmax=0.3</t>
        </r>
      </text>
    </comment>
    <comment ref="A23" authorId="1" shapeId="0" xr:uid="{00000000-0006-0000-0900-000004000000}">
      <text>
        <r>
          <rPr>
            <b/>
            <sz val="8"/>
            <color indexed="81"/>
            <rFont val="Tahoma"/>
            <family val="2"/>
          </rPr>
          <t>Physio:</t>
        </r>
        <r>
          <rPr>
            <sz val="8"/>
            <color indexed="81"/>
            <rFont val="Tahoma"/>
            <family val="2"/>
          </rPr>
          <t xml:space="preserve">
N response curve, ppfd=1000, Ca 400</t>
        </r>
      </text>
    </comment>
    <comment ref="A33" authorId="1" shapeId="0" xr:uid="{00000000-0006-0000-0900-000005000000}">
      <text>
        <r>
          <rPr>
            <b/>
            <sz val="8"/>
            <color indexed="81"/>
            <rFont val="Tahoma"/>
            <family val="2"/>
          </rPr>
          <t>Physio:</t>
        </r>
        <r>
          <rPr>
            <sz val="8"/>
            <color indexed="81"/>
            <rFont val="Tahoma"/>
            <family val="2"/>
          </rPr>
          <t xml:space="preserve">
Psi soil response curve, ppfd=1000, Ca 400 Nmax =0.3
</t>
        </r>
      </text>
    </comment>
    <comment ref="A43" authorId="1" shapeId="0" xr:uid="{00000000-0006-0000-0900-000006000000}">
      <text>
        <r>
          <rPr>
            <b/>
            <sz val="8"/>
            <color indexed="81"/>
            <rFont val="Tahoma"/>
            <family val="2"/>
          </rPr>
          <t>Physio:</t>
        </r>
        <r>
          <rPr>
            <sz val="8"/>
            <color indexed="81"/>
            <rFont val="Tahoma"/>
            <family val="2"/>
          </rPr>
          <t xml:space="preserve">
PPFD response curve Ca 400 Nmax 0.3</t>
        </r>
      </text>
    </comment>
    <comment ref="A53" authorId="1" shapeId="0" xr:uid="{00000000-0006-0000-0900-000007000000}">
      <text>
        <r>
          <rPr>
            <b/>
            <sz val="8"/>
            <color indexed="81"/>
            <rFont val="Tahoma"/>
            <family val="2"/>
          </rPr>
          <t>Physio:</t>
        </r>
        <r>
          <rPr>
            <sz val="8"/>
            <color indexed="81"/>
            <rFont val="Tahoma"/>
            <family val="2"/>
          </rPr>
          <t xml:space="preserve">
Ca response curve PPFD =1000 Nmax=0.3</t>
        </r>
      </text>
    </comment>
    <comment ref="A63" authorId="1" shapeId="0" xr:uid="{00000000-0006-0000-0900-000008000000}">
      <text>
        <r>
          <rPr>
            <b/>
            <sz val="8"/>
            <color indexed="81"/>
            <rFont val="Tahoma"/>
            <family val="2"/>
          </rPr>
          <t>Physio:</t>
        </r>
        <r>
          <rPr>
            <sz val="8"/>
            <color indexed="81"/>
            <rFont val="Tahoma"/>
            <family val="2"/>
          </rPr>
          <t xml:space="preserve">
N response curve, ppfd=1000, Ca 400</t>
        </r>
      </text>
    </comment>
    <comment ref="A73" authorId="1" shapeId="0" xr:uid="{00000000-0006-0000-0900-000009000000}">
      <text>
        <r>
          <rPr>
            <b/>
            <sz val="8"/>
            <color indexed="81"/>
            <rFont val="Tahoma"/>
            <family val="2"/>
          </rPr>
          <t>Physio:</t>
        </r>
        <r>
          <rPr>
            <sz val="8"/>
            <color indexed="81"/>
            <rFont val="Tahoma"/>
            <family val="2"/>
          </rPr>
          <t xml:space="preserve">
Psi soil response curve, ppfd=1000, Ca 400 Nmax =0.3
</t>
        </r>
      </text>
    </comment>
    <comment ref="A83" authorId="1" shapeId="0" xr:uid="{00000000-0006-0000-0900-00000A000000}">
      <text>
        <r>
          <rPr>
            <b/>
            <sz val="8"/>
            <color indexed="81"/>
            <rFont val="Tahoma"/>
            <family val="2"/>
          </rPr>
          <t>Physio:</t>
        </r>
        <r>
          <rPr>
            <sz val="8"/>
            <color indexed="81"/>
            <rFont val="Tahoma"/>
            <family val="2"/>
          </rPr>
          <t xml:space="preserve">
PPFD response curve Ca 400 Nmax 0.3</t>
        </r>
      </text>
    </comment>
    <comment ref="A93" authorId="1" shapeId="0" xr:uid="{00000000-0006-0000-0900-00000B000000}">
      <text>
        <r>
          <rPr>
            <b/>
            <sz val="8"/>
            <color indexed="81"/>
            <rFont val="Tahoma"/>
            <family val="2"/>
          </rPr>
          <t>Physio:</t>
        </r>
        <r>
          <rPr>
            <sz val="8"/>
            <color indexed="81"/>
            <rFont val="Tahoma"/>
            <family val="2"/>
          </rPr>
          <t xml:space="preserve">
Ca response curve PPFD =1000 Nmax=0.3</t>
        </r>
      </text>
    </comment>
    <comment ref="A103" authorId="1" shapeId="0" xr:uid="{00000000-0006-0000-0900-00000C000000}">
      <text>
        <r>
          <rPr>
            <b/>
            <sz val="8"/>
            <color indexed="81"/>
            <rFont val="Tahoma"/>
            <family val="2"/>
          </rPr>
          <t>Physio:</t>
        </r>
        <r>
          <rPr>
            <sz val="8"/>
            <color indexed="81"/>
            <rFont val="Tahoma"/>
            <family val="2"/>
          </rPr>
          <t xml:space="preserve">
N response curve, ppfd=1000, Ca 400</t>
        </r>
      </text>
    </comment>
    <comment ref="A113" authorId="1" shapeId="0" xr:uid="{00000000-0006-0000-0900-00000D000000}">
      <text>
        <r>
          <rPr>
            <b/>
            <sz val="8"/>
            <color indexed="81"/>
            <rFont val="Tahoma"/>
            <family val="2"/>
          </rPr>
          <t>Physio:</t>
        </r>
        <r>
          <rPr>
            <sz val="8"/>
            <color indexed="81"/>
            <rFont val="Tahoma"/>
            <family val="2"/>
          </rPr>
          <t xml:space="preserve">
Psi soil response curve, ppfd=1000, Ca 400 Nmax =0.3
</t>
        </r>
      </text>
    </comment>
    <comment ref="A123" authorId="1" shapeId="0" xr:uid="{00000000-0006-0000-0900-00000E000000}">
      <text>
        <r>
          <rPr>
            <b/>
            <sz val="8"/>
            <color indexed="81"/>
            <rFont val="Tahoma"/>
            <family val="2"/>
          </rPr>
          <t>Physio:</t>
        </r>
        <r>
          <rPr>
            <sz val="8"/>
            <color indexed="81"/>
            <rFont val="Tahoma"/>
            <family val="2"/>
          </rPr>
          <t xml:space="preserve">
PPFD response curve Ca 400 Nmax 0.3</t>
        </r>
      </text>
    </comment>
    <comment ref="A133" authorId="1" shapeId="0" xr:uid="{00000000-0006-0000-0900-00000F000000}">
      <text>
        <r>
          <rPr>
            <b/>
            <sz val="8"/>
            <color indexed="81"/>
            <rFont val="Tahoma"/>
            <family val="2"/>
          </rPr>
          <t>Physio:</t>
        </r>
        <r>
          <rPr>
            <sz val="8"/>
            <color indexed="81"/>
            <rFont val="Tahoma"/>
            <family val="2"/>
          </rPr>
          <t xml:space="preserve">
Ca response curve PPFD =1000 Nmax=0.3</t>
        </r>
      </text>
    </comment>
    <comment ref="A143" authorId="1" shapeId="0" xr:uid="{00000000-0006-0000-0900-000010000000}">
      <text>
        <r>
          <rPr>
            <b/>
            <sz val="8"/>
            <color indexed="81"/>
            <rFont val="Tahoma"/>
            <family val="2"/>
          </rPr>
          <t>Physio:</t>
        </r>
        <r>
          <rPr>
            <sz val="8"/>
            <color indexed="81"/>
            <rFont val="Tahoma"/>
            <family val="2"/>
          </rPr>
          <t xml:space="preserve">
N response curve, ppfd=1000, Ca 400</t>
        </r>
      </text>
    </comment>
    <comment ref="A153" authorId="1" shapeId="0" xr:uid="{00000000-0006-0000-0900-000011000000}">
      <text>
        <r>
          <rPr>
            <b/>
            <sz val="8"/>
            <color indexed="81"/>
            <rFont val="Tahoma"/>
            <family val="2"/>
          </rPr>
          <t>Physio:</t>
        </r>
        <r>
          <rPr>
            <sz val="8"/>
            <color indexed="81"/>
            <rFont val="Tahoma"/>
            <family val="2"/>
          </rPr>
          <t xml:space="preserve">
Psi soil response curve, ppfd=1000, Ca 400 Nmax =0.3
</t>
        </r>
      </text>
    </comment>
    <comment ref="A163" authorId="1" shapeId="0" xr:uid="{00000000-0006-0000-0900-000012000000}">
      <text>
        <r>
          <rPr>
            <b/>
            <sz val="8"/>
            <color indexed="81"/>
            <rFont val="Tahoma"/>
            <family val="2"/>
          </rPr>
          <t>Physio:</t>
        </r>
        <r>
          <rPr>
            <sz val="8"/>
            <color indexed="81"/>
            <rFont val="Tahoma"/>
            <family val="2"/>
          </rPr>
          <t xml:space="preserve">
PPFD response curve Ca 400 Nmax 0.3</t>
        </r>
      </text>
    </comment>
    <comment ref="A173" authorId="1" shapeId="0" xr:uid="{00000000-0006-0000-0900-000013000000}">
      <text>
        <r>
          <rPr>
            <b/>
            <sz val="8"/>
            <color indexed="81"/>
            <rFont val="Tahoma"/>
            <family val="2"/>
          </rPr>
          <t>Physio:</t>
        </r>
        <r>
          <rPr>
            <sz val="8"/>
            <color indexed="81"/>
            <rFont val="Tahoma"/>
            <family val="2"/>
          </rPr>
          <t xml:space="preserve">
Ca response curve PPFD =1000 Nmax=0.3</t>
        </r>
      </text>
    </comment>
    <comment ref="A183" authorId="1" shapeId="0" xr:uid="{00000000-0006-0000-0900-000014000000}">
      <text>
        <r>
          <rPr>
            <b/>
            <sz val="8"/>
            <color indexed="81"/>
            <rFont val="Tahoma"/>
            <family val="2"/>
          </rPr>
          <t>Physio:</t>
        </r>
        <r>
          <rPr>
            <sz val="8"/>
            <color indexed="81"/>
            <rFont val="Tahoma"/>
            <family val="2"/>
          </rPr>
          <t xml:space="preserve">
N response curve, ppfd=1000, Ca 400</t>
        </r>
      </text>
    </comment>
    <comment ref="A193" authorId="1" shapeId="0" xr:uid="{00000000-0006-0000-0900-000015000000}">
      <text>
        <r>
          <rPr>
            <b/>
            <sz val="8"/>
            <color indexed="81"/>
            <rFont val="Tahoma"/>
            <family val="2"/>
          </rPr>
          <t>Physio:</t>
        </r>
        <r>
          <rPr>
            <sz val="8"/>
            <color indexed="81"/>
            <rFont val="Tahoma"/>
            <family val="2"/>
          </rPr>
          <t xml:space="preserve">
Psi soil response curve, ppfd=1000, Ca 400 Nmax =0.3
</t>
        </r>
      </text>
    </comment>
    <comment ref="A203" authorId="1" shapeId="0" xr:uid="{00000000-0006-0000-0900-000016000000}">
      <text>
        <r>
          <rPr>
            <b/>
            <sz val="8"/>
            <color indexed="81"/>
            <rFont val="Tahoma"/>
            <family val="2"/>
          </rPr>
          <t>Physio:</t>
        </r>
        <r>
          <rPr>
            <sz val="8"/>
            <color indexed="81"/>
            <rFont val="Tahoma"/>
            <family val="2"/>
          </rPr>
          <t xml:space="preserve">
PPFD response curve Ca 400 Nmax 0.3</t>
        </r>
      </text>
    </comment>
    <comment ref="A213" authorId="1" shapeId="0" xr:uid="{00000000-0006-0000-0900-000017000000}">
      <text>
        <r>
          <rPr>
            <b/>
            <sz val="8"/>
            <color indexed="81"/>
            <rFont val="Tahoma"/>
            <family val="2"/>
          </rPr>
          <t>Physio:</t>
        </r>
        <r>
          <rPr>
            <sz val="8"/>
            <color indexed="81"/>
            <rFont val="Tahoma"/>
            <family val="2"/>
          </rPr>
          <t xml:space="preserve">
Ca response curve PPFD =1000 Nmax=0.3</t>
        </r>
      </text>
    </comment>
    <comment ref="A223" authorId="1" shapeId="0" xr:uid="{00000000-0006-0000-0900-000018000000}">
      <text>
        <r>
          <rPr>
            <b/>
            <sz val="8"/>
            <color indexed="81"/>
            <rFont val="Tahoma"/>
            <family val="2"/>
          </rPr>
          <t>Physio:</t>
        </r>
        <r>
          <rPr>
            <sz val="8"/>
            <color indexed="81"/>
            <rFont val="Tahoma"/>
            <family val="2"/>
          </rPr>
          <t xml:space="preserve">
N response curve, ppfd=1000, Ca 400</t>
        </r>
      </text>
    </comment>
    <comment ref="A233" authorId="1" shapeId="0" xr:uid="{00000000-0006-0000-0900-000019000000}">
      <text>
        <r>
          <rPr>
            <b/>
            <sz val="8"/>
            <color indexed="81"/>
            <rFont val="Tahoma"/>
            <family val="2"/>
          </rPr>
          <t>Physio:</t>
        </r>
        <r>
          <rPr>
            <sz val="8"/>
            <color indexed="81"/>
            <rFont val="Tahoma"/>
            <family val="2"/>
          </rPr>
          <t xml:space="preserve">
Psi soil response curve, ppfd=1000, Ca 400 Nmax =0.3
</t>
        </r>
      </text>
    </comment>
    <comment ref="A243" authorId="1" shapeId="0" xr:uid="{00000000-0006-0000-0900-00001A000000}">
      <text>
        <r>
          <rPr>
            <b/>
            <sz val="8"/>
            <color indexed="81"/>
            <rFont val="Tahoma"/>
            <family val="2"/>
          </rPr>
          <t>Physio:</t>
        </r>
        <r>
          <rPr>
            <sz val="8"/>
            <color indexed="81"/>
            <rFont val="Tahoma"/>
            <family val="2"/>
          </rPr>
          <t xml:space="preserve">
PPFD response curve Ca 400 Nmax 0.3</t>
        </r>
      </text>
    </comment>
    <comment ref="A253" authorId="1" shapeId="0" xr:uid="{00000000-0006-0000-0900-00001B000000}">
      <text>
        <r>
          <rPr>
            <b/>
            <sz val="8"/>
            <color indexed="81"/>
            <rFont val="Tahoma"/>
            <family val="2"/>
          </rPr>
          <t>Physio:</t>
        </r>
        <r>
          <rPr>
            <sz val="8"/>
            <color indexed="81"/>
            <rFont val="Tahoma"/>
            <family val="2"/>
          </rPr>
          <t xml:space="preserve">
Ca response curve PPFD =1000 Nmax=0.3</t>
        </r>
      </text>
    </comment>
    <comment ref="A263" authorId="1" shapeId="0" xr:uid="{00000000-0006-0000-0900-00001C000000}">
      <text>
        <r>
          <rPr>
            <b/>
            <sz val="8"/>
            <color indexed="81"/>
            <rFont val="Tahoma"/>
            <family val="2"/>
          </rPr>
          <t>Physio:</t>
        </r>
        <r>
          <rPr>
            <sz val="8"/>
            <color indexed="81"/>
            <rFont val="Tahoma"/>
            <family val="2"/>
          </rPr>
          <t xml:space="preserve">
N response curve, ppfd=1000, Ca 400</t>
        </r>
      </text>
    </comment>
    <comment ref="A273" authorId="1" shapeId="0" xr:uid="{00000000-0006-0000-0900-00001D000000}">
      <text>
        <r>
          <rPr>
            <b/>
            <sz val="8"/>
            <color indexed="81"/>
            <rFont val="Tahoma"/>
            <family val="2"/>
          </rPr>
          <t>Physio:</t>
        </r>
        <r>
          <rPr>
            <sz val="8"/>
            <color indexed="81"/>
            <rFont val="Tahoma"/>
            <family val="2"/>
          </rPr>
          <t xml:space="preserve">
Psi soil response curve, ppfd=1000, Ca 400 Nmax =0.3
</t>
        </r>
      </text>
    </comment>
    <comment ref="A283" authorId="1" shapeId="0" xr:uid="{00000000-0006-0000-0900-00001E000000}">
      <text>
        <r>
          <rPr>
            <b/>
            <sz val="8"/>
            <color indexed="81"/>
            <rFont val="Tahoma"/>
            <family val="2"/>
          </rPr>
          <t>Physio:</t>
        </r>
        <r>
          <rPr>
            <sz val="8"/>
            <color indexed="81"/>
            <rFont val="Tahoma"/>
            <family val="2"/>
          </rPr>
          <t xml:space="preserve">
PPFD response curve Ca 400 Nmax 0.3</t>
        </r>
      </text>
    </comment>
    <comment ref="A293" authorId="1" shapeId="0" xr:uid="{00000000-0006-0000-0900-00001F000000}">
      <text>
        <r>
          <rPr>
            <b/>
            <sz val="8"/>
            <color indexed="81"/>
            <rFont val="Tahoma"/>
            <family val="2"/>
          </rPr>
          <t>Physio:</t>
        </r>
        <r>
          <rPr>
            <sz val="8"/>
            <color indexed="81"/>
            <rFont val="Tahoma"/>
            <family val="2"/>
          </rPr>
          <t xml:space="preserve">
Ca response curve PPFD =1000 Nmax=0.3</t>
        </r>
      </text>
    </comment>
    <comment ref="A303" authorId="1" shapeId="0" xr:uid="{00000000-0006-0000-0900-000020000000}">
      <text>
        <r>
          <rPr>
            <b/>
            <sz val="8"/>
            <color indexed="81"/>
            <rFont val="Tahoma"/>
            <family val="2"/>
          </rPr>
          <t>Physio:</t>
        </r>
        <r>
          <rPr>
            <sz val="8"/>
            <color indexed="81"/>
            <rFont val="Tahoma"/>
            <family val="2"/>
          </rPr>
          <t xml:space="preserve">
N response curve, ppfd=1000, Ca 400</t>
        </r>
      </text>
    </comment>
    <comment ref="A313" authorId="1" shapeId="0" xr:uid="{00000000-0006-0000-0900-000021000000}">
      <text>
        <r>
          <rPr>
            <b/>
            <sz val="8"/>
            <color indexed="81"/>
            <rFont val="Tahoma"/>
            <family val="2"/>
          </rPr>
          <t>Physio:</t>
        </r>
        <r>
          <rPr>
            <sz val="8"/>
            <color indexed="81"/>
            <rFont val="Tahoma"/>
            <family val="2"/>
          </rPr>
          <t xml:space="preserve">
Psi soil response curve, ppfd=1000, Ca 400 Nmax =0.3
</t>
        </r>
      </text>
    </comment>
    <comment ref="A323" authorId="1" shapeId="0" xr:uid="{00000000-0006-0000-0900-000022000000}">
      <text>
        <r>
          <rPr>
            <b/>
            <sz val="8"/>
            <color indexed="81"/>
            <rFont val="Tahoma"/>
            <family val="2"/>
          </rPr>
          <t>Physio:</t>
        </r>
        <r>
          <rPr>
            <sz val="8"/>
            <color indexed="81"/>
            <rFont val="Tahoma"/>
            <family val="2"/>
          </rPr>
          <t xml:space="preserve">
PPFD response curve Ca 400 Nmax 0.3</t>
        </r>
      </text>
    </comment>
    <comment ref="A333" authorId="1" shapeId="0" xr:uid="{00000000-0006-0000-0900-000023000000}">
      <text>
        <r>
          <rPr>
            <b/>
            <sz val="8"/>
            <color indexed="81"/>
            <rFont val="Tahoma"/>
            <family val="2"/>
          </rPr>
          <t>Physio:</t>
        </r>
        <r>
          <rPr>
            <sz val="8"/>
            <color indexed="81"/>
            <rFont val="Tahoma"/>
            <family val="2"/>
          </rPr>
          <t xml:space="preserve">
Ca response curve PPFD =1000 Nmax=0.3</t>
        </r>
      </text>
    </comment>
    <comment ref="A343" authorId="1" shapeId="0" xr:uid="{00000000-0006-0000-0900-000024000000}">
      <text>
        <r>
          <rPr>
            <b/>
            <sz val="8"/>
            <color indexed="81"/>
            <rFont val="Tahoma"/>
            <family val="2"/>
          </rPr>
          <t>Physio:</t>
        </r>
        <r>
          <rPr>
            <sz val="8"/>
            <color indexed="81"/>
            <rFont val="Tahoma"/>
            <family val="2"/>
          </rPr>
          <t xml:space="preserve">
N response curve, ppfd=1000, Ca 400</t>
        </r>
      </text>
    </comment>
    <comment ref="A353" authorId="1" shapeId="0" xr:uid="{00000000-0006-0000-0900-000025000000}">
      <text>
        <r>
          <rPr>
            <b/>
            <sz val="8"/>
            <color indexed="81"/>
            <rFont val="Tahoma"/>
            <family val="2"/>
          </rPr>
          <t>Physio:</t>
        </r>
        <r>
          <rPr>
            <sz val="8"/>
            <color indexed="81"/>
            <rFont val="Tahoma"/>
            <family val="2"/>
          </rPr>
          <t xml:space="preserve">
Psi soil response curve, ppfd=1000, Ca 400 Nmax =0.3
</t>
        </r>
      </text>
    </comment>
    <comment ref="A363" authorId="1" shapeId="0" xr:uid="{00000000-0006-0000-0900-000026000000}">
      <text>
        <r>
          <rPr>
            <b/>
            <sz val="8"/>
            <color indexed="81"/>
            <rFont val="Tahoma"/>
            <family val="2"/>
          </rPr>
          <t>Physio:</t>
        </r>
        <r>
          <rPr>
            <sz val="8"/>
            <color indexed="81"/>
            <rFont val="Tahoma"/>
            <family val="2"/>
          </rPr>
          <t xml:space="preserve">
PPFD response curve Ca 400 Nmax 0.3</t>
        </r>
      </text>
    </comment>
    <comment ref="A373" authorId="1" shapeId="0" xr:uid="{00000000-0006-0000-0900-000027000000}">
      <text>
        <r>
          <rPr>
            <b/>
            <sz val="8"/>
            <color indexed="81"/>
            <rFont val="Tahoma"/>
            <family val="2"/>
          </rPr>
          <t>Physio:</t>
        </r>
        <r>
          <rPr>
            <sz val="8"/>
            <color indexed="81"/>
            <rFont val="Tahoma"/>
            <family val="2"/>
          </rPr>
          <t xml:space="preserve">
Ca response curve PPFD =1000 Nmax=0.3</t>
        </r>
      </text>
    </comment>
    <comment ref="A383" authorId="1" shapeId="0" xr:uid="{00000000-0006-0000-0900-000028000000}">
      <text>
        <r>
          <rPr>
            <b/>
            <sz val="8"/>
            <color indexed="81"/>
            <rFont val="Tahoma"/>
            <family val="2"/>
          </rPr>
          <t>Physio:</t>
        </r>
        <r>
          <rPr>
            <sz val="8"/>
            <color indexed="81"/>
            <rFont val="Tahoma"/>
            <family val="2"/>
          </rPr>
          <t xml:space="preserve">
N response curve, ppfd=1000, Ca 400</t>
        </r>
      </text>
    </comment>
    <comment ref="A393" authorId="1" shapeId="0" xr:uid="{00000000-0006-0000-0900-000029000000}">
      <text>
        <r>
          <rPr>
            <b/>
            <sz val="8"/>
            <color indexed="81"/>
            <rFont val="Tahoma"/>
            <family val="2"/>
          </rPr>
          <t>Physio:</t>
        </r>
        <r>
          <rPr>
            <sz val="8"/>
            <color indexed="81"/>
            <rFont val="Tahoma"/>
            <family val="2"/>
          </rPr>
          <t xml:space="preserve">
Psi soil response curve, ppfd=1000, Ca 400 Nmax =0.3
</t>
        </r>
      </text>
    </comment>
    <comment ref="A403" authorId="1" shapeId="0" xr:uid="{00000000-0006-0000-0900-00002A000000}">
      <text>
        <r>
          <rPr>
            <b/>
            <sz val="8"/>
            <color indexed="81"/>
            <rFont val="Tahoma"/>
            <family val="2"/>
          </rPr>
          <t xml:space="preserve">Physio:
Second Run
</t>
        </r>
        <r>
          <rPr>
            <sz val="8"/>
            <color indexed="81"/>
            <rFont val="Tahoma"/>
            <family val="2"/>
          </rPr>
          <t xml:space="preserve">
PPFD response curve Ca 400 Nmax 0.3</t>
        </r>
      </text>
    </comment>
    <comment ref="A413" authorId="1" shapeId="0" xr:uid="{00000000-0006-0000-0900-00002B000000}">
      <text>
        <r>
          <rPr>
            <b/>
            <sz val="8"/>
            <color indexed="81"/>
            <rFont val="Tahoma"/>
            <family val="2"/>
          </rPr>
          <t>Physio:</t>
        </r>
        <r>
          <rPr>
            <sz val="8"/>
            <color indexed="81"/>
            <rFont val="Tahoma"/>
            <family val="2"/>
          </rPr>
          <t xml:space="preserve">
Ca response curve PPFD =1000 Nmax=0.3</t>
        </r>
      </text>
    </comment>
    <comment ref="A423" authorId="1" shapeId="0" xr:uid="{00000000-0006-0000-0900-00002C000000}">
      <text>
        <r>
          <rPr>
            <b/>
            <sz val="8"/>
            <color indexed="81"/>
            <rFont val="Tahoma"/>
            <family val="2"/>
          </rPr>
          <t>Physio:</t>
        </r>
        <r>
          <rPr>
            <sz val="8"/>
            <color indexed="81"/>
            <rFont val="Tahoma"/>
            <family val="2"/>
          </rPr>
          <t xml:space="preserve">
N response curve, ppfd=1000, Ca 400</t>
        </r>
      </text>
    </comment>
    <comment ref="A433" authorId="1" shapeId="0" xr:uid="{00000000-0006-0000-0900-00002D000000}">
      <text>
        <r>
          <rPr>
            <b/>
            <sz val="8"/>
            <color indexed="81"/>
            <rFont val="Tahoma"/>
            <family val="2"/>
          </rPr>
          <t>Physio:</t>
        </r>
        <r>
          <rPr>
            <sz val="8"/>
            <color indexed="81"/>
            <rFont val="Tahoma"/>
            <family val="2"/>
          </rPr>
          <t xml:space="preserve">
Psi soil response curve, ppfd=1000, Ca 400 Nmax =0.3
</t>
        </r>
      </text>
    </comment>
    <comment ref="A443" authorId="1" shapeId="0" xr:uid="{00000000-0006-0000-0900-00002E000000}">
      <text>
        <r>
          <rPr>
            <b/>
            <sz val="8"/>
            <color indexed="81"/>
            <rFont val="Tahoma"/>
            <family val="2"/>
          </rPr>
          <t>Physio:</t>
        </r>
        <r>
          <rPr>
            <sz val="8"/>
            <color indexed="81"/>
            <rFont val="Tahoma"/>
            <family val="2"/>
          </rPr>
          <t xml:space="preserve">
PPFD response curve Ca 400 Nmax 0.3</t>
        </r>
      </text>
    </comment>
    <comment ref="A453" authorId="1" shapeId="0" xr:uid="{00000000-0006-0000-0900-00002F000000}">
      <text>
        <r>
          <rPr>
            <b/>
            <sz val="8"/>
            <color indexed="81"/>
            <rFont val="Tahoma"/>
            <family val="2"/>
          </rPr>
          <t>Physio:</t>
        </r>
        <r>
          <rPr>
            <sz val="8"/>
            <color indexed="81"/>
            <rFont val="Tahoma"/>
            <family val="2"/>
          </rPr>
          <t xml:space="preserve">
Ca response curve PPFD =1000 Nmax=0.3</t>
        </r>
      </text>
    </comment>
    <comment ref="A463" authorId="1" shapeId="0" xr:uid="{00000000-0006-0000-0900-000030000000}">
      <text>
        <r>
          <rPr>
            <b/>
            <sz val="8"/>
            <color indexed="81"/>
            <rFont val="Tahoma"/>
            <family val="2"/>
          </rPr>
          <t>Physio:</t>
        </r>
        <r>
          <rPr>
            <sz val="8"/>
            <color indexed="81"/>
            <rFont val="Tahoma"/>
            <family val="2"/>
          </rPr>
          <t xml:space="preserve">
N response curve, ppfd=1000, Ca 400</t>
        </r>
      </text>
    </comment>
    <comment ref="A473" authorId="1" shapeId="0" xr:uid="{00000000-0006-0000-0900-000031000000}">
      <text>
        <r>
          <rPr>
            <b/>
            <sz val="8"/>
            <color indexed="81"/>
            <rFont val="Tahoma"/>
            <family val="2"/>
          </rPr>
          <t>Physio:</t>
        </r>
        <r>
          <rPr>
            <sz val="8"/>
            <color indexed="81"/>
            <rFont val="Tahoma"/>
            <family val="2"/>
          </rPr>
          <t xml:space="preserve">
Psi soil response curve, ppfd=1000, Ca 400 Nmax =0.3
</t>
        </r>
      </text>
    </comment>
    <comment ref="A483" authorId="1" shapeId="0" xr:uid="{00000000-0006-0000-0900-000032000000}">
      <text>
        <r>
          <rPr>
            <b/>
            <sz val="8"/>
            <color indexed="81"/>
            <rFont val="Tahoma"/>
            <family val="2"/>
          </rPr>
          <t>Physio:</t>
        </r>
        <r>
          <rPr>
            <sz val="8"/>
            <color indexed="81"/>
            <rFont val="Tahoma"/>
            <family val="2"/>
          </rPr>
          <t xml:space="preserve">
PPFD response curve Ca 400 Nmax 0.3</t>
        </r>
      </text>
    </comment>
    <comment ref="A493" authorId="1" shapeId="0" xr:uid="{00000000-0006-0000-0900-000033000000}">
      <text>
        <r>
          <rPr>
            <b/>
            <sz val="8"/>
            <color indexed="81"/>
            <rFont val="Tahoma"/>
            <family val="2"/>
          </rPr>
          <t>Physio:</t>
        </r>
        <r>
          <rPr>
            <sz val="8"/>
            <color indexed="81"/>
            <rFont val="Tahoma"/>
            <family val="2"/>
          </rPr>
          <t xml:space="preserve">
Ca response curve PPFD =1000 Nmax=0.3</t>
        </r>
      </text>
    </comment>
    <comment ref="A503" authorId="1" shapeId="0" xr:uid="{00000000-0006-0000-0900-000034000000}">
      <text>
        <r>
          <rPr>
            <b/>
            <sz val="8"/>
            <color indexed="81"/>
            <rFont val="Tahoma"/>
            <family val="2"/>
          </rPr>
          <t>Physio:</t>
        </r>
        <r>
          <rPr>
            <sz val="8"/>
            <color indexed="81"/>
            <rFont val="Tahoma"/>
            <family val="2"/>
          </rPr>
          <t xml:space="preserve">
N response curve, ppfd=1000, Ca 400</t>
        </r>
      </text>
    </comment>
    <comment ref="A513" authorId="1" shapeId="0" xr:uid="{00000000-0006-0000-0900-000035000000}">
      <text>
        <r>
          <rPr>
            <b/>
            <sz val="8"/>
            <color indexed="81"/>
            <rFont val="Tahoma"/>
            <family val="2"/>
          </rPr>
          <t>Physio:</t>
        </r>
        <r>
          <rPr>
            <sz val="8"/>
            <color indexed="81"/>
            <rFont val="Tahoma"/>
            <family val="2"/>
          </rPr>
          <t xml:space="preserve">
Psi soil response curve, ppfd=1000, Ca 400 Nmax =0.3
</t>
        </r>
      </text>
    </comment>
    <comment ref="A523" authorId="1" shapeId="0" xr:uid="{00000000-0006-0000-0900-000036000000}">
      <text>
        <r>
          <rPr>
            <b/>
            <sz val="8"/>
            <color indexed="81"/>
            <rFont val="Tahoma"/>
            <family val="2"/>
          </rPr>
          <t>Physio:</t>
        </r>
        <r>
          <rPr>
            <sz val="8"/>
            <color indexed="81"/>
            <rFont val="Tahoma"/>
            <family val="2"/>
          </rPr>
          <t xml:space="preserve">
PPFD response curve Ca 400 Nmax 0.3</t>
        </r>
      </text>
    </comment>
    <comment ref="A533" authorId="1" shapeId="0" xr:uid="{00000000-0006-0000-0900-000037000000}">
      <text>
        <r>
          <rPr>
            <b/>
            <sz val="8"/>
            <color indexed="81"/>
            <rFont val="Tahoma"/>
            <family val="2"/>
          </rPr>
          <t>Physio:</t>
        </r>
        <r>
          <rPr>
            <sz val="8"/>
            <color indexed="81"/>
            <rFont val="Tahoma"/>
            <family val="2"/>
          </rPr>
          <t xml:space="preserve">
Ca response curve PPFD =1000 Nmax=0.3</t>
        </r>
      </text>
    </comment>
    <comment ref="A543" authorId="1" shapeId="0" xr:uid="{00000000-0006-0000-0900-000038000000}">
      <text>
        <r>
          <rPr>
            <b/>
            <sz val="8"/>
            <color indexed="81"/>
            <rFont val="Tahoma"/>
            <family val="2"/>
          </rPr>
          <t>Physio:</t>
        </r>
        <r>
          <rPr>
            <sz val="8"/>
            <color indexed="81"/>
            <rFont val="Tahoma"/>
            <family val="2"/>
          </rPr>
          <t xml:space="preserve">
N response curve, ppfd=1000, Ca 400</t>
        </r>
      </text>
    </comment>
    <comment ref="A553" authorId="1" shapeId="0" xr:uid="{00000000-0006-0000-0900-000039000000}">
      <text>
        <r>
          <rPr>
            <b/>
            <sz val="8"/>
            <color indexed="81"/>
            <rFont val="Tahoma"/>
            <family val="2"/>
          </rPr>
          <t>Physio:</t>
        </r>
        <r>
          <rPr>
            <sz val="8"/>
            <color indexed="81"/>
            <rFont val="Tahoma"/>
            <family val="2"/>
          </rPr>
          <t xml:space="preserve">
Psi soil response curve, ppfd=1000, Ca 400 Nmax =0.3
</t>
        </r>
      </text>
    </comment>
    <comment ref="A563" authorId="1" shapeId="0" xr:uid="{00000000-0006-0000-0900-00003A000000}">
      <text>
        <r>
          <rPr>
            <b/>
            <sz val="8"/>
            <color indexed="81"/>
            <rFont val="Tahoma"/>
            <family val="2"/>
          </rPr>
          <t>Physio:</t>
        </r>
        <r>
          <rPr>
            <sz val="8"/>
            <color indexed="81"/>
            <rFont val="Tahoma"/>
            <family val="2"/>
          </rPr>
          <t xml:space="preserve">
PPFD response curve Ca 400 Nmax 0.3</t>
        </r>
      </text>
    </comment>
    <comment ref="A573" authorId="1" shapeId="0" xr:uid="{00000000-0006-0000-0900-00003B000000}">
      <text>
        <r>
          <rPr>
            <b/>
            <sz val="8"/>
            <color indexed="81"/>
            <rFont val="Tahoma"/>
            <family val="2"/>
          </rPr>
          <t>Physio:</t>
        </r>
        <r>
          <rPr>
            <sz val="8"/>
            <color indexed="81"/>
            <rFont val="Tahoma"/>
            <family val="2"/>
          </rPr>
          <t xml:space="preserve">
Ca response curve PPFD =1000 Nmax=0.3</t>
        </r>
      </text>
    </comment>
    <comment ref="A583" authorId="1" shapeId="0" xr:uid="{00000000-0006-0000-0900-00003C000000}">
      <text>
        <r>
          <rPr>
            <b/>
            <sz val="8"/>
            <color indexed="81"/>
            <rFont val="Tahoma"/>
            <family val="2"/>
          </rPr>
          <t>Physio:</t>
        </r>
        <r>
          <rPr>
            <sz val="8"/>
            <color indexed="81"/>
            <rFont val="Tahoma"/>
            <family val="2"/>
          </rPr>
          <t xml:space="preserve">
N response curve, ppfd=1000, Ca 400</t>
        </r>
      </text>
    </comment>
    <comment ref="A593" authorId="1" shapeId="0" xr:uid="{00000000-0006-0000-0900-00003D000000}">
      <text>
        <r>
          <rPr>
            <b/>
            <sz val="8"/>
            <color indexed="81"/>
            <rFont val="Tahoma"/>
            <family val="2"/>
          </rPr>
          <t>Physio:</t>
        </r>
        <r>
          <rPr>
            <sz val="8"/>
            <color indexed="81"/>
            <rFont val="Tahoma"/>
            <family val="2"/>
          </rPr>
          <t xml:space="preserve">
Psi soil response curve, ppfd=1000, Ca 400 Nmax =0.3
</t>
        </r>
      </text>
    </comment>
    <comment ref="A603" authorId="1" shapeId="0" xr:uid="{00000000-0006-0000-0900-00003E000000}">
      <text>
        <r>
          <rPr>
            <b/>
            <sz val="8"/>
            <color indexed="81"/>
            <rFont val="Tahoma"/>
            <family val="2"/>
          </rPr>
          <t>Physio:</t>
        </r>
        <r>
          <rPr>
            <sz val="8"/>
            <color indexed="81"/>
            <rFont val="Tahoma"/>
            <family val="2"/>
          </rPr>
          <t xml:space="preserve">
PPFD response curve Ca 400 Nmax 0.3</t>
        </r>
      </text>
    </comment>
    <comment ref="A613" authorId="1" shapeId="0" xr:uid="{00000000-0006-0000-0900-00003F000000}">
      <text>
        <r>
          <rPr>
            <b/>
            <sz val="8"/>
            <color indexed="81"/>
            <rFont val="Tahoma"/>
            <family val="2"/>
          </rPr>
          <t>Physio:</t>
        </r>
        <r>
          <rPr>
            <sz val="8"/>
            <color indexed="81"/>
            <rFont val="Tahoma"/>
            <family val="2"/>
          </rPr>
          <t xml:space="preserve">
Ca response curve PPFD =1000 Nmax=0.3</t>
        </r>
      </text>
    </comment>
    <comment ref="A623" authorId="1" shapeId="0" xr:uid="{00000000-0006-0000-0900-000040000000}">
      <text>
        <r>
          <rPr>
            <b/>
            <sz val="8"/>
            <color indexed="81"/>
            <rFont val="Tahoma"/>
            <family val="2"/>
          </rPr>
          <t>Physio:</t>
        </r>
        <r>
          <rPr>
            <sz val="8"/>
            <color indexed="81"/>
            <rFont val="Tahoma"/>
            <family val="2"/>
          </rPr>
          <t xml:space="preserve">
N response curve, ppfd=1000, Ca 400</t>
        </r>
      </text>
    </comment>
    <comment ref="A633" authorId="1" shapeId="0" xr:uid="{00000000-0006-0000-0900-000041000000}">
      <text>
        <r>
          <rPr>
            <b/>
            <sz val="8"/>
            <color indexed="81"/>
            <rFont val="Tahoma"/>
            <family val="2"/>
          </rPr>
          <t>Physio:</t>
        </r>
        <r>
          <rPr>
            <sz val="8"/>
            <color indexed="81"/>
            <rFont val="Tahoma"/>
            <family val="2"/>
          </rPr>
          <t xml:space="preserve">
Psi soil response curve, ppfd=1000, Ca 400 Nmax =0.3
</t>
        </r>
      </text>
    </comment>
    <comment ref="A643" authorId="1" shapeId="0" xr:uid="{00000000-0006-0000-0900-000042000000}">
      <text>
        <r>
          <rPr>
            <b/>
            <sz val="8"/>
            <color indexed="81"/>
            <rFont val="Tahoma"/>
            <family val="2"/>
          </rPr>
          <t>Physio:</t>
        </r>
        <r>
          <rPr>
            <sz val="8"/>
            <color indexed="81"/>
            <rFont val="Tahoma"/>
            <family val="2"/>
          </rPr>
          <t xml:space="preserve">
PPFD response curve Ca 400 Nmax 0.3</t>
        </r>
      </text>
    </comment>
    <comment ref="A653" authorId="1" shapeId="0" xr:uid="{00000000-0006-0000-0900-000043000000}">
      <text>
        <r>
          <rPr>
            <b/>
            <sz val="8"/>
            <color indexed="81"/>
            <rFont val="Tahoma"/>
            <family val="2"/>
          </rPr>
          <t>Physio:</t>
        </r>
        <r>
          <rPr>
            <sz val="8"/>
            <color indexed="81"/>
            <rFont val="Tahoma"/>
            <family val="2"/>
          </rPr>
          <t xml:space="preserve">
Ca response curve PPFD =1000 Nmax=0.3</t>
        </r>
      </text>
    </comment>
    <comment ref="A663" authorId="1" shapeId="0" xr:uid="{00000000-0006-0000-0900-000044000000}">
      <text>
        <r>
          <rPr>
            <b/>
            <sz val="8"/>
            <color indexed="81"/>
            <rFont val="Tahoma"/>
            <family val="2"/>
          </rPr>
          <t>Physio:</t>
        </r>
        <r>
          <rPr>
            <sz val="8"/>
            <color indexed="81"/>
            <rFont val="Tahoma"/>
            <family val="2"/>
          </rPr>
          <t xml:space="preserve">
N response curve, ppfd=1000, Ca 400</t>
        </r>
      </text>
    </comment>
    <comment ref="A673" authorId="1" shapeId="0" xr:uid="{00000000-0006-0000-0900-000045000000}">
      <text>
        <r>
          <rPr>
            <b/>
            <sz val="8"/>
            <color indexed="81"/>
            <rFont val="Tahoma"/>
            <family val="2"/>
          </rPr>
          <t>Physio:</t>
        </r>
        <r>
          <rPr>
            <sz val="8"/>
            <color indexed="81"/>
            <rFont val="Tahoma"/>
            <family val="2"/>
          </rPr>
          <t xml:space="preserve">
Psi soil response curve, ppfd=1000, Ca 400 Nmax =0.3
</t>
        </r>
      </text>
    </comment>
    <comment ref="A683" authorId="1" shapeId="0" xr:uid="{00000000-0006-0000-0900-000046000000}">
      <text>
        <r>
          <rPr>
            <b/>
            <sz val="8"/>
            <color indexed="81"/>
            <rFont val="Tahoma"/>
            <family val="2"/>
          </rPr>
          <t>Physio:</t>
        </r>
        <r>
          <rPr>
            <sz val="8"/>
            <color indexed="81"/>
            <rFont val="Tahoma"/>
            <family val="2"/>
          </rPr>
          <t xml:space="preserve">
PPFD response curve Ca 400 Nmax 0.3</t>
        </r>
      </text>
    </comment>
    <comment ref="A693" authorId="1" shapeId="0" xr:uid="{00000000-0006-0000-0900-000047000000}">
      <text>
        <r>
          <rPr>
            <b/>
            <sz val="8"/>
            <color indexed="81"/>
            <rFont val="Tahoma"/>
            <family val="2"/>
          </rPr>
          <t>Physio:</t>
        </r>
        <r>
          <rPr>
            <sz val="8"/>
            <color indexed="81"/>
            <rFont val="Tahoma"/>
            <family val="2"/>
          </rPr>
          <t xml:space="preserve">
Ca response curve PPFD =1000 Nmax=0.3</t>
        </r>
      </text>
    </comment>
    <comment ref="A703" authorId="1" shapeId="0" xr:uid="{00000000-0006-0000-0900-000048000000}">
      <text>
        <r>
          <rPr>
            <b/>
            <sz val="8"/>
            <color indexed="81"/>
            <rFont val="Tahoma"/>
            <family val="2"/>
          </rPr>
          <t>Physio:</t>
        </r>
        <r>
          <rPr>
            <sz val="8"/>
            <color indexed="81"/>
            <rFont val="Tahoma"/>
            <family val="2"/>
          </rPr>
          <t xml:space="preserve">
N response curve, ppfd=1000, Ca 400</t>
        </r>
      </text>
    </comment>
    <comment ref="A713" authorId="1" shapeId="0" xr:uid="{00000000-0006-0000-0900-000049000000}">
      <text>
        <r>
          <rPr>
            <b/>
            <sz val="8"/>
            <color indexed="81"/>
            <rFont val="Tahoma"/>
            <family val="2"/>
          </rPr>
          <t>Physio:</t>
        </r>
        <r>
          <rPr>
            <sz val="8"/>
            <color indexed="81"/>
            <rFont val="Tahoma"/>
            <family val="2"/>
          </rPr>
          <t xml:space="preserve">
Psi soil response curve, ppfd=1000, Ca 400 Nmax =0.3
</t>
        </r>
      </text>
    </comment>
    <comment ref="A723" authorId="1" shapeId="0" xr:uid="{00000000-0006-0000-0900-00004A000000}">
      <text>
        <r>
          <rPr>
            <b/>
            <sz val="8"/>
            <color indexed="81"/>
            <rFont val="Tahoma"/>
            <family val="2"/>
          </rPr>
          <t>Physio:</t>
        </r>
        <r>
          <rPr>
            <sz val="8"/>
            <color indexed="81"/>
            <rFont val="Tahoma"/>
            <family val="2"/>
          </rPr>
          <t xml:space="preserve">
PPFD response curve Ca 400 Nmax 0.3</t>
        </r>
      </text>
    </comment>
    <comment ref="A733" authorId="1" shapeId="0" xr:uid="{00000000-0006-0000-0900-00004B000000}">
      <text>
        <r>
          <rPr>
            <b/>
            <sz val="8"/>
            <color indexed="81"/>
            <rFont val="Tahoma"/>
            <family val="2"/>
          </rPr>
          <t>Physio:</t>
        </r>
        <r>
          <rPr>
            <sz val="8"/>
            <color indexed="81"/>
            <rFont val="Tahoma"/>
            <family val="2"/>
          </rPr>
          <t xml:space="preserve">
Ca response curve PPFD =1000 Nmax=0.3</t>
        </r>
      </text>
    </comment>
    <comment ref="A743" authorId="1" shapeId="0" xr:uid="{00000000-0006-0000-0900-00004C000000}">
      <text>
        <r>
          <rPr>
            <b/>
            <sz val="8"/>
            <color indexed="81"/>
            <rFont val="Tahoma"/>
            <family val="2"/>
          </rPr>
          <t>Physio:</t>
        </r>
        <r>
          <rPr>
            <sz val="8"/>
            <color indexed="81"/>
            <rFont val="Tahoma"/>
            <family val="2"/>
          </rPr>
          <t xml:space="preserve">
N response curve, ppfd=1000, Ca 400</t>
        </r>
      </text>
    </comment>
    <comment ref="A753" authorId="1" shapeId="0" xr:uid="{00000000-0006-0000-0900-00004D000000}">
      <text>
        <r>
          <rPr>
            <b/>
            <sz val="8"/>
            <color indexed="81"/>
            <rFont val="Tahoma"/>
            <family val="2"/>
          </rPr>
          <t>Physio:</t>
        </r>
        <r>
          <rPr>
            <sz val="8"/>
            <color indexed="81"/>
            <rFont val="Tahoma"/>
            <family val="2"/>
          </rPr>
          <t xml:space="preserve">
Psi soil response curve, ppfd=1000, Ca 400 Nmax =0.3
</t>
        </r>
      </text>
    </comment>
    <comment ref="A763" authorId="1" shapeId="0" xr:uid="{00000000-0006-0000-0900-00004E000000}">
      <text>
        <r>
          <rPr>
            <b/>
            <sz val="8"/>
            <color indexed="81"/>
            <rFont val="Tahoma"/>
            <family val="2"/>
          </rPr>
          <t>Physio:</t>
        </r>
        <r>
          <rPr>
            <sz val="8"/>
            <color indexed="81"/>
            <rFont val="Tahoma"/>
            <family val="2"/>
          </rPr>
          <t xml:space="preserve">
PPFD response curve Ca 400 Nmax 0.3</t>
        </r>
      </text>
    </comment>
    <comment ref="A773" authorId="1" shapeId="0" xr:uid="{00000000-0006-0000-0900-00004F000000}">
      <text>
        <r>
          <rPr>
            <b/>
            <sz val="8"/>
            <color indexed="81"/>
            <rFont val="Tahoma"/>
            <family val="2"/>
          </rPr>
          <t>Physio:</t>
        </r>
        <r>
          <rPr>
            <sz val="8"/>
            <color indexed="81"/>
            <rFont val="Tahoma"/>
            <family val="2"/>
          </rPr>
          <t xml:space="preserve">
Ca response curve PPFD =1000 Nmax=0.3</t>
        </r>
      </text>
    </comment>
    <comment ref="A783" authorId="1" shapeId="0" xr:uid="{00000000-0006-0000-0900-000050000000}">
      <text>
        <r>
          <rPr>
            <b/>
            <sz val="8"/>
            <color indexed="81"/>
            <rFont val="Tahoma"/>
            <family val="2"/>
          </rPr>
          <t>Physio:</t>
        </r>
        <r>
          <rPr>
            <sz val="8"/>
            <color indexed="81"/>
            <rFont val="Tahoma"/>
            <family val="2"/>
          </rPr>
          <t xml:space="preserve">
N response curve, ppfd=1000, Ca 400</t>
        </r>
      </text>
    </comment>
    <comment ref="A793" authorId="1" shapeId="0" xr:uid="{00000000-0006-0000-0900-000051000000}">
      <text>
        <r>
          <rPr>
            <b/>
            <sz val="8"/>
            <color indexed="81"/>
            <rFont val="Tahoma"/>
            <family val="2"/>
          </rPr>
          <t>Physio:</t>
        </r>
        <r>
          <rPr>
            <sz val="8"/>
            <color indexed="81"/>
            <rFont val="Tahoma"/>
            <family val="2"/>
          </rPr>
          <t xml:space="preserve">
Psi soil response curve, ppfd=1000, Ca 400 Nmax =0.3
</t>
        </r>
      </text>
    </comment>
    <comment ref="A803" authorId="1" shapeId="0" xr:uid="{00000000-0006-0000-0900-000052000000}">
      <text>
        <r>
          <rPr>
            <b/>
            <sz val="8"/>
            <color indexed="81"/>
            <rFont val="Tahoma"/>
            <family val="2"/>
          </rPr>
          <t xml:space="preserve">Physio:
Third Run
</t>
        </r>
        <r>
          <rPr>
            <sz val="8"/>
            <color indexed="81"/>
            <rFont val="Tahoma"/>
            <family val="2"/>
          </rPr>
          <t xml:space="preserve">
PPFD response curve Ca 400 Nmax 0.3</t>
        </r>
      </text>
    </comment>
    <comment ref="A813" authorId="1" shapeId="0" xr:uid="{00000000-0006-0000-0900-000053000000}">
      <text>
        <r>
          <rPr>
            <b/>
            <sz val="8"/>
            <color indexed="81"/>
            <rFont val="Tahoma"/>
            <family val="2"/>
          </rPr>
          <t>Physio:</t>
        </r>
        <r>
          <rPr>
            <sz val="8"/>
            <color indexed="81"/>
            <rFont val="Tahoma"/>
            <family val="2"/>
          </rPr>
          <t xml:space="preserve">
Ca response curve PPFD =1000 Nmax=0.3</t>
        </r>
      </text>
    </comment>
    <comment ref="A823" authorId="1" shapeId="0" xr:uid="{00000000-0006-0000-0900-000054000000}">
      <text>
        <r>
          <rPr>
            <b/>
            <sz val="8"/>
            <color indexed="81"/>
            <rFont val="Tahoma"/>
            <family val="2"/>
          </rPr>
          <t>Physio:</t>
        </r>
        <r>
          <rPr>
            <sz val="8"/>
            <color indexed="81"/>
            <rFont val="Tahoma"/>
            <family val="2"/>
          </rPr>
          <t xml:space="preserve">
N response curve, ppfd=1000, Ca 400</t>
        </r>
      </text>
    </comment>
    <comment ref="A833" authorId="1" shapeId="0" xr:uid="{00000000-0006-0000-0900-000055000000}">
      <text>
        <r>
          <rPr>
            <b/>
            <sz val="8"/>
            <color indexed="81"/>
            <rFont val="Tahoma"/>
            <family val="2"/>
          </rPr>
          <t>Physio:</t>
        </r>
        <r>
          <rPr>
            <sz val="8"/>
            <color indexed="81"/>
            <rFont val="Tahoma"/>
            <family val="2"/>
          </rPr>
          <t xml:space="preserve">
Psi soil response curve, ppfd=1000, Ca 400 Nmax =0.3
</t>
        </r>
      </text>
    </comment>
    <comment ref="A843" authorId="1" shapeId="0" xr:uid="{00000000-0006-0000-0900-000056000000}">
      <text>
        <r>
          <rPr>
            <b/>
            <sz val="8"/>
            <color indexed="81"/>
            <rFont val="Tahoma"/>
            <family val="2"/>
          </rPr>
          <t>Physio:</t>
        </r>
        <r>
          <rPr>
            <sz val="8"/>
            <color indexed="81"/>
            <rFont val="Tahoma"/>
            <family val="2"/>
          </rPr>
          <t xml:space="preserve">
PPFD response curve Ca 400 Nmax 0.3</t>
        </r>
      </text>
    </comment>
    <comment ref="A853" authorId="1" shapeId="0" xr:uid="{00000000-0006-0000-0900-000057000000}">
      <text>
        <r>
          <rPr>
            <b/>
            <sz val="8"/>
            <color indexed="81"/>
            <rFont val="Tahoma"/>
            <family val="2"/>
          </rPr>
          <t>Physio:</t>
        </r>
        <r>
          <rPr>
            <sz val="8"/>
            <color indexed="81"/>
            <rFont val="Tahoma"/>
            <family val="2"/>
          </rPr>
          <t xml:space="preserve">
Ca response curve PPFD =1000 Nmax=0.3</t>
        </r>
      </text>
    </comment>
    <comment ref="A863" authorId="1" shapeId="0" xr:uid="{00000000-0006-0000-0900-000058000000}">
      <text>
        <r>
          <rPr>
            <b/>
            <sz val="8"/>
            <color indexed="81"/>
            <rFont val="Tahoma"/>
            <family val="2"/>
          </rPr>
          <t>Physio:</t>
        </r>
        <r>
          <rPr>
            <sz val="8"/>
            <color indexed="81"/>
            <rFont val="Tahoma"/>
            <family val="2"/>
          </rPr>
          <t xml:space="preserve">
N response curve, ppfd=1000, Ca 400</t>
        </r>
      </text>
    </comment>
    <comment ref="A873" authorId="1" shapeId="0" xr:uid="{00000000-0006-0000-0900-000059000000}">
      <text>
        <r>
          <rPr>
            <b/>
            <sz val="8"/>
            <color indexed="81"/>
            <rFont val="Tahoma"/>
            <family val="2"/>
          </rPr>
          <t>Physio:</t>
        </r>
        <r>
          <rPr>
            <sz val="8"/>
            <color indexed="81"/>
            <rFont val="Tahoma"/>
            <family val="2"/>
          </rPr>
          <t xml:space="preserve">
Psi soil response curve, ppfd=1000, Ca 400 Nmax =0.3
</t>
        </r>
      </text>
    </comment>
    <comment ref="A883" authorId="1" shapeId="0" xr:uid="{00000000-0006-0000-0900-00005A000000}">
      <text>
        <r>
          <rPr>
            <b/>
            <sz val="8"/>
            <color indexed="81"/>
            <rFont val="Tahoma"/>
            <family val="2"/>
          </rPr>
          <t>Physio:</t>
        </r>
        <r>
          <rPr>
            <sz val="8"/>
            <color indexed="81"/>
            <rFont val="Tahoma"/>
            <family val="2"/>
          </rPr>
          <t xml:space="preserve">
PPFD response curve Ca 400 Nmax 0.3</t>
        </r>
      </text>
    </comment>
    <comment ref="A893" authorId="1" shapeId="0" xr:uid="{00000000-0006-0000-0900-00005B000000}">
      <text>
        <r>
          <rPr>
            <b/>
            <sz val="8"/>
            <color indexed="81"/>
            <rFont val="Tahoma"/>
            <family val="2"/>
          </rPr>
          <t>Physio:</t>
        </r>
        <r>
          <rPr>
            <sz val="8"/>
            <color indexed="81"/>
            <rFont val="Tahoma"/>
            <family val="2"/>
          </rPr>
          <t xml:space="preserve">
Ca response curve PPFD =1000 Nmax=0.3</t>
        </r>
      </text>
    </comment>
    <comment ref="A903" authorId="1" shapeId="0" xr:uid="{00000000-0006-0000-0900-00005C000000}">
      <text>
        <r>
          <rPr>
            <b/>
            <sz val="8"/>
            <color indexed="81"/>
            <rFont val="Tahoma"/>
            <family val="2"/>
          </rPr>
          <t>Physio:</t>
        </r>
        <r>
          <rPr>
            <sz val="8"/>
            <color indexed="81"/>
            <rFont val="Tahoma"/>
            <family val="2"/>
          </rPr>
          <t xml:space="preserve">
N response curve, ppfd=1000, Ca 400</t>
        </r>
      </text>
    </comment>
    <comment ref="A913" authorId="1" shapeId="0" xr:uid="{00000000-0006-0000-0900-00005D000000}">
      <text>
        <r>
          <rPr>
            <b/>
            <sz val="8"/>
            <color indexed="81"/>
            <rFont val="Tahoma"/>
            <family val="2"/>
          </rPr>
          <t>Physio:</t>
        </r>
        <r>
          <rPr>
            <sz val="8"/>
            <color indexed="81"/>
            <rFont val="Tahoma"/>
            <family val="2"/>
          </rPr>
          <t xml:space="preserve">
Psi soil response curve, ppfd=1000, Ca 400 Nmax =0.3
</t>
        </r>
      </text>
    </comment>
    <comment ref="A923" authorId="1" shapeId="0" xr:uid="{00000000-0006-0000-0900-00005E000000}">
      <text>
        <r>
          <rPr>
            <b/>
            <sz val="8"/>
            <color indexed="81"/>
            <rFont val="Tahoma"/>
            <family val="2"/>
          </rPr>
          <t>Physio:</t>
        </r>
        <r>
          <rPr>
            <sz val="8"/>
            <color indexed="81"/>
            <rFont val="Tahoma"/>
            <family val="2"/>
          </rPr>
          <t xml:space="preserve">
PPFD response curve Ca 400 Nmax 0.3</t>
        </r>
      </text>
    </comment>
    <comment ref="A933" authorId="1" shapeId="0" xr:uid="{00000000-0006-0000-0900-00005F000000}">
      <text>
        <r>
          <rPr>
            <b/>
            <sz val="8"/>
            <color indexed="81"/>
            <rFont val="Tahoma"/>
            <family val="2"/>
          </rPr>
          <t>Physio:</t>
        </r>
        <r>
          <rPr>
            <sz val="8"/>
            <color indexed="81"/>
            <rFont val="Tahoma"/>
            <family val="2"/>
          </rPr>
          <t xml:space="preserve">
Ca response curve PPFD =1000 Nmax=0.3</t>
        </r>
      </text>
    </comment>
    <comment ref="A943" authorId="1" shapeId="0" xr:uid="{00000000-0006-0000-0900-000060000000}">
      <text>
        <r>
          <rPr>
            <b/>
            <sz val="8"/>
            <color indexed="81"/>
            <rFont val="Tahoma"/>
            <family val="2"/>
          </rPr>
          <t>Physio:</t>
        </r>
        <r>
          <rPr>
            <sz val="8"/>
            <color indexed="81"/>
            <rFont val="Tahoma"/>
            <family val="2"/>
          </rPr>
          <t xml:space="preserve">
N response curve, ppfd=1000, Ca 400</t>
        </r>
      </text>
    </comment>
    <comment ref="A953" authorId="1" shapeId="0" xr:uid="{00000000-0006-0000-0900-000061000000}">
      <text>
        <r>
          <rPr>
            <b/>
            <sz val="8"/>
            <color indexed="81"/>
            <rFont val="Tahoma"/>
            <family val="2"/>
          </rPr>
          <t>Physio:</t>
        </r>
        <r>
          <rPr>
            <sz val="8"/>
            <color indexed="81"/>
            <rFont val="Tahoma"/>
            <family val="2"/>
          </rPr>
          <t xml:space="preserve">
Psi soil response curve, ppfd=1000, Ca 400 Nmax =0.3
</t>
        </r>
      </text>
    </comment>
    <comment ref="A963" authorId="1" shapeId="0" xr:uid="{00000000-0006-0000-0900-000062000000}">
      <text>
        <r>
          <rPr>
            <b/>
            <sz val="8"/>
            <color indexed="81"/>
            <rFont val="Tahoma"/>
            <family val="2"/>
          </rPr>
          <t>Physio:</t>
        </r>
        <r>
          <rPr>
            <sz val="8"/>
            <color indexed="81"/>
            <rFont val="Tahoma"/>
            <family val="2"/>
          </rPr>
          <t xml:space="preserve">
PPFD response curve Ca 400 Nmax 0.3</t>
        </r>
      </text>
    </comment>
    <comment ref="A973" authorId="1" shapeId="0" xr:uid="{00000000-0006-0000-0900-000063000000}">
      <text>
        <r>
          <rPr>
            <b/>
            <sz val="8"/>
            <color indexed="81"/>
            <rFont val="Tahoma"/>
            <family val="2"/>
          </rPr>
          <t>Physio:</t>
        </r>
        <r>
          <rPr>
            <sz val="8"/>
            <color indexed="81"/>
            <rFont val="Tahoma"/>
            <family val="2"/>
          </rPr>
          <t xml:space="preserve">
Ca response curve PPFD =1000 Nmax=0.3</t>
        </r>
      </text>
    </comment>
    <comment ref="A983" authorId="1" shapeId="0" xr:uid="{00000000-0006-0000-0900-000064000000}">
      <text>
        <r>
          <rPr>
            <b/>
            <sz val="8"/>
            <color indexed="81"/>
            <rFont val="Tahoma"/>
            <family val="2"/>
          </rPr>
          <t>Physio:</t>
        </r>
        <r>
          <rPr>
            <sz val="8"/>
            <color indexed="81"/>
            <rFont val="Tahoma"/>
            <family val="2"/>
          </rPr>
          <t xml:space="preserve">
N response curve, ppfd=1000, Ca 400</t>
        </r>
      </text>
    </comment>
    <comment ref="A993" authorId="1" shapeId="0" xr:uid="{00000000-0006-0000-0900-000065000000}">
      <text>
        <r>
          <rPr>
            <b/>
            <sz val="8"/>
            <color indexed="81"/>
            <rFont val="Tahoma"/>
            <family val="2"/>
          </rPr>
          <t>Physio:</t>
        </r>
        <r>
          <rPr>
            <sz val="8"/>
            <color indexed="81"/>
            <rFont val="Tahoma"/>
            <family val="2"/>
          </rPr>
          <t xml:space="preserve">
Psi soil response curve, ppfd=1000, Ca 400 Nmax =0.3
</t>
        </r>
      </text>
    </comment>
    <comment ref="A1003" authorId="1" shapeId="0" xr:uid="{00000000-0006-0000-0900-000066000000}">
      <text>
        <r>
          <rPr>
            <b/>
            <sz val="8"/>
            <color indexed="81"/>
            <rFont val="Tahoma"/>
            <family val="2"/>
          </rPr>
          <t>Physio:</t>
        </r>
        <r>
          <rPr>
            <sz val="8"/>
            <color indexed="81"/>
            <rFont val="Tahoma"/>
            <family val="2"/>
          </rPr>
          <t xml:space="preserve">
PPFD response curve Ca 400 Nmax 0.3</t>
        </r>
      </text>
    </comment>
    <comment ref="A1013" authorId="1" shapeId="0" xr:uid="{00000000-0006-0000-0900-000067000000}">
      <text>
        <r>
          <rPr>
            <b/>
            <sz val="8"/>
            <color indexed="81"/>
            <rFont val="Tahoma"/>
            <family val="2"/>
          </rPr>
          <t>Physio:</t>
        </r>
        <r>
          <rPr>
            <sz val="8"/>
            <color indexed="81"/>
            <rFont val="Tahoma"/>
            <family val="2"/>
          </rPr>
          <t xml:space="preserve">
Ca response curve PPFD =1000 Nmax=0.3</t>
        </r>
      </text>
    </comment>
    <comment ref="A1023" authorId="1" shapeId="0" xr:uid="{00000000-0006-0000-0900-000068000000}">
      <text>
        <r>
          <rPr>
            <b/>
            <sz val="8"/>
            <color indexed="81"/>
            <rFont val="Tahoma"/>
            <family val="2"/>
          </rPr>
          <t>Physio:</t>
        </r>
        <r>
          <rPr>
            <sz val="8"/>
            <color indexed="81"/>
            <rFont val="Tahoma"/>
            <family val="2"/>
          </rPr>
          <t xml:space="preserve">
N response curve, ppfd=1000, Ca 400</t>
        </r>
      </text>
    </comment>
    <comment ref="A1033" authorId="1" shapeId="0" xr:uid="{00000000-0006-0000-0900-000069000000}">
      <text>
        <r>
          <rPr>
            <b/>
            <sz val="8"/>
            <color indexed="81"/>
            <rFont val="Tahoma"/>
            <family val="2"/>
          </rPr>
          <t>Physio:</t>
        </r>
        <r>
          <rPr>
            <sz val="8"/>
            <color indexed="81"/>
            <rFont val="Tahoma"/>
            <family val="2"/>
          </rPr>
          <t xml:space="preserve">
Psi soil response curve, ppfd=1000, Ca 400 Nmax =0.3
</t>
        </r>
      </text>
    </comment>
    <comment ref="A1043" authorId="1" shapeId="0" xr:uid="{00000000-0006-0000-0900-00006A000000}">
      <text>
        <r>
          <rPr>
            <b/>
            <sz val="8"/>
            <color indexed="81"/>
            <rFont val="Tahoma"/>
            <family val="2"/>
          </rPr>
          <t>Physio:</t>
        </r>
        <r>
          <rPr>
            <sz val="8"/>
            <color indexed="81"/>
            <rFont val="Tahoma"/>
            <family val="2"/>
          </rPr>
          <t xml:space="preserve">
PPFD response curve Ca 400 Nmax 0.3</t>
        </r>
      </text>
    </comment>
    <comment ref="A1053" authorId="1" shapeId="0" xr:uid="{00000000-0006-0000-0900-00006B000000}">
      <text>
        <r>
          <rPr>
            <b/>
            <sz val="8"/>
            <color indexed="81"/>
            <rFont val="Tahoma"/>
            <family val="2"/>
          </rPr>
          <t>Physio:</t>
        </r>
        <r>
          <rPr>
            <sz val="8"/>
            <color indexed="81"/>
            <rFont val="Tahoma"/>
            <family val="2"/>
          </rPr>
          <t xml:space="preserve">
Ca response curve PPFD =1000 Nmax=0.3</t>
        </r>
      </text>
    </comment>
    <comment ref="A1063" authorId="1" shapeId="0" xr:uid="{00000000-0006-0000-0900-00006C000000}">
      <text>
        <r>
          <rPr>
            <b/>
            <sz val="8"/>
            <color indexed="81"/>
            <rFont val="Tahoma"/>
            <family val="2"/>
          </rPr>
          <t>Physio:</t>
        </r>
        <r>
          <rPr>
            <sz val="8"/>
            <color indexed="81"/>
            <rFont val="Tahoma"/>
            <family val="2"/>
          </rPr>
          <t xml:space="preserve">
N response curve, ppfd=1000, Ca 400</t>
        </r>
      </text>
    </comment>
    <comment ref="A1073" authorId="1" shapeId="0" xr:uid="{00000000-0006-0000-0900-00006D000000}">
      <text>
        <r>
          <rPr>
            <b/>
            <sz val="8"/>
            <color indexed="81"/>
            <rFont val="Tahoma"/>
            <family val="2"/>
          </rPr>
          <t>Physio:</t>
        </r>
        <r>
          <rPr>
            <sz val="8"/>
            <color indexed="81"/>
            <rFont val="Tahoma"/>
            <family val="2"/>
          </rPr>
          <t xml:space="preserve">
Psi soil response curve, ppfd=1000, Ca 400 Nmax =0.3
</t>
        </r>
      </text>
    </comment>
    <comment ref="A1083" authorId="1" shapeId="0" xr:uid="{00000000-0006-0000-0900-00006E000000}">
      <text>
        <r>
          <rPr>
            <b/>
            <sz val="8"/>
            <color indexed="81"/>
            <rFont val="Tahoma"/>
            <family val="2"/>
          </rPr>
          <t>Physio:</t>
        </r>
        <r>
          <rPr>
            <sz val="8"/>
            <color indexed="81"/>
            <rFont val="Tahoma"/>
            <family val="2"/>
          </rPr>
          <t xml:space="preserve">
PPFD response curve Ca 400 Nmax 0.3</t>
        </r>
      </text>
    </comment>
    <comment ref="A1093" authorId="1" shapeId="0" xr:uid="{00000000-0006-0000-0900-00006F000000}">
      <text>
        <r>
          <rPr>
            <b/>
            <sz val="8"/>
            <color indexed="81"/>
            <rFont val="Tahoma"/>
            <family val="2"/>
          </rPr>
          <t>Physio:</t>
        </r>
        <r>
          <rPr>
            <sz val="8"/>
            <color indexed="81"/>
            <rFont val="Tahoma"/>
            <family val="2"/>
          </rPr>
          <t xml:space="preserve">
Ca response curve PPFD =1000 Nmax=0.3</t>
        </r>
      </text>
    </comment>
    <comment ref="A1103" authorId="1" shapeId="0" xr:uid="{00000000-0006-0000-0900-000070000000}">
      <text>
        <r>
          <rPr>
            <b/>
            <sz val="8"/>
            <color indexed="81"/>
            <rFont val="Tahoma"/>
            <family val="2"/>
          </rPr>
          <t>Physio:</t>
        </r>
        <r>
          <rPr>
            <sz val="8"/>
            <color indexed="81"/>
            <rFont val="Tahoma"/>
            <family val="2"/>
          </rPr>
          <t xml:space="preserve">
N response curve, ppfd=1000, Ca 400</t>
        </r>
      </text>
    </comment>
    <comment ref="A1113" authorId="1" shapeId="0" xr:uid="{00000000-0006-0000-0900-000071000000}">
      <text>
        <r>
          <rPr>
            <b/>
            <sz val="8"/>
            <color indexed="81"/>
            <rFont val="Tahoma"/>
            <family val="2"/>
          </rPr>
          <t>Physio:</t>
        </r>
        <r>
          <rPr>
            <sz val="8"/>
            <color indexed="81"/>
            <rFont val="Tahoma"/>
            <family val="2"/>
          </rPr>
          <t xml:space="preserve">
Psi soil response curve, ppfd=1000, Ca 400 Nmax =0.3
</t>
        </r>
      </text>
    </comment>
    <comment ref="A1123" authorId="1" shapeId="0" xr:uid="{00000000-0006-0000-0900-000072000000}">
      <text>
        <r>
          <rPr>
            <b/>
            <sz val="8"/>
            <color indexed="81"/>
            <rFont val="Tahoma"/>
            <family val="2"/>
          </rPr>
          <t>Physio:</t>
        </r>
        <r>
          <rPr>
            <sz val="8"/>
            <color indexed="81"/>
            <rFont val="Tahoma"/>
            <family val="2"/>
          </rPr>
          <t xml:space="preserve">
PPFD response curve Ca 400 Nmax 0.3</t>
        </r>
      </text>
    </comment>
    <comment ref="A1133" authorId="1" shapeId="0" xr:uid="{00000000-0006-0000-0900-000073000000}">
      <text>
        <r>
          <rPr>
            <b/>
            <sz val="8"/>
            <color indexed="81"/>
            <rFont val="Tahoma"/>
            <family val="2"/>
          </rPr>
          <t>Physio:</t>
        </r>
        <r>
          <rPr>
            <sz val="8"/>
            <color indexed="81"/>
            <rFont val="Tahoma"/>
            <family val="2"/>
          </rPr>
          <t xml:space="preserve">
Ca response curve PPFD =1000 Nmax=0.3</t>
        </r>
      </text>
    </comment>
    <comment ref="A1143" authorId="1" shapeId="0" xr:uid="{00000000-0006-0000-0900-000074000000}">
      <text>
        <r>
          <rPr>
            <b/>
            <sz val="8"/>
            <color indexed="81"/>
            <rFont val="Tahoma"/>
            <family val="2"/>
          </rPr>
          <t>Physio:</t>
        </r>
        <r>
          <rPr>
            <sz val="8"/>
            <color indexed="81"/>
            <rFont val="Tahoma"/>
            <family val="2"/>
          </rPr>
          <t xml:space="preserve">
N response curve, ppfd=1000, Ca 400</t>
        </r>
      </text>
    </comment>
    <comment ref="A1153" authorId="1" shapeId="0" xr:uid="{00000000-0006-0000-0900-000075000000}">
      <text>
        <r>
          <rPr>
            <b/>
            <sz val="8"/>
            <color indexed="81"/>
            <rFont val="Tahoma"/>
            <family val="2"/>
          </rPr>
          <t>Physio:</t>
        </r>
        <r>
          <rPr>
            <sz val="8"/>
            <color indexed="81"/>
            <rFont val="Tahoma"/>
            <family val="2"/>
          </rPr>
          <t xml:space="preserve">
Psi soil response curve, ppfd=1000, Ca 400 Nmax =0.3
</t>
        </r>
      </text>
    </comment>
    <comment ref="A1163" authorId="1" shapeId="0" xr:uid="{00000000-0006-0000-0900-000076000000}">
      <text>
        <r>
          <rPr>
            <b/>
            <sz val="8"/>
            <color indexed="81"/>
            <rFont val="Tahoma"/>
            <family val="2"/>
          </rPr>
          <t>Physio:</t>
        </r>
        <r>
          <rPr>
            <sz val="8"/>
            <color indexed="81"/>
            <rFont val="Tahoma"/>
            <family val="2"/>
          </rPr>
          <t xml:space="preserve">
PPFD response curve Ca 400 Nmax 0.3</t>
        </r>
      </text>
    </comment>
    <comment ref="A1173" authorId="1" shapeId="0" xr:uid="{00000000-0006-0000-0900-000077000000}">
      <text>
        <r>
          <rPr>
            <b/>
            <sz val="8"/>
            <color indexed="81"/>
            <rFont val="Tahoma"/>
            <family val="2"/>
          </rPr>
          <t>Physio:</t>
        </r>
        <r>
          <rPr>
            <sz val="8"/>
            <color indexed="81"/>
            <rFont val="Tahoma"/>
            <family val="2"/>
          </rPr>
          <t xml:space="preserve">
Ca response curve PPFD =1000 Nmax=0.3</t>
        </r>
      </text>
    </comment>
    <comment ref="A1183" authorId="1" shapeId="0" xr:uid="{00000000-0006-0000-0900-000078000000}">
      <text>
        <r>
          <rPr>
            <b/>
            <sz val="8"/>
            <color indexed="81"/>
            <rFont val="Tahoma"/>
            <family val="2"/>
          </rPr>
          <t>Physio:</t>
        </r>
        <r>
          <rPr>
            <sz val="8"/>
            <color indexed="81"/>
            <rFont val="Tahoma"/>
            <family val="2"/>
          </rPr>
          <t xml:space="preserve">
N response curve, ppfd=1000, Ca 400</t>
        </r>
      </text>
    </comment>
    <comment ref="A1193" authorId="1" shapeId="0" xr:uid="{00000000-0006-0000-0900-000079000000}">
      <text>
        <r>
          <rPr>
            <b/>
            <sz val="8"/>
            <color indexed="81"/>
            <rFont val="Tahoma"/>
            <family val="2"/>
          </rPr>
          <t>Physio:</t>
        </r>
        <r>
          <rPr>
            <sz val="8"/>
            <color indexed="81"/>
            <rFont val="Tahoma"/>
            <family val="2"/>
          </rPr>
          <t xml:space="preserve">
Psi soil response curve, ppfd=1000, Ca 400 Nmax =0.3
</t>
        </r>
      </text>
    </comment>
    <comment ref="A1203" authorId="1" shapeId="0" xr:uid="{00000000-0006-0000-0900-00007A000000}">
      <text>
        <r>
          <rPr>
            <b/>
            <sz val="8"/>
            <color indexed="81"/>
            <rFont val="Tahoma"/>
            <family val="2"/>
          </rPr>
          <t xml:space="preserve">Physio:
Fourth Run
</t>
        </r>
        <r>
          <rPr>
            <sz val="8"/>
            <color indexed="81"/>
            <rFont val="Tahoma"/>
            <family val="2"/>
          </rPr>
          <t xml:space="preserve">
PPFD response curve Ca 400 Nmax 0.3</t>
        </r>
      </text>
    </comment>
    <comment ref="A1213" authorId="1" shapeId="0" xr:uid="{00000000-0006-0000-0900-00007B000000}">
      <text>
        <r>
          <rPr>
            <b/>
            <sz val="8"/>
            <color indexed="81"/>
            <rFont val="Tahoma"/>
            <family val="2"/>
          </rPr>
          <t>Physio:</t>
        </r>
        <r>
          <rPr>
            <sz val="8"/>
            <color indexed="81"/>
            <rFont val="Tahoma"/>
            <family val="2"/>
          </rPr>
          <t xml:space="preserve">
Ca response curve PPFD =1000 Nmax=0.3</t>
        </r>
      </text>
    </comment>
    <comment ref="A1223" authorId="1" shapeId="0" xr:uid="{00000000-0006-0000-0900-00007C000000}">
      <text>
        <r>
          <rPr>
            <b/>
            <sz val="8"/>
            <color indexed="81"/>
            <rFont val="Tahoma"/>
            <family val="2"/>
          </rPr>
          <t>Physio:</t>
        </r>
        <r>
          <rPr>
            <sz val="8"/>
            <color indexed="81"/>
            <rFont val="Tahoma"/>
            <family val="2"/>
          </rPr>
          <t xml:space="preserve">
N response curve, ppfd=1000, Ca 400</t>
        </r>
      </text>
    </comment>
    <comment ref="A1233" authorId="1" shapeId="0" xr:uid="{00000000-0006-0000-0900-00007D000000}">
      <text>
        <r>
          <rPr>
            <b/>
            <sz val="8"/>
            <color indexed="81"/>
            <rFont val="Tahoma"/>
            <family val="2"/>
          </rPr>
          <t>Physio:</t>
        </r>
        <r>
          <rPr>
            <sz val="8"/>
            <color indexed="81"/>
            <rFont val="Tahoma"/>
            <family val="2"/>
          </rPr>
          <t xml:space="preserve">
Psi soil response curve, ppfd=1000, Ca 400 Nmax =0.3
</t>
        </r>
      </text>
    </comment>
    <comment ref="A1243" authorId="1" shapeId="0" xr:uid="{00000000-0006-0000-0900-00007E000000}">
      <text>
        <r>
          <rPr>
            <b/>
            <sz val="8"/>
            <color indexed="81"/>
            <rFont val="Tahoma"/>
            <family val="2"/>
          </rPr>
          <t>Physio:</t>
        </r>
        <r>
          <rPr>
            <sz val="8"/>
            <color indexed="81"/>
            <rFont val="Tahoma"/>
            <family val="2"/>
          </rPr>
          <t xml:space="preserve">
PPFD response curve Ca 400 Nmax 0.3</t>
        </r>
      </text>
    </comment>
    <comment ref="A1253" authorId="1" shapeId="0" xr:uid="{00000000-0006-0000-0900-00007F000000}">
      <text>
        <r>
          <rPr>
            <b/>
            <sz val="8"/>
            <color indexed="81"/>
            <rFont val="Tahoma"/>
            <family val="2"/>
          </rPr>
          <t>Physio:</t>
        </r>
        <r>
          <rPr>
            <sz val="8"/>
            <color indexed="81"/>
            <rFont val="Tahoma"/>
            <family val="2"/>
          </rPr>
          <t xml:space="preserve">
Ca response curve PPFD =1000 Nmax=0.3</t>
        </r>
      </text>
    </comment>
    <comment ref="A1263" authorId="1" shapeId="0" xr:uid="{00000000-0006-0000-0900-000080000000}">
      <text>
        <r>
          <rPr>
            <b/>
            <sz val="8"/>
            <color indexed="81"/>
            <rFont val="Tahoma"/>
            <family val="2"/>
          </rPr>
          <t>Physio:</t>
        </r>
        <r>
          <rPr>
            <sz val="8"/>
            <color indexed="81"/>
            <rFont val="Tahoma"/>
            <family val="2"/>
          </rPr>
          <t xml:space="preserve">
N response curve, ppfd=1000, Ca 400</t>
        </r>
      </text>
    </comment>
    <comment ref="A1273" authorId="1" shapeId="0" xr:uid="{00000000-0006-0000-0900-000081000000}">
      <text>
        <r>
          <rPr>
            <b/>
            <sz val="8"/>
            <color indexed="81"/>
            <rFont val="Tahoma"/>
            <family val="2"/>
          </rPr>
          <t>Physio:</t>
        </r>
        <r>
          <rPr>
            <sz val="8"/>
            <color indexed="81"/>
            <rFont val="Tahoma"/>
            <family val="2"/>
          </rPr>
          <t xml:space="preserve">
Psi soil response curve, ppfd=1000, Ca 400 Nmax =0.3
</t>
        </r>
      </text>
    </comment>
    <comment ref="A1283" authorId="1" shapeId="0" xr:uid="{00000000-0006-0000-0900-000082000000}">
      <text>
        <r>
          <rPr>
            <b/>
            <sz val="8"/>
            <color indexed="81"/>
            <rFont val="Tahoma"/>
            <family val="2"/>
          </rPr>
          <t>Physio:</t>
        </r>
        <r>
          <rPr>
            <sz val="8"/>
            <color indexed="81"/>
            <rFont val="Tahoma"/>
            <family val="2"/>
          </rPr>
          <t xml:space="preserve">
PPFD response curve Ca 400 Nmax 0.3</t>
        </r>
      </text>
    </comment>
    <comment ref="A1293" authorId="1" shapeId="0" xr:uid="{00000000-0006-0000-0900-000083000000}">
      <text>
        <r>
          <rPr>
            <b/>
            <sz val="8"/>
            <color indexed="81"/>
            <rFont val="Tahoma"/>
            <family val="2"/>
          </rPr>
          <t>Physio:</t>
        </r>
        <r>
          <rPr>
            <sz val="8"/>
            <color indexed="81"/>
            <rFont val="Tahoma"/>
            <family val="2"/>
          </rPr>
          <t xml:space="preserve">
Ca response curve PPFD =1000 Nmax=0.3</t>
        </r>
      </text>
    </comment>
    <comment ref="A1303" authorId="1" shapeId="0" xr:uid="{00000000-0006-0000-0900-000084000000}">
      <text>
        <r>
          <rPr>
            <b/>
            <sz val="8"/>
            <color indexed="81"/>
            <rFont val="Tahoma"/>
            <family val="2"/>
          </rPr>
          <t>Physio:</t>
        </r>
        <r>
          <rPr>
            <sz val="8"/>
            <color indexed="81"/>
            <rFont val="Tahoma"/>
            <family val="2"/>
          </rPr>
          <t xml:space="preserve">
N response curve, ppfd=1000, Ca 400</t>
        </r>
      </text>
    </comment>
    <comment ref="A1313" authorId="1" shapeId="0" xr:uid="{00000000-0006-0000-0900-000085000000}">
      <text>
        <r>
          <rPr>
            <b/>
            <sz val="8"/>
            <color indexed="81"/>
            <rFont val="Tahoma"/>
            <family val="2"/>
          </rPr>
          <t>Physio:</t>
        </r>
        <r>
          <rPr>
            <sz val="8"/>
            <color indexed="81"/>
            <rFont val="Tahoma"/>
            <family val="2"/>
          </rPr>
          <t xml:space="preserve">
Psi soil response curve, ppfd=1000, Ca 400 Nmax =0.3
</t>
        </r>
      </text>
    </comment>
    <comment ref="A1323" authorId="1" shapeId="0" xr:uid="{00000000-0006-0000-0900-000086000000}">
      <text>
        <r>
          <rPr>
            <b/>
            <sz val="8"/>
            <color indexed="81"/>
            <rFont val="Tahoma"/>
            <family val="2"/>
          </rPr>
          <t>Physio:</t>
        </r>
        <r>
          <rPr>
            <sz val="8"/>
            <color indexed="81"/>
            <rFont val="Tahoma"/>
            <family val="2"/>
          </rPr>
          <t xml:space="preserve">
PPFD response curve Ca 400 Nmax 0.3</t>
        </r>
      </text>
    </comment>
    <comment ref="A1333" authorId="1" shapeId="0" xr:uid="{00000000-0006-0000-0900-000087000000}">
      <text>
        <r>
          <rPr>
            <b/>
            <sz val="8"/>
            <color indexed="81"/>
            <rFont val="Tahoma"/>
            <family val="2"/>
          </rPr>
          <t>Physio:</t>
        </r>
        <r>
          <rPr>
            <sz val="8"/>
            <color indexed="81"/>
            <rFont val="Tahoma"/>
            <family val="2"/>
          </rPr>
          <t xml:space="preserve">
Ca response curve PPFD =1000 Nmax=0.3</t>
        </r>
      </text>
    </comment>
    <comment ref="A1343" authorId="1" shapeId="0" xr:uid="{00000000-0006-0000-0900-000088000000}">
      <text>
        <r>
          <rPr>
            <b/>
            <sz val="8"/>
            <color indexed="81"/>
            <rFont val="Tahoma"/>
            <family val="2"/>
          </rPr>
          <t>Physio:</t>
        </r>
        <r>
          <rPr>
            <sz val="8"/>
            <color indexed="81"/>
            <rFont val="Tahoma"/>
            <family val="2"/>
          </rPr>
          <t xml:space="preserve">
N response curve, ppfd=1000, Ca 400</t>
        </r>
      </text>
    </comment>
    <comment ref="A1353" authorId="1" shapeId="0" xr:uid="{00000000-0006-0000-0900-000089000000}">
      <text>
        <r>
          <rPr>
            <b/>
            <sz val="8"/>
            <color indexed="81"/>
            <rFont val="Tahoma"/>
            <family val="2"/>
          </rPr>
          <t>Physio:</t>
        </r>
        <r>
          <rPr>
            <sz val="8"/>
            <color indexed="81"/>
            <rFont val="Tahoma"/>
            <family val="2"/>
          </rPr>
          <t xml:space="preserve">
Psi soil response curve, ppfd=1000, Ca 400 Nmax =0.3
</t>
        </r>
      </text>
    </comment>
    <comment ref="A1363" authorId="1" shapeId="0" xr:uid="{00000000-0006-0000-0900-00008A000000}">
      <text>
        <r>
          <rPr>
            <b/>
            <sz val="8"/>
            <color indexed="81"/>
            <rFont val="Tahoma"/>
            <family val="2"/>
          </rPr>
          <t>Physio:</t>
        </r>
        <r>
          <rPr>
            <sz val="8"/>
            <color indexed="81"/>
            <rFont val="Tahoma"/>
            <family val="2"/>
          </rPr>
          <t xml:space="preserve">
PPFD response curve Ca 400 Nmax 0.3</t>
        </r>
      </text>
    </comment>
    <comment ref="A1373" authorId="1" shapeId="0" xr:uid="{00000000-0006-0000-0900-00008B000000}">
      <text>
        <r>
          <rPr>
            <b/>
            <sz val="8"/>
            <color indexed="81"/>
            <rFont val="Tahoma"/>
            <family val="2"/>
          </rPr>
          <t>Physio:</t>
        </r>
        <r>
          <rPr>
            <sz val="8"/>
            <color indexed="81"/>
            <rFont val="Tahoma"/>
            <family val="2"/>
          </rPr>
          <t xml:space="preserve">
Ca response curve PPFD =1000 Nmax=0.3</t>
        </r>
      </text>
    </comment>
    <comment ref="A1383" authorId="1" shapeId="0" xr:uid="{00000000-0006-0000-0900-00008C000000}">
      <text>
        <r>
          <rPr>
            <b/>
            <sz val="8"/>
            <color indexed="81"/>
            <rFont val="Tahoma"/>
            <family val="2"/>
          </rPr>
          <t>Physio:</t>
        </r>
        <r>
          <rPr>
            <sz val="8"/>
            <color indexed="81"/>
            <rFont val="Tahoma"/>
            <family val="2"/>
          </rPr>
          <t xml:space="preserve">
N response curve, ppfd=1000, Ca 400</t>
        </r>
      </text>
    </comment>
    <comment ref="A1393" authorId="1" shapeId="0" xr:uid="{00000000-0006-0000-0900-00008D000000}">
      <text>
        <r>
          <rPr>
            <b/>
            <sz val="8"/>
            <color indexed="81"/>
            <rFont val="Tahoma"/>
            <family val="2"/>
          </rPr>
          <t>Physio:</t>
        </r>
        <r>
          <rPr>
            <sz val="8"/>
            <color indexed="81"/>
            <rFont val="Tahoma"/>
            <family val="2"/>
          </rPr>
          <t xml:space="preserve">
Psi soil response curve, ppfd=1000, Ca 400 Nmax =0.3
</t>
        </r>
      </text>
    </comment>
    <comment ref="A1403" authorId="1" shapeId="0" xr:uid="{00000000-0006-0000-0900-00008E000000}">
      <text>
        <r>
          <rPr>
            <b/>
            <sz val="8"/>
            <color indexed="81"/>
            <rFont val="Tahoma"/>
            <family val="2"/>
          </rPr>
          <t>Physio:</t>
        </r>
        <r>
          <rPr>
            <sz val="8"/>
            <color indexed="81"/>
            <rFont val="Tahoma"/>
            <family val="2"/>
          </rPr>
          <t xml:space="preserve">
PPFD response curve Ca 400 Nmax 0.3</t>
        </r>
      </text>
    </comment>
    <comment ref="A1413" authorId="1" shapeId="0" xr:uid="{00000000-0006-0000-0900-00008F000000}">
      <text>
        <r>
          <rPr>
            <b/>
            <sz val="8"/>
            <color indexed="81"/>
            <rFont val="Tahoma"/>
            <family val="2"/>
          </rPr>
          <t>Physio:</t>
        </r>
        <r>
          <rPr>
            <sz val="8"/>
            <color indexed="81"/>
            <rFont val="Tahoma"/>
            <family val="2"/>
          </rPr>
          <t xml:space="preserve">
Ca response curve PPFD =1000 Nmax=0.3</t>
        </r>
      </text>
    </comment>
    <comment ref="A1423" authorId="1" shapeId="0" xr:uid="{00000000-0006-0000-0900-000090000000}">
      <text>
        <r>
          <rPr>
            <b/>
            <sz val="8"/>
            <color indexed="81"/>
            <rFont val="Tahoma"/>
            <family val="2"/>
          </rPr>
          <t>Physio:</t>
        </r>
        <r>
          <rPr>
            <sz val="8"/>
            <color indexed="81"/>
            <rFont val="Tahoma"/>
            <family val="2"/>
          </rPr>
          <t xml:space="preserve">
N response curve, ppfd=1000, Ca 400</t>
        </r>
      </text>
    </comment>
    <comment ref="A1433" authorId="1" shapeId="0" xr:uid="{00000000-0006-0000-0900-000091000000}">
      <text>
        <r>
          <rPr>
            <b/>
            <sz val="8"/>
            <color indexed="81"/>
            <rFont val="Tahoma"/>
            <family val="2"/>
          </rPr>
          <t>Physio:</t>
        </r>
        <r>
          <rPr>
            <sz val="8"/>
            <color indexed="81"/>
            <rFont val="Tahoma"/>
            <family val="2"/>
          </rPr>
          <t xml:space="preserve">
Psi soil response curve, ppfd=1000, Ca 400 Nmax =0.3
</t>
        </r>
      </text>
    </comment>
    <comment ref="A1443" authorId="1" shapeId="0" xr:uid="{00000000-0006-0000-0900-000092000000}">
      <text>
        <r>
          <rPr>
            <b/>
            <sz val="8"/>
            <color indexed="81"/>
            <rFont val="Tahoma"/>
            <family val="2"/>
          </rPr>
          <t>Physio:</t>
        </r>
        <r>
          <rPr>
            <sz val="8"/>
            <color indexed="81"/>
            <rFont val="Tahoma"/>
            <family val="2"/>
          </rPr>
          <t xml:space="preserve">
PPFD response curve Ca 400 Nmax 0.3</t>
        </r>
      </text>
    </comment>
    <comment ref="A1453" authorId="1" shapeId="0" xr:uid="{00000000-0006-0000-0900-000093000000}">
      <text>
        <r>
          <rPr>
            <b/>
            <sz val="8"/>
            <color indexed="81"/>
            <rFont val="Tahoma"/>
            <family val="2"/>
          </rPr>
          <t>Physio:</t>
        </r>
        <r>
          <rPr>
            <sz val="8"/>
            <color indexed="81"/>
            <rFont val="Tahoma"/>
            <family val="2"/>
          </rPr>
          <t xml:space="preserve">
Ca response curve PPFD =1000 Nmax=0.3</t>
        </r>
      </text>
    </comment>
    <comment ref="A1463" authorId="1" shapeId="0" xr:uid="{00000000-0006-0000-0900-000094000000}">
      <text>
        <r>
          <rPr>
            <b/>
            <sz val="8"/>
            <color indexed="81"/>
            <rFont val="Tahoma"/>
            <family val="2"/>
          </rPr>
          <t>Physio:</t>
        </r>
        <r>
          <rPr>
            <sz val="8"/>
            <color indexed="81"/>
            <rFont val="Tahoma"/>
            <family val="2"/>
          </rPr>
          <t xml:space="preserve">
N response curve, ppfd=1000, Ca 400</t>
        </r>
      </text>
    </comment>
    <comment ref="A1473" authorId="1" shapeId="0" xr:uid="{00000000-0006-0000-0900-000095000000}">
      <text>
        <r>
          <rPr>
            <b/>
            <sz val="8"/>
            <color indexed="81"/>
            <rFont val="Tahoma"/>
            <family val="2"/>
          </rPr>
          <t>Physio:</t>
        </r>
        <r>
          <rPr>
            <sz val="8"/>
            <color indexed="81"/>
            <rFont val="Tahoma"/>
            <family val="2"/>
          </rPr>
          <t xml:space="preserve">
Psi soil response curve, ppfd=1000, Ca 400 Nmax =0.3
</t>
        </r>
      </text>
    </comment>
    <comment ref="A1483" authorId="1" shapeId="0" xr:uid="{00000000-0006-0000-0900-000096000000}">
      <text>
        <r>
          <rPr>
            <b/>
            <sz val="8"/>
            <color indexed="81"/>
            <rFont val="Tahoma"/>
            <family val="2"/>
          </rPr>
          <t>Physio:</t>
        </r>
        <r>
          <rPr>
            <sz val="8"/>
            <color indexed="81"/>
            <rFont val="Tahoma"/>
            <family val="2"/>
          </rPr>
          <t xml:space="preserve">
PPFD response curve Ca 400 Nmax 0.3</t>
        </r>
      </text>
    </comment>
    <comment ref="A1493" authorId="1" shapeId="0" xr:uid="{00000000-0006-0000-0900-000097000000}">
      <text>
        <r>
          <rPr>
            <b/>
            <sz val="8"/>
            <color indexed="81"/>
            <rFont val="Tahoma"/>
            <family val="2"/>
          </rPr>
          <t>Physio:</t>
        </r>
        <r>
          <rPr>
            <sz val="8"/>
            <color indexed="81"/>
            <rFont val="Tahoma"/>
            <family val="2"/>
          </rPr>
          <t xml:space="preserve">
Ca response curve PPFD =1000 Nmax=0.3</t>
        </r>
      </text>
    </comment>
    <comment ref="A1503" authorId="1" shapeId="0" xr:uid="{00000000-0006-0000-0900-000098000000}">
      <text>
        <r>
          <rPr>
            <b/>
            <sz val="8"/>
            <color indexed="81"/>
            <rFont val="Tahoma"/>
            <family val="2"/>
          </rPr>
          <t>Physio:</t>
        </r>
        <r>
          <rPr>
            <sz val="8"/>
            <color indexed="81"/>
            <rFont val="Tahoma"/>
            <family val="2"/>
          </rPr>
          <t xml:space="preserve">
N response curve, ppfd=1000, Ca 400</t>
        </r>
      </text>
    </comment>
    <comment ref="A1513" authorId="1" shapeId="0" xr:uid="{00000000-0006-0000-0900-000099000000}">
      <text>
        <r>
          <rPr>
            <b/>
            <sz val="8"/>
            <color indexed="81"/>
            <rFont val="Tahoma"/>
            <family val="2"/>
          </rPr>
          <t>Physio:</t>
        </r>
        <r>
          <rPr>
            <sz val="8"/>
            <color indexed="81"/>
            <rFont val="Tahoma"/>
            <family val="2"/>
          </rPr>
          <t xml:space="preserve">
Psi soil response curve, ppfd=1000, Ca 400 Nmax =0.3
</t>
        </r>
      </text>
    </comment>
    <comment ref="A1523" authorId="1" shapeId="0" xr:uid="{00000000-0006-0000-0900-00009A000000}">
      <text>
        <r>
          <rPr>
            <b/>
            <sz val="8"/>
            <color indexed="81"/>
            <rFont val="Tahoma"/>
            <family val="2"/>
          </rPr>
          <t>Physio:</t>
        </r>
        <r>
          <rPr>
            <sz val="8"/>
            <color indexed="81"/>
            <rFont val="Tahoma"/>
            <family val="2"/>
          </rPr>
          <t xml:space="preserve">
PPFD response curve Ca 400 Nmax 0.3</t>
        </r>
      </text>
    </comment>
    <comment ref="A1533" authorId="1" shapeId="0" xr:uid="{00000000-0006-0000-0900-00009B000000}">
      <text>
        <r>
          <rPr>
            <b/>
            <sz val="8"/>
            <color indexed="81"/>
            <rFont val="Tahoma"/>
            <family val="2"/>
          </rPr>
          <t>Physio:</t>
        </r>
        <r>
          <rPr>
            <sz val="8"/>
            <color indexed="81"/>
            <rFont val="Tahoma"/>
            <family val="2"/>
          </rPr>
          <t xml:space="preserve">
Ca response curve PPFD =1000 Nmax=0.3</t>
        </r>
      </text>
    </comment>
    <comment ref="A1543" authorId="1" shapeId="0" xr:uid="{00000000-0006-0000-0900-00009C000000}">
      <text>
        <r>
          <rPr>
            <b/>
            <sz val="8"/>
            <color indexed="81"/>
            <rFont val="Tahoma"/>
            <family val="2"/>
          </rPr>
          <t>Physio:</t>
        </r>
        <r>
          <rPr>
            <sz val="8"/>
            <color indexed="81"/>
            <rFont val="Tahoma"/>
            <family val="2"/>
          </rPr>
          <t xml:space="preserve">
N response curve, ppfd=1000, Ca 400</t>
        </r>
      </text>
    </comment>
    <comment ref="A1553" authorId="1" shapeId="0" xr:uid="{00000000-0006-0000-0900-00009D000000}">
      <text>
        <r>
          <rPr>
            <b/>
            <sz val="8"/>
            <color indexed="81"/>
            <rFont val="Tahoma"/>
            <family val="2"/>
          </rPr>
          <t>Physio:</t>
        </r>
        <r>
          <rPr>
            <sz val="8"/>
            <color indexed="81"/>
            <rFont val="Tahoma"/>
            <family val="2"/>
          </rPr>
          <t xml:space="preserve">
Psi soil response curve, ppfd=1000, Ca 400 Nmax =0.3
</t>
        </r>
      </text>
    </comment>
    <comment ref="A1563" authorId="1" shapeId="0" xr:uid="{00000000-0006-0000-0900-00009E000000}">
      <text>
        <r>
          <rPr>
            <b/>
            <sz val="8"/>
            <color indexed="81"/>
            <rFont val="Tahoma"/>
            <family val="2"/>
          </rPr>
          <t>Physio:</t>
        </r>
        <r>
          <rPr>
            <sz val="8"/>
            <color indexed="81"/>
            <rFont val="Tahoma"/>
            <family val="2"/>
          </rPr>
          <t xml:space="preserve">
PPFD response curve Ca 400 Nmax 0.3</t>
        </r>
      </text>
    </comment>
    <comment ref="A1573" authorId="1" shapeId="0" xr:uid="{00000000-0006-0000-0900-00009F000000}">
      <text>
        <r>
          <rPr>
            <b/>
            <sz val="8"/>
            <color indexed="81"/>
            <rFont val="Tahoma"/>
            <family val="2"/>
          </rPr>
          <t>Physio:</t>
        </r>
        <r>
          <rPr>
            <sz val="8"/>
            <color indexed="81"/>
            <rFont val="Tahoma"/>
            <family val="2"/>
          </rPr>
          <t xml:space="preserve">
Ca response curve PPFD =1000 Nmax=0.3</t>
        </r>
      </text>
    </comment>
    <comment ref="A1583" authorId="1" shapeId="0" xr:uid="{00000000-0006-0000-0900-0000A0000000}">
      <text>
        <r>
          <rPr>
            <b/>
            <sz val="8"/>
            <color indexed="81"/>
            <rFont val="Tahoma"/>
            <family val="2"/>
          </rPr>
          <t>Physio:</t>
        </r>
        <r>
          <rPr>
            <sz val="8"/>
            <color indexed="81"/>
            <rFont val="Tahoma"/>
            <family val="2"/>
          </rPr>
          <t xml:space="preserve">
N response curve, ppfd=1000, Ca 400</t>
        </r>
      </text>
    </comment>
    <comment ref="A1593" authorId="1" shapeId="0" xr:uid="{00000000-0006-0000-0900-0000A1000000}">
      <text>
        <r>
          <rPr>
            <b/>
            <sz val="8"/>
            <color indexed="81"/>
            <rFont val="Tahoma"/>
            <family val="2"/>
          </rPr>
          <t>Physio:</t>
        </r>
        <r>
          <rPr>
            <sz val="8"/>
            <color indexed="81"/>
            <rFont val="Tahoma"/>
            <family val="2"/>
          </rPr>
          <t xml:space="preserve">
Psi soil response curve, ppfd=1000, Ca 400 Nmax =0.3
</t>
        </r>
      </text>
    </comment>
  </commentList>
</comments>
</file>

<file path=xl/sharedStrings.xml><?xml version="1.0" encoding="utf-8"?>
<sst xmlns="http://schemas.openxmlformats.org/spreadsheetml/2006/main" count="4299" uniqueCount="430">
  <si>
    <t>Input</t>
  </si>
  <si>
    <t>Output</t>
  </si>
  <si>
    <t>Basic quantities</t>
  </si>
  <si>
    <t>Overall rates</t>
  </si>
  <si>
    <t>BS/M partitioning</t>
  </si>
  <si>
    <t>A</t>
  </si>
  <si>
    <t>GA</t>
  </si>
  <si>
    <t>in BS</t>
  </si>
  <si>
    <t>in M</t>
  </si>
  <si>
    <r>
      <t>R</t>
    </r>
    <r>
      <rPr>
        <vertAlign val="subscript"/>
        <sz val="11"/>
        <color theme="1"/>
        <rFont val="Arial"/>
        <family val="2"/>
      </rPr>
      <t>LIGHT</t>
    </r>
  </si>
  <si>
    <r>
      <t>V</t>
    </r>
    <r>
      <rPr>
        <vertAlign val="subscript"/>
        <sz val="11"/>
        <color theme="1"/>
        <rFont val="Arial"/>
        <family val="2"/>
      </rPr>
      <t>O</t>
    </r>
    <r>
      <rPr>
        <i/>
        <sz val="11"/>
        <color theme="1"/>
        <rFont val="Arial"/>
        <family val="2"/>
      </rPr>
      <t>/V</t>
    </r>
    <r>
      <rPr>
        <vertAlign val="subscript"/>
        <sz val="11"/>
        <color theme="1"/>
        <rFont val="Arial"/>
        <family val="2"/>
      </rPr>
      <t>C</t>
    </r>
    <r>
      <rPr>
        <i/>
        <sz val="11"/>
        <color theme="1"/>
        <rFont val="Arial"/>
        <family val="2"/>
      </rPr>
      <t/>
    </r>
  </si>
  <si>
    <r>
      <t>V</t>
    </r>
    <r>
      <rPr>
        <vertAlign val="subscript"/>
        <sz val="11"/>
        <color theme="1"/>
        <rFont val="Arial"/>
        <family val="2"/>
      </rPr>
      <t>O</t>
    </r>
  </si>
  <si>
    <t>PEPCK</t>
  </si>
  <si>
    <t>PPDK</t>
  </si>
  <si>
    <t>DHAP entering RPP</t>
  </si>
  <si>
    <t>Fluxes</t>
  </si>
  <si>
    <t>RuP phosphorylation</t>
  </si>
  <si>
    <t>MDH</t>
  </si>
  <si>
    <t>ME</t>
  </si>
  <si>
    <t>ATP demand</t>
  </si>
  <si>
    <t>Ratios</t>
  </si>
  <si>
    <r>
      <rPr>
        <i/>
        <sz val="11"/>
        <rFont val="Arial"/>
        <family val="2"/>
      </rPr>
      <t>NADPH</t>
    </r>
    <r>
      <rPr>
        <vertAlign val="subscript"/>
        <sz val="11"/>
        <rFont val="Arial"/>
        <family val="2"/>
      </rPr>
      <t>BS</t>
    </r>
    <r>
      <rPr>
        <sz val="11"/>
        <rFont val="Arial"/>
        <family val="2"/>
      </rPr>
      <t>/</t>
    </r>
    <r>
      <rPr>
        <i/>
        <sz val="11"/>
        <rFont val="Arial"/>
        <family val="2"/>
      </rPr>
      <t>NADPH</t>
    </r>
    <r>
      <rPr>
        <vertAlign val="subscript"/>
        <sz val="11"/>
        <rFont val="Arial"/>
        <family val="2"/>
      </rPr>
      <t>TOT</t>
    </r>
  </si>
  <si>
    <r>
      <rPr>
        <i/>
        <sz val="11"/>
        <rFont val="Arial"/>
        <family val="2"/>
      </rPr>
      <t>NADPH</t>
    </r>
    <r>
      <rPr>
        <vertAlign val="subscript"/>
        <sz val="11"/>
        <rFont val="Arial"/>
        <family val="2"/>
      </rPr>
      <t>BS</t>
    </r>
    <r>
      <rPr>
        <sz val="11"/>
        <rFont val="Arial"/>
        <family val="2"/>
      </rPr>
      <t>/</t>
    </r>
    <r>
      <rPr>
        <i/>
        <sz val="11"/>
        <rFont val="Arial"/>
        <family val="2"/>
      </rPr>
      <t>NADPH</t>
    </r>
    <r>
      <rPr>
        <vertAlign val="subscript"/>
        <sz val="11"/>
        <rFont val="Arial"/>
        <family val="2"/>
      </rPr>
      <t>M</t>
    </r>
  </si>
  <si>
    <r>
      <rPr>
        <i/>
        <sz val="11"/>
        <rFont val="Arial"/>
        <family val="2"/>
      </rPr>
      <t>T</t>
    </r>
    <r>
      <rPr>
        <sz val="11"/>
        <rFont val="Arial"/>
        <family val="2"/>
      </rPr>
      <t>/</t>
    </r>
    <r>
      <rPr>
        <i/>
        <sz val="11"/>
        <rFont val="Arial"/>
        <family val="2"/>
      </rPr>
      <t>V</t>
    </r>
    <r>
      <rPr>
        <vertAlign val="subscript"/>
        <sz val="11"/>
        <rFont val="Arial"/>
        <family val="2"/>
      </rPr>
      <t>P</t>
    </r>
  </si>
  <si>
    <r>
      <rPr>
        <i/>
        <sz val="11"/>
        <rFont val="Arial"/>
        <family val="2"/>
      </rPr>
      <t>ATP</t>
    </r>
    <r>
      <rPr>
        <vertAlign val="subscript"/>
        <sz val="11"/>
        <rFont val="Arial"/>
        <family val="2"/>
      </rPr>
      <t>BS</t>
    </r>
    <r>
      <rPr>
        <sz val="11"/>
        <rFont val="Arial"/>
        <family val="2"/>
      </rPr>
      <t>/</t>
    </r>
    <r>
      <rPr>
        <i/>
        <sz val="11"/>
        <rFont val="Arial"/>
        <family val="2"/>
      </rPr>
      <t>ATP</t>
    </r>
    <r>
      <rPr>
        <vertAlign val="subscript"/>
        <sz val="11"/>
        <rFont val="Arial"/>
        <family val="2"/>
      </rPr>
      <t>M</t>
    </r>
  </si>
  <si>
    <t>x</t>
  </si>
  <si>
    <t>BS engagement</t>
  </si>
  <si>
    <t>Fast response</t>
  </si>
  <si>
    <t>Slow response</t>
  </si>
  <si>
    <t>CCM</t>
  </si>
  <si>
    <t>GDC</t>
  </si>
  <si>
    <t>Reducing power balance</t>
  </si>
  <si>
    <r>
      <t>GDC</t>
    </r>
    <r>
      <rPr>
        <vertAlign val="subscript"/>
        <sz val="11"/>
        <color theme="1"/>
        <rFont val="Arial"/>
        <family val="2"/>
      </rPr>
      <t>BS</t>
    </r>
    <r>
      <rPr>
        <i/>
        <sz val="11"/>
        <color theme="1"/>
        <rFont val="Arial"/>
        <family val="2"/>
      </rPr>
      <t>/GDC</t>
    </r>
    <r>
      <rPr>
        <i/>
        <vertAlign val="subscript"/>
        <sz val="11"/>
        <color theme="1"/>
        <rFont val="Arial"/>
        <family val="2"/>
      </rPr>
      <t>TOT</t>
    </r>
  </si>
  <si>
    <t>NADPH demand Tot</t>
  </si>
  <si>
    <t>ATP demand Tot</t>
  </si>
  <si>
    <t>-</t>
  </si>
  <si>
    <r>
      <rPr>
        <i/>
        <sz val="11"/>
        <rFont val="Arial"/>
        <family val="2"/>
      </rPr>
      <t>ATP</t>
    </r>
    <r>
      <rPr>
        <vertAlign val="subscript"/>
        <sz val="11"/>
        <rFont val="Arial"/>
        <family val="2"/>
      </rPr>
      <t>BS</t>
    </r>
    <r>
      <rPr>
        <sz val="11"/>
        <rFont val="Arial"/>
        <family val="2"/>
      </rPr>
      <t>/</t>
    </r>
    <r>
      <rPr>
        <i/>
        <sz val="11"/>
        <rFont val="Arial"/>
        <family val="2"/>
      </rPr>
      <t>ATP</t>
    </r>
    <r>
      <rPr>
        <vertAlign val="subscript"/>
        <sz val="11"/>
        <rFont val="Arial"/>
        <family val="2"/>
      </rPr>
      <t>TOT</t>
    </r>
  </si>
  <si>
    <t>NADPH demand (excl. CCM)</t>
  </si>
  <si>
    <t>NADPH demand (incl. CCM)</t>
  </si>
  <si>
    <r>
      <t xml:space="preserve">Photo-prod.  </t>
    </r>
    <r>
      <rPr>
        <i/>
        <sz val="11"/>
        <rFont val="Arial"/>
        <family val="2"/>
      </rPr>
      <t>ATP</t>
    </r>
    <r>
      <rPr>
        <vertAlign val="subscript"/>
        <sz val="11"/>
        <rFont val="Arial"/>
        <family val="2"/>
      </rPr>
      <t>BS</t>
    </r>
    <r>
      <rPr>
        <sz val="11"/>
        <rFont val="Arial"/>
        <family val="2"/>
      </rPr>
      <t>/</t>
    </r>
    <r>
      <rPr>
        <i/>
        <sz val="11"/>
        <rFont val="Arial"/>
        <family val="2"/>
      </rPr>
      <t>NADPH</t>
    </r>
    <r>
      <rPr>
        <vertAlign val="subscript"/>
        <sz val="11"/>
        <rFont val="Arial"/>
        <family val="2"/>
      </rPr>
      <t>BS</t>
    </r>
  </si>
  <si>
    <t>MAL M→BS</t>
  </si>
  <si>
    <t>PEP BS→M</t>
  </si>
  <si>
    <t>ASP M→BS</t>
  </si>
  <si>
    <t>ALA BS→M</t>
  </si>
  <si>
    <t>PYR BS→M</t>
  </si>
  <si>
    <t>GLY M→BS</t>
  </si>
  <si>
    <t>Check</t>
  </si>
  <si>
    <t>Vcm+Vcbs</t>
  </si>
  <si>
    <t>Vom+Vobs</t>
  </si>
  <si>
    <t>GDCM+GDCBS</t>
  </si>
  <si>
    <t>RlightM+RLIGHTBS</t>
  </si>
  <si>
    <t>L</t>
  </si>
  <si>
    <t>Amino Balance BS</t>
  </si>
  <si>
    <t>Total C entering BS</t>
  </si>
  <si>
    <t>Total C exiting BS</t>
  </si>
  <si>
    <t>NADPH demand thr. LEF</t>
  </si>
  <si>
    <r>
      <t xml:space="preserve">Amino group rebalancing </t>
    </r>
    <r>
      <rPr>
        <i/>
        <sz val="11"/>
        <color theme="1"/>
        <rFont val="Arial"/>
        <family val="2"/>
      </rPr>
      <t>R</t>
    </r>
  </si>
  <si>
    <t>T+R</t>
  </si>
  <si>
    <r>
      <rPr>
        <i/>
        <sz val="11"/>
        <color theme="1"/>
        <rFont val="Arial"/>
        <family val="2"/>
      </rPr>
      <t>V</t>
    </r>
    <r>
      <rPr>
        <vertAlign val="subscript"/>
        <sz val="11"/>
        <color theme="1"/>
        <rFont val="Arial"/>
        <family val="2"/>
      </rPr>
      <t>C</t>
    </r>
  </si>
  <si>
    <r>
      <rPr>
        <i/>
        <sz val="11"/>
        <color theme="1"/>
        <rFont val="Arial"/>
        <family val="2"/>
      </rPr>
      <t>V</t>
    </r>
    <r>
      <rPr>
        <vertAlign val="subscript"/>
        <sz val="11"/>
        <color theme="1"/>
        <rFont val="Arial"/>
        <family val="2"/>
      </rPr>
      <t>O</t>
    </r>
  </si>
  <si>
    <r>
      <rPr>
        <sz val="11"/>
        <color theme="1"/>
        <rFont val="Arial"/>
        <family val="2"/>
      </rPr>
      <t xml:space="preserve">Carb synthesis </t>
    </r>
    <r>
      <rPr>
        <i/>
        <sz val="11"/>
        <color theme="1"/>
        <rFont val="Arial"/>
        <family val="2"/>
      </rPr>
      <t>CS</t>
    </r>
  </si>
  <si>
    <r>
      <rPr>
        <sz val="11"/>
        <color theme="1"/>
        <rFont val="Arial"/>
        <family val="2"/>
      </rPr>
      <t xml:space="preserve">PGA reduction </t>
    </r>
    <r>
      <rPr>
        <i/>
        <sz val="11"/>
        <color theme="1"/>
        <rFont val="Arial"/>
        <family val="2"/>
      </rPr>
      <t>PR</t>
    </r>
  </si>
  <si>
    <r>
      <rPr>
        <sz val="11"/>
        <color theme="1"/>
        <rFont val="Arial"/>
        <family val="2"/>
      </rPr>
      <t xml:space="preserve">Transamination </t>
    </r>
    <r>
      <rPr>
        <i/>
        <sz val="11"/>
        <color theme="1"/>
        <rFont val="Arial"/>
        <family val="2"/>
      </rPr>
      <t>T</t>
    </r>
  </si>
  <si>
    <t>DHAP M→BS</t>
  </si>
  <si>
    <t>PGA BS→M</t>
  </si>
  <si>
    <r>
      <t>Leakiness</t>
    </r>
    <r>
      <rPr>
        <sz val="11"/>
        <color theme="1"/>
        <rFont val="Calibri"/>
        <family val="2"/>
        <scheme val="minor"/>
      </rPr>
      <t xml:space="preserve"> φ</t>
    </r>
  </si>
  <si>
    <t>ASP/MAL decarboxilation</t>
  </si>
  <si>
    <t>NADPH potent. avail. through CCM</t>
  </si>
  <si>
    <t>C balance BS</t>
  </si>
  <si>
    <r>
      <rPr>
        <i/>
        <sz val="11"/>
        <color theme="1"/>
        <rFont val="Arial"/>
        <family val="2"/>
      </rPr>
      <t>GDC</t>
    </r>
    <r>
      <rPr>
        <vertAlign val="subscript"/>
        <sz val="11"/>
        <color theme="1"/>
        <rFont val="Arial"/>
        <family val="2"/>
      </rPr>
      <t>TOT</t>
    </r>
  </si>
  <si>
    <r>
      <rPr>
        <sz val="11"/>
        <color theme="1"/>
        <rFont val="Arial"/>
        <family val="2"/>
      </rPr>
      <t xml:space="preserve">Carb synthesis </t>
    </r>
    <r>
      <rPr>
        <i/>
        <sz val="11"/>
        <color theme="1"/>
        <rFont val="Arial"/>
        <family val="2"/>
      </rPr>
      <t>CS</t>
    </r>
    <r>
      <rPr>
        <vertAlign val="subscript"/>
        <sz val="11"/>
        <color theme="1"/>
        <rFont val="Arial"/>
        <family val="2"/>
      </rPr>
      <t>TOT</t>
    </r>
  </si>
  <si>
    <r>
      <rPr>
        <sz val="11"/>
        <color theme="1"/>
        <rFont val="Arial"/>
        <family val="2"/>
      </rPr>
      <t xml:space="preserve">PGA reduction </t>
    </r>
    <r>
      <rPr>
        <i/>
        <sz val="11"/>
        <color theme="1"/>
        <rFont val="Arial"/>
        <family val="2"/>
      </rPr>
      <t>PR</t>
    </r>
    <r>
      <rPr>
        <vertAlign val="subscript"/>
        <sz val="11"/>
        <color theme="1"/>
        <rFont val="Arial"/>
        <family val="2"/>
      </rPr>
      <t>TOT</t>
    </r>
  </si>
  <si>
    <r>
      <rPr>
        <i/>
        <sz val="11"/>
        <color theme="1"/>
        <rFont val="Arial"/>
        <family val="2"/>
      </rPr>
      <t>PEPCK</t>
    </r>
    <r>
      <rPr>
        <vertAlign val="subscript"/>
        <sz val="11"/>
        <color theme="1"/>
        <rFont val="Arial"/>
        <family val="2"/>
      </rPr>
      <t xml:space="preserve">MAX </t>
    </r>
    <r>
      <rPr>
        <sz val="11"/>
        <color theme="1"/>
        <rFont val="Arial"/>
        <family val="2"/>
      </rPr>
      <t>(=</t>
    </r>
    <r>
      <rPr>
        <i/>
        <sz val="11"/>
        <color theme="1"/>
        <rFont val="Arial"/>
        <family val="2"/>
      </rPr>
      <t>V</t>
    </r>
    <r>
      <rPr>
        <vertAlign val="subscript"/>
        <sz val="11"/>
        <color theme="1"/>
        <rFont val="Arial"/>
        <family val="2"/>
      </rPr>
      <t>P</t>
    </r>
    <r>
      <rPr>
        <sz val="11"/>
        <color theme="1"/>
        <rFont val="Arial"/>
        <family val="2"/>
      </rPr>
      <t>)</t>
    </r>
  </si>
  <si>
    <r>
      <rPr>
        <i/>
        <sz val="11"/>
        <rFont val="Arial"/>
        <family val="2"/>
      </rPr>
      <t>ATP</t>
    </r>
    <r>
      <rPr>
        <i/>
        <vertAlign val="subscript"/>
        <sz val="11"/>
        <rFont val="Arial"/>
        <family val="2"/>
      </rPr>
      <t>TOT</t>
    </r>
    <r>
      <rPr>
        <sz val="11"/>
        <rFont val="Arial"/>
        <family val="2"/>
      </rPr>
      <t>/</t>
    </r>
    <r>
      <rPr>
        <i/>
        <sz val="11"/>
        <rFont val="Arial"/>
        <family val="2"/>
      </rPr>
      <t>NADPH</t>
    </r>
    <r>
      <rPr>
        <vertAlign val="subscript"/>
        <sz val="11"/>
        <rFont val="Arial"/>
        <family val="2"/>
      </rPr>
      <t>TOT</t>
    </r>
  </si>
  <si>
    <r>
      <t>Photo-prod.</t>
    </r>
    <r>
      <rPr>
        <i/>
        <sz val="11"/>
        <rFont val="Arial"/>
        <family val="2"/>
      </rPr>
      <t xml:space="preserve"> ATP</t>
    </r>
    <r>
      <rPr>
        <vertAlign val="subscript"/>
        <sz val="11"/>
        <rFont val="Arial"/>
        <family val="2"/>
      </rPr>
      <t>M</t>
    </r>
    <r>
      <rPr>
        <sz val="11"/>
        <rFont val="Arial"/>
        <family val="2"/>
      </rPr>
      <t>/</t>
    </r>
    <r>
      <rPr>
        <i/>
        <sz val="11"/>
        <rFont val="Arial"/>
        <family val="2"/>
      </rPr>
      <t>NADPH</t>
    </r>
    <r>
      <rPr>
        <vertAlign val="subscript"/>
        <sz val="11"/>
        <rFont val="Arial"/>
        <family val="2"/>
      </rPr>
      <t>M</t>
    </r>
  </si>
  <si>
    <r>
      <rPr>
        <i/>
        <sz val="11"/>
        <rFont val="Arial"/>
        <family val="2"/>
      </rPr>
      <t>ATP</t>
    </r>
    <r>
      <rPr>
        <vertAlign val="subscript"/>
        <sz val="11"/>
        <rFont val="Arial"/>
        <family val="2"/>
      </rPr>
      <t>TOT</t>
    </r>
    <r>
      <rPr>
        <sz val="11"/>
        <rFont val="Arial"/>
        <family val="2"/>
      </rPr>
      <t>/</t>
    </r>
    <r>
      <rPr>
        <i/>
        <sz val="11"/>
        <rFont val="Arial"/>
        <family val="2"/>
      </rPr>
      <t>GA</t>
    </r>
  </si>
  <si>
    <r>
      <t>SER BS→M =</t>
    </r>
    <r>
      <rPr>
        <i/>
        <sz val="11"/>
        <color theme="1"/>
        <rFont val="Arial"/>
        <family val="2"/>
      </rPr>
      <t>R</t>
    </r>
  </si>
  <si>
    <r>
      <t>PPDK</t>
    </r>
    <r>
      <rPr>
        <i/>
        <vertAlign val="subscript"/>
        <sz val="11"/>
        <color theme="1"/>
        <rFont val="Arial"/>
        <family val="2"/>
      </rPr>
      <t>TOT</t>
    </r>
  </si>
  <si>
    <t xml:space="preserve">               </t>
  </si>
  <si>
    <t>C</t>
  </si>
  <si>
    <r>
      <rPr>
        <sz val="11"/>
        <color theme="1"/>
        <rFont val="Calibri"/>
        <family val="2"/>
      </rPr>
      <t>γ</t>
    </r>
    <r>
      <rPr>
        <sz val="11"/>
        <color theme="1"/>
        <rFont val="Arial"/>
        <family val="2"/>
      </rPr>
      <t>*</t>
    </r>
  </si>
  <si>
    <t>O</t>
  </si>
  <si>
    <t>a</t>
  </si>
  <si>
    <t>b</t>
  </si>
  <si>
    <t>Leak rate diffusive</t>
  </si>
  <si>
    <t>O*</t>
  </si>
  <si>
    <r>
      <rPr>
        <b/>
        <i/>
        <sz val="11"/>
        <color theme="1"/>
        <rFont val="Arial"/>
        <family val="2"/>
      </rPr>
      <t>g</t>
    </r>
    <r>
      <rPr>
        <b/>
        <vertAlign val="subscript"/>
        <sz val="11"/>
        <color theme="1"/>
        <rFont val="Arial"/>
        <family val="2"/>
      </rPr>
      <t>BS</t>
    </r>
  </si>
  <si>
    <r>
      <rPr>
        <i/>
        <sz val="11"/>
        <color theme="1"/>
        <rFont val="Arial"/>
        <family val="2"/>
      </rPr>
      <t>S</t>
    </r>
    <r>
      <rPr>
        <vertAlign val="subscript"/>
        <sz val="11"/>
        <color theme="1"/>
        <rFont val="Arial"/>
        <family val="2"/>
      </rPr>
      <t>C/O</t>
    </r>
  </si>
  <si>
    <t>Miscellaneous</t>
  </si>
  <si>
    <r>
      <rPr>
        <sz val="11"/>
        <color theme="1"/>
        <rFont val="Arial"/>
        <family val="2"/>
      </rPr>
      <t>CO</t>
    </r>
    <r>
      <rPr>
        <vertAlign val="subscript"/>
        <sz val="11"/>
        <color theme="1"/>
        <rFont val="Arial"/>
        <family val="2"/>
      </rPr>
      <t>2</t>
    </r>
    <r>
      <rPr>
        <sz val="11"/>
        <color theme="1"/>
        <rFont val="Arial"/>
        <family val="2"/>
      </rPr>
      <t xml:space="preserve"> BS→M</t>
    </r>
    <r>
      <rPr>
        <sz val="10"/>
        <color theme="1"/>
        <rFont val="Arial"/>
        <family val="2"/>
      </rPr>
      <t xml:space="preserve"> Leak rate</t>
    </r>
    <r>
      <rPr>
        <i/>
        <sz val="10"/>
        <color theme="1"/>
        <rFont val="Arial"/>
        <family val="2"/>
      </rPr>
      <t xml:space="preserve"> L mass balance</t>
    </r>
  </si>
  <si>
    <t>α</t>
  </si>
  <si>
    <r>
      <t>r</t>
    </r>
    <r>
      <rPr>
        <vertAlign val="subscript"/>
        <sz val="10"/>
        <color theme="1"/>
        <rFont val="Arial"/>
        <family val="2"/>
      </rPr>
      <t>PEPCK</t>
    </r>
    <r>
      <rPr>
        <i/>
        <sz val="11"/>
        <color theme="1"/>
        <rFont val="Arial"/>
        <family val="2"/>
      </rPr>
      <t/>
    </r>
  </si>
  <si>
    <r>
      <t>f</t>
    </r>
    <r>
      <rPr>
        <vertAlign val="subscript"/>
        <sz val="11"/>
        <color theme="1"/>
        <rFont val="Arial"/>
        <family val="2"/>
      </rPr>
      <t>RLIGHT</t>
    </r>
    <r>
      <rPr>
        <i/>
        <sz val="11"/>
        <color theme="1"/>
        <rFont val="Arial"/>
        <family val="2"/>
      </rPr>
      <t/>
    </r>
  </si>
  <si>
    <r>
      <t>f</t>
    </r>
    <r>
      <rPr>
        <vertAlign val="subscript"/>
        <sz val="11"/>
        <color theme="1"/>
        <rFont val="Arial"/>
        <family val="2"/>
      </rPr>
      <t>PR</t>
    </r>
  </si>
  <si>
    <r>
      <t>f</t>
    </r>
    <r>
      <rPr>
        <vertAlign val="subscript"/>
        <sz val="11"/>
        <color theme="1"/>
        <rFont val="Arial"/>
        <family val="2"/>
      </rPr>
      <t>CS</t>
    </r>
  </si>
  <si>
    <r>
      <t>f</t>
    </r>
    <r>
      <rPr>
        <vertAlign val="subscript"/>
        <sz val="11"/>
        <color theme="1"/>
        <rFont val="Arial"/>
        <family val="2"/>
      </rPr>
      <t>PPDK</t>
    </r>
  </si>
  <si>
    <t>c</t>
  </si>
  <si>
    <r>
      <t>J</t>
    </r>
    <r>
      <rPr>
        <vertAlign val="subscript"/>
        <sz val="11"/>
        <color theme="1"/>
        <rFont val="Arial"/>
        <family val="2"/>
      </rPr>
      <t>ATP</t>
    </r>
  </si>
  <si>
    <t>g</t>
  </si>
  <si>
    <t>h</t>
  </si>
  <si>
    <t>i</t>
  </si>
  <si>
    <t>u</t>
  </si>
  <si>
    <t>v</t>
  </si>
  <si>
    <t>z</t>
  </si>
  <si>
    <t>t</t>
  </si>
  <si>
    <r>
      <t>V</t>
    </r>
    <r>
      <rPr>
        <vertAlign val="subscript"/>
        <sz val="11"/>
        <color theme="1"/>
        <rFont val="Arial"/>
        <family val="2"/>
      </rPr>
      <t>C</t>
    </r>
    <r>
      <rPr>
        <sz val="11"/>
        <color rgb="FFFF0000"/>
        <rFont val="Arial"/>
        <family val="2"/>
      </rPr>
      <t xml:space="preserve"> </t>
    </r>
  </si>
  <si>
    <r>
      <rPr>
        <i/>
        <sz val="11"/>
        <color theme="1"/>
        <rFont val="Arial"/>
        <family val="2"/>
      </rPr>
      <t>C</t>
    </r>
    <r>
      <rPr>
        <vertAlign val="subscript"/>
        <sz val="11"/>
        <color theme="1"/>
        <rFont val="Arial"/>
        <family val="2"/>
      </rPr>
      <t>M</t>
    </r>
  </si>
  <si>
    <r>
      <rPr>
        <i/>
        <sz val="11"/>
        <color theme="1"/>
        <rFont val="Arial"/>
        <family val="2"/>
      </rPr>
      <t>O</t>
    </r>
    <r>
      <rPr>
        <vertAlign val="subscript"/>
        <sz val="11"/>
        <color theme="1"/>
        <rFont val="Arial"/>
        <family val="2"/>
      </rPr>
      <t>M</t>
    </r>
  </si>
  <si>
    <r>
      <rPr>
        <i/>
        <sz val="11"/>
        <rFont val="Arial"/>
        <family val="2"/>
      </rPr>
      <t>(ATP</t>
    </r>
    <r>
      <rPr>
        <i/>
        <vertAlign val="subscript"/>
        <sz val="11"/>
        <rFont val="Arial"/>
        <family val="2"/>
      </rPr>
      <t>TOT</t>
    </r>
    <r>
      <rPr>
        <sz val="11"/>
        <rFont val="Arial"/>
        <family val="2"/>
      </rPr>
      <t>+</t>
    </r>
    <r>
      <rPr>
        <i/>
        <sz val="11"/>
        <rFont val="Arial"/>
        <family val="2"/>
      </rPr>
      <t>NADPH</t>
    </r>
    <r>
      <rPr>
        <vertAlign val="subscript"/>
        <sz val="11"/>
        <rFont val="Arial"/>
        <family val="2"/>
      </rPr>
      <t>TOT</t>
    </r>
    <r>
      <rPr>
        <i/>
        <sz val="11"/>
        <rFont val="Arial"/>
        <family val="2"/>
      </rPr>
      <t>)/GA</t>
    </r>
  </si>
  <si>
    <t>Total fluxes</t>
  </si>
  <si>
    <r>
      <t>V</t>
    </r>
    <r>
      <rPr>
        <vertAlign val="subscript"/>
        <sz val="11"/>
        <color theme="1"/>
        <rFont val="Arial"/>
        <family val="2"/>
      </rPr>
      <t>C</t>
    </r>
  </si>
  <si>
    <r>
      <rPr>
        <i/>
        <sz val="11"/>
        <color theme="1"/>
        <rFont val="Arial"/>
        <family val="2"/>
      </rPr>
      <t>V</t>
    </r>
    <r>
      <rPr>
        <vertAlign val="subscript"/>
        <sz val="11"/>
        <color theme="1"/>
        <rFont val="Arial"/>
        <family val="2"/>
      </rPr>
      <t>CMAX</t>
    </r>
  </si>
  <si>
    <r>
      <t>C</t>
    </r>
    <r>
      <rPr>
        <vertAlign val="subscript"/>
        <sz val="11"/>
        <color theme="1"/>
        <rFont val="Arial"/>
        <family val="2"/>
      </rPr>
      <t>M</t>
    </r>
  </si>
  <si>
    <r>
      <t>O</t>
    </r>
    <r>
      <rPr>
        <vertAlign val="subscript"/>
        <sz val="11"/>
        <color theme="1"/>
        <rFont val="Arial"/>
        <family val="2"/>
      </rPr>
      <t>M</t>
    </r>
  </si>
  <si>
    <r>
      <rPr>
        <i/>
        <sz val="11"/>
        <color theme="1"/>
        <rFont val="Calibri"/>
        <family val="2"/>
      </rPr>
      <t>f</t>
    </r>
    <r>
      <rPr>
        <i/>
        <vertAlign val="subscript"/>
        <sz val="11"/>
        <color theme="1"/>
        <rFont val="Arial"/>
        <family val="2"/>
      </rPr>
      <t>C</t>
    </r>
  </si>
  <si>
    <t>Data for CBS root</t>
  </si>
  <si>
    <r>
      <rPr>
        <i/>
        <sz val="11"/>
        <color theme="1"/>
        <rFont val="Calibri"/>
        <family val="2"/>
      </rPr>
      <t>f</t>
    </r>
    <r>
      <rPr>
        <i/>
        <vertAlign val="subscript"/>
        <sz val="11"/>
        <color theme="1"/>
        <rFont val="Arial"/>
        <family val="2"/>
      </rPr>
      <t>O</t>
    </r>
  </si>
  <si>
    <t>d</t>
  </si>
  <si>
    <r>
      <rPr>
        <i/>
        <sz val="11"/>
        <color theme="1"/>
        <rFont val="Arial"/>
        <family val="2"/>
      </rPr>
      <t>V</t>
    </r>
    <r>
      <rPr>
        <vertAlign val="subscript"/>
        <sz val="11"/>
        <color theme="1"/>
        <rFont val="Arial"/>
        <family val="2"/>
      </rPr>
      <t>P</t>
    </r>
  </si>
  <si>
    <t>Desired t</t>
  </si>
  <si>
    <t>Rlight</t>
  </si>
  <si>
    <t>Sco vitro</t>
  </si>
  <si>
    <t>Kc vitro</t>
  </si>
  <si>
    <t>Quantity</t>
  </si>
  <si>
    <t xml:space="preserve"> at 25°C</t>
  </si>
  <si>
    <t>Ref</t>
  </si>
  <si>
    <t>at des. T</t>
  </si>
  <si>
    <t>unit</t>
  </si>
  <si>
    <t>E</t>
  </si>
  <si>
    <t>R</t>
  </si>
  <si>
    <t>T</t>
  </si>
  <si>
    <t>S</t>
  </si>
  <si>
    <t>D</t>
  </si>
  <si>
    <t>ref</t>
  </si>
  <si>
    <t>Ko vitro</t>
  </si>
  <si>
    <t>Kp</t>
  </si>
  <si>
    <t>VpMax</t>
  </si>
  <si>
    <t>gBS</t>
  </si>
  <si>
    <t>KH O2</t>
  </si>
  <si>
    <t>kH CO2</t>
  </si>
  <si>
    <t>KC est.</t>
  </si>
  <si>
    <t>KO est.</t>
  </si>
  <si>
    <t>SCO est</t>
  </si>
  <si>
    <t>invented</t>
  </si>
  <si>
    <t>yin 2016</t>
  </si>
  <si>
    <t>SCO</t>
  </si>
  <si>
    <t>mol / mol</t>
  </si>
  <si>
    <t>Perdomo</t>
  </si>
  <si>
    <t>KC</t>
  </si>
  <si>
    <t>μM</t>
  </si>
  <si>
    <t>KO</t>
  </si>
  <si>
    <t>Cousins (triticum)</t>
  </si>
  <si>
    <t>Yin2016</t>
  </si>
  <si>
    <t>VcMAX</t>
  </si>
  <si>
    <t>Von Caemmerer 2000</t>
  </si>
  <si>
    <t>μbar</t>
  </si>
  <si>
    <t>Yin 2016</t>
  </si>
  <si>
    <t>Yin</t>
  </si>
  <si>
    <t>mol m-2 s-1</t>
  </si>
  <si>
    <t>Kh O2</t>
  </si>
  <si>
    <t>Warneck Williams 2012</t>
  </si>
  <si>
    <t>ubar/uM</t>
  </si>
  <si>
    <t>Kh CO2</t>
  </si>
  <si>
    <t>Sander et al 2011</t>
  </si>
  <si>
    <t>ubar</t>
  </si>
  <si>
    <t>ubar/ubar</t>
  </si>
  <si>
    <r>
      <t>r</t>
    </r>
    <r>
      <rPr>
        <vertAlign val="subscript"/>
        <sz val="10"/>
        <color theme="7" tint="-0.499984740745262"/>
        <rFont val="Arial"/>
        <family val="2"/>
      </rPr>
      <t>PEPCK</t>
    </r>
    <r>
      <rPr>
        <i/>
        <sz val="11"/>
        <color theme="1"/>
        <rFont val="Arial"/>
        <family val="2"/>
      </rPr>
      <t/>
    </r>
  </si>
  <si>
    <r>
      <rPr>
        <i/>
        <sz val="11"/>
        <color theme="7" tint="-0.499984740745262"/>
        <rFont val="Arial"/>
        <family val="2"/>
      </rPr>
      <t>f</t>
    </r>
    <r>
      <rPr>
        <i/>
        <vertAlign val="subscript"/>
        <sz val="11"/>
        <color theme="7" tint="-0.499984740745262"/>
        <rFont val="Arial"/>
        <family val="2"/>
      </rPr>
      <t>C</t>
    </r>
    <r>
      <rPr>
        <sz val="11"/>
        <color theme="7" tint="-0.499984740745262"/>
        <rFont val="Arial"/>
        <family val="2"/>
      </rPr>
      <t>(to be fitted)</t>
    </r>
  </si>
  <si>
    <r>
      <t>ξ</t>
    </r>
    <r>
      <rPr>
        <vertAlign val="subscript"/>
        <sz val="11"/>
        <color theme="7" tint="-0.499984740745262"/>
        <rFont val="Calibri"/>
        <family val="2"/>
      </rPr>
      <t>GDC</t>
    </r>
    <r>
      <rPr>
        <sz val="11"/>
        <color theme="7" tint="-0.499984740745262"/>
        <rFont val="Calibri"/>
        <family val="2"/>
      </rPr>
      <t xml:space="preserve"> (to be fitted)</t>
    </r>
  </si>
  <si>
    <r>
      <t>f</t>
    </r>
    <r>
      <rPr>
        <vertAlign val="subscript"/>
        <sz val="11"/>
        <color theme="7" tint="-0.499984740745262"/>
        <rFont val="Arial"/>
        <family val="2"/>
      </rPr>
      <t>RLIGHT</t>
    </r>
    <r>
      <rPr>
        <i/>
        <sz val="11"/>
        <color theme="1"/>
        <rFont val="Arial"/>
        <family val="2"/>
      </rPr>
      <t/>
    </r>
  </si>
  <si>
    <r>
      <t>f</t>
    </r>
    <r>
      <rPr>
        <vertAlign val="subscript"/>
        <sz val="11"/>
        <color theme="7" tint="-0.499984740745262"/>
        <rFont val="Arial"/>
        <family val="2"/>
      </rPr>
      <t>PR</t>
    </r>
  </si>
  <si>
    <r>
      <t>f</t>
    </r>
    <r>
      <rPr>
        <vertAlign val="subscript"/>
        <sz val="11"/>
        <color theme="7" tint="-0.499984740745262"/>
        <rFont val="Arial"/>
        <family val="2"/>
      </rPr>
      <t>CS</t>
    </r>
  </si>
  <si>
    <r>
      <t>f</t>
    </r>
    <r>
      <rPr>
        <vertAlign val="subscript"/>
        <sz val="11"/>
        <color theme="7" tint="-0.499984740745262"/>
        <rFont val="Arial"/>
        <family val="2"/>
      </rPr>
      <t>PPDK</t>
    </r>
  </si>
  <si>
    <r>
      <t>R</t>
    </r>
    <r>
      <rPr>
        <vertAlign val="subscript"/>
        <sz val="11"/>
        <color theme="7" tint="-0.499984740745262"/>
        <rFont val="Arial"/>
        <family val="2"/>
      </rPr>
      <t>LIGHT</t>
    </r>
  </si>
  <si>
    <r>
      <rPr>
        <i/>
        <sz val="11"/>
        <color theme="7" tint="-0.499984740745262"/>
        <rFont val="Arial"/>
        <family val="2"/>
      </rPr>
      <t>S</t>
    </r>
    <r>
      <rPr>
        <vertAlign val="subscript"/>
        <sz val="11"/>
        <color theme="7" tint="-0.499984740745262"/>
        <rFont val="Arial"/>
        <family val="2"/>
      </rPr>
      <t>C/O</t>
    </r>
  </si>
  <si>
    <r>
      <rPr>
        <b/>
        <i/>
        <sz val="11"/>
        <color theme="7" tint="-0.499984740745262"/>
        <rFont val="Arial"/>
        <family val="2"/>
      </rPr>
      <t>g</t>
    </r>
    <r>
      <rPr>
        <b/>
        <vertAlign val="subscript"/>
        <sz val="11"/>
        <color theme="7" tint="-0.499984740745262"/>
        <rFont val="Arial"/>
        <family val="2"/>
      </rPr>
      <t>BS</t>
    </r>
  </si>
  <si>
    <r>
      <t>K</t>
    </r>
    <r>
      <rPr>
        <vertAlign val="subscript"/>
        <sz val="11"/>
        <color theme="7" tint="-0.499984740745262"/>
        <rFont val="Arial"/>
        <family val="2"/>
      </rPr>
      <t>C</t>
    </r>
  </si>
  <si>
    <r>
      <t>K</t>
    </r>
    <r>
      <rPr>
        <vertAlign val="subscript"/>
        <sz val="11"/>
        <color theme="7" tint="-0.499984740745262"/>
        <rFont val="Arial"/>
        <family val="2"/>
      </rPr>
      <t>O</t>
    </r>
  </si>
  <si>
    <r>
      <rPr>
        <i/>
        <sz val="11"/>
        <color theme="7" tint="-0.499984740745262"/>
        <rFont val="Arial"/>
        <family val="2"/>
      </rPr>
      <t>V</t>
    </r>
    <r>
      <rPr>
        <vertAlign val="subscript"/>
        <sz val="11"/>
        <color theme="7" tint="-0.499984740745262"/>
        <rFont val="Arial"/>
        <family val="2"/>
      </rPr>
      <t>CMAX</t>
    </r>
  </si>
  <si>
    <r>
      <t>J</t>
    </r>
    <r>
      <rPr>
        <vertAlign val="subscript"/>
        <sz val="11"/>
        <color theme="7" tint="-0.499984740745262"/>
        <rFont val="Arial"/>
        <family val="2"/>
      </rPr>
      <t>ATP</t>
    </r>
  </si>
  <si>
    <t>μmol m-2 s-1</t>
  </si>
  <si>
    <r>
      <rPr>
        <i/>
        <sz val="11"/>
        <color theme="7" tint="-0.499984740745262"/>
        <rFont val="Arial"/>
        <family val="2"/>
      </rPr>
      <t>K</t>
    </r>
    <r>
      <rPr>
        <vertAlign val="subscript"/>
        <sz val="11"/>
        <color theme="7" tint="-0.499984740745262"/>
        <rFont val="Arial"/>
        <family val="2"/>
      </rPr>
      <t>P</t>
    </r>
  </si>
  <si>
    <r>
      <rPr>
        <i/>
        <sz val="11"/>
        <color theme="7" tint="-0.499984740745262"/>
        <rFont val="Arial"/>
        <family val="2"/>
      </rPr>
      <t>V</t>
    </r>
    <r>
      <rPr>
        <vertAlign val="subscript"/>
        <sz val="11"/>
        <color theme="7" tint="-0.499984740745262"/>
        <rFont val="Arial"/>
        <family val="2"/>
      </rPr>
      <t>PMAX</t>
    </r>
  </si>
  <si>
    <r>
      <rPr>
        <sz val="11"/>
        <color theme="7" tint="-0.499984740745262"/>
        <rFont val="Calibri"/>
        <family val="2"/>
      </rPr>
      <t>χ</t>
    </r>
    <r>
      <rPr>
        <vertAlign val="subscript"/>
        <sz val="11"/>
        <color theme="7" tint="-0.499984740745262"/>
        <rFont val="Arial"/>
        <family val="2"/>
      </rPr>
      <t>Rubisco</t>
    </r>
  </si>
  <si>
    <r>
      <t>O</t>
    </r>
    <r>
      <rPr>
        <vertAlign val="subscript"/>
        <sz val="11"/>
        <color theme="7" tint="-0.499984740745262"/>
        <rFont val="Arial"/>
        <family val="2"/>
      </rPr>
      <t>M</t>
    </r>
  </si>
  <si>
    <r>
      <rPr>
        <i/>
        <sz val="11"/>
        <color theme="7" tint="-0.499984740745262"/>
        <rFont val="Arial"/>
        <family val="2"/>
      </rPr>
      <t>O</t>
    </r>
    <r>
      <rPr>
        <vertAlign val="subscript"/>
        <sz val="11"/>
        <color theme="7" tint="-0.499984740745262"/>
        <rFont val="Arial"/>
        <family val="2"/>
      </rPr>
      <t>M</t>
    </r>
  </si>
  <si>
    <r>
      <rPr>
        <i/>
        <sz val="11"/>
        <color theme="7" tint="-0.499984740745262"/>
        <rFont val="Arial"/>
        <family val="2"/>
      </rPr>
      <t>V</t>
    </r>
    <r>
      <rPr>
        <vertAlign val="subscript"/>
        <sz val="11"/>
        <color theme="7" tint="-0.499984740745262"/>
        <rFont val="Arial"/>
        <family val="2"/>
      </rPr>
      <t>P</t>
    </r>
    <r>
      <rPr>
        <sz val="11"/>
        <color theme="7" tint="-0.499984740745262"/>
        <rFont val="Arial"/>
        <family val="2"/>
      </rPr>
      <t xml:space="preserve"> (to be fitted)</t>
    </r>
  </si>
  <si>
    <t>Jsat</t>
  </si>
  <si>
    <t>Bernacchi 2003</t>
  </si>
  <si>
    <t>Iinc</t>
  </si>
  <si>
    <t>fCyc</t>
  </si>
  <si>
    <t>I2</t>
  </si>
  <si>
    <t>I1</t>
  </si>
  <si>
    <t>Itot</t>
  </si>
  <si>
    <t>J2</t>
  </si>
  <si>
    <t>J1</t>
  </si>
  <si>
    <t>JATP</t>
  </si>
  <si>
    <t>JNADPH</t>
  </si>
  <si>
    <t>dATP</t>
  </si>
  <si>
    <t>dNADPH</t>
  </si>
  <si>
    <t>dATP/NADPH</t>
  </si>
  <si>
    <t>Phi2LL</t>
  </si>
  <si>
    <t>s</t>
  </si>
  <si>
    <t>Jsat (TL)</t>
  </si>
  <si>
    <t>Theta</t>
  </si>
  <si>
    <t>fPSEUDO</t>
  </si>
  <si>
    <t>Fq</t>
  </si>
  <si>
    <t>Phi1LL</t>
  </si>
  <si>
    <t>fNDH</t>
  </si>
  <si>
    <t>Y(J)LL</t>
  </si>
  <si>
    <t>JMOD</t>
  </si>
  <si>
    <t>phy2</t>
  </si>
  <si>
    <t>I20</t>
  </si>
  <si>
    <t>J20</t>
  </si>
  <si>
    <t>I10</t>
  </si>
  <si>
    <t>NADPH demand Enzyme</t>
  </si>
  <si>
    <t>ATP demand Enzyme</t>
  </si>
  <si>
    <t>NADPH demand Light</t>
  </si>
  <si>
    <t>Limitation</t>
  </si>
  <si>
    <r>
      <t>V</t>
    </r>
    <r>
      <rPr>
        <vertAlign val="subscript"/>
        <sz val="11"/>
        <color theme="1"/>
        <rFont val="Arial"/>
        <family val="2"/>
      </rPr>
      <t>C</t>
    </r>
    <r>
      <rPr>
        <sz val="11"/>
        <color theme="1"/>
        <rFont val="Arial"/>
        <family val="2"/>
      </rPr>
      <t xml:space="preserve"> </t>
    </r>
  </si>
  <si>
    <r>
      <rPr>
        <i/>
        <sz val="11"/>
        <color theme="7" tint="-0.499984740745262"/>
        <rFont val="Arial"/>
        <family val="2"/>
      </rPr>
      <t>C</t>
    </r>
    <r>
      <rPr>
        <vertAlign val="subscript"/>
        <sz val="11"/>
        <color theme="7" tint="-0.499984740745262"/>
        <rFont val="Arial"/>
        <family val="2"/>
      </rPr>
      <t>M</t>
    </r>
  </si>
  <si>
    <t>Fitness function</t>
  </si>
  <si>
    <t>ATP demand light</t>
  </si>
  <si>
    <t>Vp Enzyme</t>
  </si>
  <si>
    <t>Vc Enzyme</t>
  </si>
  <si>
    <t>Vp Light</t>
  </si>
  <si>
    <t>Vc light</t>
  </si>
  <si>
    <t>Data for Vobs root ATP lim</t>
  </si>
  <si>
    <t>Data for Vcbs root NADPH lim</t>
  </si>
  <si>
    <r>
      <t>J</t>
    </r>
    <r>
      <rPr>
        <vertAlign val="subscript"/>
        <sz val="11"/>
        <color theme="7" tint="-0.499984740745262"/>
        <rFont val="Arial"/>
        <family val="2"/>
      </rPr>
      <t>NADPH</t>
    </r>
  </si>
  <si>
    <t>VCbs</t>
  </si>
  <si>
    <t>Vobs</t>
  </si>
  <si>
    <t>Cbs</t>
  </si>
  <si>
    <t>Obs</t>
  </si>
  <si>
    <t>r</t>
  </si>
  <si>
    <t>p''</t>
  </si>
  <si>
    <t>q'</t>
  </si>
  <si>
    <t>w</t>
  </si>
  <si>
    <t>f</t>
  </si>
  <si>
    <t>VcMAXmin (t)</t>
  </si>
  <si>
    <t>VpMaxmin (t)</t>
  </si>
  <si>
    <t>VcMAXmin (25°)</t>
  </si>
  <si>
    <t>VpMaxmin (25°)</t>
  </si>
  <si>
    <t>N level</t>
  </si>
  <si>
    <t>mmmol/m2</t>
  </si>
  <si>
    <t>g/m2</t>
  </si>
  <si>
    <t>rBS</t>
  </si>
  <si>
    <t>m2s/mol</t>
  </si>
  <si>
    <t>gBS(N)</t>
  </si>
  <si>
    <t>Vo</t>
  </si>
  <si>
    <t>VC</t>
  </si>
  <si>
    <t>Vp</t>
  </si>
  <si>
    <t>X</t>
  </si>
  <si>
    <t>column</t>
  </si>
  <si>
    <t>fcyc</t>
  </si>
  <si>
    <t>jatp</t>
  </si>
  <si>
    <t>jnadph</t>
  </si>
  <si>
    <t>Nmax</t>
  </si>
  <si>
    <t>Phi10</t>
  </si>
  <si>
    <t>gM (C3)</t>
  </si>
  <si>
    <t>Egea et at al 2011 pce</t>
  </si>
  <si>
    <t>gM (C4)</t>
  </si>
  <si>
    <t xml:space="preserve">Invented </t>
  </si>
  <si>
    <t>mol m-2 s-2</t>
  </si>
  <si>
    <t>datp/dI</t>
  </si>
  <si>
    <t>Icyc</t>
  </si>
  <si>
    <t>ATP/I</t>
  </si>
  <si>
    <t>PPFD</t>
  </si>
  <si>
    <t>Vo/Vc</t>
  </si>
  <si>
    <t>Ci</t>
  </si>
  <si>
    <t>Stomatal model</t>
  </si>
  <si>
    <t>χ</t>
  </si>
  <si>
    <t>Conv VPD</t>
  </si>
  <si>
    <t>at</t>
  </si>
  <si>
    <t>gs0</t>
  </si>
  <si>
    <t>p</t>
  </si>
  <si>
    <t>Ysoil0</t>
  </si>
  <si>
    <t>Rp</t>
  </si>
  <si>
    <t>Ysoil</t>
  </si>
  <si>
    <t>Et</t>
  </si>
  <si>
    <t>VPD0</t>
  </si>
  <si>
    <t>Ds0</t>
  </si>
  <si>
    <t>Kplant</t>
  </si>
  <si>
    <t>R (1/Kplant)</t>
  </si>
  <si>
    <t>β</t>
  </si>
  <si>
    <t>t0</t>
  </si>
  <si>
    <t>πe</t>
  </si>
  <si>
    <t>gS0 (check)</t>
  </si>
  <si>
    <t>tC</t>
  </si>
  <si>
    <t>tJ</t>
  </si>
  <si>
    <t>gS Mod</t>
  </si>
  <si>
    <t>DS(10*VPD)</t>
  </si>
  <si>
    <t>Vcc</t>
  </si>
  <si>
    <t>Vcj</t>
  </si>
  <si>
    <t>.</t>
  </si>
  <si>
    <t>Ca</t>
  </si>
  <si>
    <t>Cm mod</t>
  </si>
  <si>
    <t>gsmod</t>
  </si>
  <si>
    <t>GMt</t>
  </si>
  <si>
    <t>gas exchange</t>
  </si>
  <si>
    <t>CM</t>
  </si>
  <si>
    <t>Type</t>
  </si>
  <si>
    <t>C3</t>
  </si>
  <si>
    <t>C4</t>
  </si>
  <si>
    <t>Vpmax</t>
  </si>
  <si>
    <t>VP</t>
  </si>
  <si>
    <t>csiGDC</t>
  </si>
  <si>
    <t>fRlight</t>
  </si>
  <si>
    <t>C2</t>
  </si>
  <si>
    <t>Row Labels</t>
  </si>
  <si>
    <t>Grand Total</t>
  </si>
  <si>
    <r>
      <t>θ</t>
    </r>
    <r>
      <rPr>
        <b/>
        <vertAlign val="subscript"/>
        <sz val="11"/>
        <color rgb="FF000000"/>
        <rFont val="Arial"/>
        <family val="2"/>
      </rPr>
      <t>A</t>
    </r>
  </si>
  <si>
    <t>j</t>
  </si>
  <si>
    <t>VCM</t>
  </si>
  <si>
    <t>VCBS</t>
  </si>
  <si>
    <t>Data for Cbs root</t>
  </si>
  <si>
    <t>smooth</t>
  </si>
  <si>
    <t>Check CBS</t>
  </si>
  <si>
    <r>
      <rPr>
        <i/>
        <sz val="11"/>
        <color theme="1"/>
        <rFont val="Arial"/>
        <family val="2"/>
      </rPr>
      <t>V</t>
    </r>
    <r>
      <rPr>
        <vertAlign val="subscript"/>
        <sz val="11"/>
        <color theme="1"/>
        <rFont val="Arial"/>
        <family val="2"/>
      </rPr>
      <t>P</t>
    </r>
    <r>
      <rPr>
        <sz val="11"/>
        <color rgb="FFFF0000"/>
        <rFont val="Arial"/>
        <family val="2"/>
      </rPr>
      <t xml:space="preserve"> </t>
    </r>
  </si>
  <si>
    <r>
      <rPr>
        <i/>
        <sz val="11"/>
        <color theme="7" tint="-0.499984740745262"/>
        <rFont val="Arial"/>
        <family val="2"/>
      </rPr>
      <t>f</t>
    </r>
    <r>
      <rPr>
        <i/>
        <vertAlign val="subscript"/>
        <sz val="11"/>
        <color theme="7" tint="-0.499984740745262"/>
        <rFont val="Arial"/>
        <family val="2"/>
      </rPr>
      <t>C</t>
    </r>
  </si>
  <si>
    <r>
      <t>ξ</t>
    </r>
    <r>
      <rPr>
        <vertAlign val="subscript"/>
        <sz val="11"/>
        <color theme="7" tint="-0.499984740745262"/>
        <rFont val="Calibri"/>
        <family val="2"/>
      </rPr>
      <t>GDC</t>
    </r>
    <r>
      <rPr>
        <sz val="11"/>
        <color theme="7" tint="-0.499984740745262"/>
        <rFont val="Calibri"/>
        <family val="2"/>
      </rPr>
      <t xml:space="preserve"> </t>
    </r>
  </si>
  <si>
    <r>
      <rPr>
        <i/>
        <sz val="11"/>
        <color theme="1"/>
        <rFont val="Arial"/>
        <family val="2"/>
      </rPr>
      <t>V</t>
    </r>
    <r>
      <rPr>
        <vertAlign val="subscript"/>
        <sz val="11"/>
        <color theme="1"/>
        <rFont val="Arial"/>
        <family val="2"/>
      </rPr>
      <t>CMAX</t>
    </r>
    <r>
      <rPr>
        <sz val="11"/>
        <color theme="1"/>
        <rFont val="Arial"/>
        <family val="2"/>
      </rPr>
      <t xml:space="preserve"> (min)</t>
    </r>
  </si>
  <si>
    <r>
      <t>V</t>
    </r>
    <r>
      <rPr>
        <vertAlign val="subscript"/>
        <sz val="11"/>
        <color theme="1"/>
        <rFont val="Arial"/>
        <family val="2"/>
      </rPr>
      <t xml:space="preserve">CMAX </t>
    </r>
    <r>
      <rPr>
        <sz val="11"/>
        <color theme="1"/>
        <rFont val="Arial"/>
        <family val="2"/>
      </rPr>
      <t>(min)</t>
    </r>
  </si>
  <si>
    <r>
      <rPr>
        <sz val="11"/>
        <color theme="1"/>
        <rFont val="Calibri"/>
        <family val="2"/>
      </rPr>
      <t>χ</t>
    </r>
    <r>
      <rPr>
        <sz val="11"/>
        <color theme="1"/>
        <rFont val="Calibri"/>
        <family val="2"/>
        <scheme val="minor"/>
      </rPr>
      <t>Rubisco</t>
    </r>
  </si>
  <si>
    <r>
      <t>V</t>
    </r>
    <r>
      <rPr>
        <vertAlign val="subscript"/>
        <sz val="11"/>
        <rFont val="Arial"/>
        <family val="2"/>
      </rPr>
      <t>CMAX</t>
    </r>
    <r>
      <rPr>
        <sz val="11"/>
        <rFont val="Arial"/>
        <family val="2"/>
      </rPr>
      <t>min</t>
    </r>
  </si>
  <si>
    <t>C2+0.25C4</t>
  </si>
  <si>
    <t>C2+0.5C4</t>
  </si>
  <si>
    <t>C2+0.75C4</t>
  </si>
  <si>
    <t>chi rubisco</t>
  </si>
  <si>
    <r>
      <t>ξ</t>
    </r>
    <r>
      <rPr>
        <vertAlign val="subscript"/>
        <sz val="11"/>
        <color theme="7" tint="-0.499984740745262"/>
        <rFont val="Calibri"/>
        <family val="2"/>
      </rPr>
      <t>GDC</t>
    </r>
  </si>
  <si>
    <r>
      <t>ξ</t>
    </r>
    <r>
      <rPr>
        <vertAlign val="subscript"/>
        <sz val="11"/>
        <color theme="1"/>
        <rFont val="Calibri"/>
        <family val="2"/>
      </rPr>
      <t>GDC</t>
    </r>
  </si>
  <si>
    <t>VcmaxminM (light lim)</t>
  </si>
  <si>
    <t>VcmaxMinBS (light lim)</t>
  </si>
  <si>
    <t>Vp max 25° Enzyme</t>
  </si>
  <si>
    <t>Vc max 25 ° Enzyme</t>
  </si>
  <si>
    <t>michaelis constant for N uptake, the Cr at which Nmax is half saturated.</t>
  </si>
  <si>
    <t>umol N m-2 leaf s-1</t>
  </si>
  <si>
    <t>NL</t>
  </si>
  <si>
    <t>umol N m-2 leaf</t>
  </si>
  <si>
    <t>N uptake</t>
  </si>
  <si>
    <t>Ndemand</t>
  </si>
  <si>
    <t>In analogy with Hikosaka 1995 using data from Makino 2003</t>
  </si>
  <si>
    <t>Root respiration rate per unit carbon</t>
  </si>
  <si>
    <t>Jia tree phys 2003   https://doi.org/10.1093/treephys/tpt040</t>
  </si>
  <si>
    <t>Vcmax</t>
  </si>
  <si>
    <t>Vcmax (25°C)</t>
  </si>
  <si>
    <t>Jsat  (25°C)</t>
  </si>
  <si>
    <t>CR</t>
  </si>
  <si>
    <t>N tot leaf</t>
  </si>
  <si>
    <t>JSAT</t>
  </si>
  <si>
    <t>Cm max fit bound</t>
  </si>
  <si>
    <r>
      <t>mmol m</t>
    </r>
    <r>
      <rPr>
        <vertAlign val="superscript"/>
        <sz val="11"/>
        <color theme="1"/>
        <rFont val="Arial"/>
        <family val="2"/>
      </rPr>
      <t>-2</t>
    </r>
  </si>
  <si>
    <t>Maximum N available in the soil, per metre square of leaf</t>
  </si>
  <si>
    <t>Carbon per metre square of leaf, calculated as a leaf of dry mass per area of 60 g/m2  having a C content of 40% Poorter 1990 Plant Phys</t>
  </si>
  <si>
    <t>Calculated from an average C/N of 20 Latshaw 1924 J Agriculture res.</t>
  </si>
  <si>
    <t>assumed</t>
  </si>
  <si>
    <t>Maximum leaf N per unit area calculated from the maximum uptake</t>
  </si>
  <si>
    <t>Carbon in the root corresponding to the max uptake and the max leaf N</t>
  </si>
  <si>
    <r>
      <t>N for  C</t>
    </r>
    <r>
      <rPr>
        <vertAlign val="subscript"/>
        <sz val="11"/>
        <color theme="1"/>
        <rFont val="Arial"/>
        <family val="2"/>
      </rPr>
      <t>3</t>
    </r>
  </si>
  <si>
    <r>
      <t>N for C</t>
    </r>
    <r>
      <rPr>
        <vertAlign val="subscript"/>
        <sz val="11"/>
        <color theme="1"/>
        <rFont val="Arial"/>
        <family val="2"/>
      </rPr>
      <t>4</t>
    </r>
  </si>
  <si>
    <r>
      <t xml:space="preserve">N for  </t>
    </r>
    <r>
      <rPr>
        <i/>
        <sz val="11"/>
        <color theme="1"/>
        <rFont val="Arial"/>
        <family val="2"/>
      </rPr>
      <t>J</t>
    </r>
  </si>
  <si>
    <t>NL tot</t>
  </si>
  <si>
    <r>
      <t>N</t>
    </r>
    <r>
      <rPr>
        <vertAlign val="subscript"/>
        <sz val="11"/>
        <color theme="1"/>
        <rFont val="Arial"/>
        <family val="2"/>
      </rPr>
      <t>MAX</t>
    </r>
  </si>
  <si>
    <r>
      <rPr>
        <i/>
        <sz val="11"/>
        <color theme="1"/>
        <rFont val="Arial"/>
        <family val="2"/>
      </rPr>
      <t>K</t>
    </r>
    <r>
      <rPr>
        <vertAlign val="subscript"/>
        <sz val="11"/>
        <color theme="1"/>
        <rFont val="Arial"/>
        <family val="2"/>
      </rPr>
      <t>R</t>
    </r>
  </si>
  <si>
    <r>
      <rPr>
        <i/>
        <sz val="11"/>
        <color theme="1"/>
        <rFont val="Arial"/>
        <family val="2"/>
      </rPr>
      <t>C</t>
    </r>
    <r>
      <rPr>
        <vertAlign val="subscript"/>
        <sz val="11"/>
        <color theme="1"/>
        <rFont val="Arial"/>
        <family val="2"/>
      </rPr>
      <t>L</t>
    </r>
  </si>
  <si>
    <r>
      <rPr>
        <i/>
        <sz val="11"/>
        <color theme="1"/>
        <rFont val="Arial"/>
        <family val="2"/>
      </rPr>
      <t>t</t>
    </r>
    <r>
      <rPr>
        <vertAlign val="subscript"/>
        <sz val="11"/>
        <color theme="1"/>
        <rFont val="Arial"/>
        <family val="2"/>
      </rPr>
      <t>L</t>
    </r>
  </si>
  <si>
    <r>
      <rPr>
        <i/>
        <sz val="11"/>
        <color theme="1"/>
        <rFont val="Arial"/>
        <family val="2"/>
      </rPr>
      <t>t</t>
    </r>
    <r>
      <rPr>
        <vertAlign val="subscript"/>
        <sz val="11"/>
        <color theme="1"/>
        <rFont val="Arial"/>
        <family val="2"/>
      </rPr>
      <t>R</t>
    </r>
  </si>
  <si>
    <r>
      <rPr>
        <i/>
        <sz val="11"/>
        <color theme="1"/>
        <rFont val="Arial"/>
        <family val="2"/>
      </rPr>
      <t>R</t>
    </r>
    <r>
      <rPr>
        <vertAlign val="subscript"/>
        <sz val="11"/>
        <color theme="1"/>
        <rFont val="Arial"/>
        <family val="2"/>
      </rPr>
      <t>R</t>
    </r>
  </si>
  <si>
    <r>
      <rPr>
        <i/>
        <sz val="11"/>
        <color theme="1"/>
        <rFont val="Arial"/>
        <family val="2"/>
      </rPr>
      <t>C</t>
    </r>
    <r>
      <rPr>
        <vertAlign val="subscript"/>
        <sz val="11"/>
        <color theme="1"/>
        <rFont val="Arial"/>
        <family val="2"/>
      </rPr>
      <t>R</t>
    </r>
  </si>
  <si>
    <r>
      <rPr>
        <i/>
        <sz val="11"/>
        <color theme="1"/>
        <rFont val="Arial"/>
        <family val="2"/>
      </rPr>
      <t>N</t>
    </r>
    <r>
      <rPr>
        <vertAlign val="subscript"/>
        <sz val="11"/>
        <color theme="1"/>
        <rFont val="Arial"/>
        <family val="2"/>
      </rPr>
      <t>LMAX</t>
    </r>
  </si>
  <si>
    <r>
      <rPr>
        <i/>
        <sz val="11"/>
        <color theme="1"/>
        <rFont val="Arial"/>
        <family val="2"/>
      </rPr>
      <t>C</t>
    </r>
    <r>
      <rPr>
        <vertAlign val="subscript"/>
        <sz val="11"/>
        <color theme="1"/>
        <rFont val="Arial"/>
        <family val="2"/>
      </rPr>
      <t>R</t>
    </r>
    <r>
      <rPr>
        <sz val="11"/>
        <color theme="1"/>
        <rFont val="Arial"/>
        <family val="2"/>
      </rPr>
      <t xml:space="preserve"> of </t>
    </r>
    <r>
      <rPr>
        <i/>
        <sz val="11"/>
        <color theme="1"/>
        <rFont val="Arial"/>
        <family val="2"/>
      </rPr>
      <t>N</t>
    </r>
    <r>
      <rPr>
        <vertAlign val="subscript"/>
        <sz val="11"/>
        <color theme="1"/>
        <rFont val="Arial"/>
        <family val="2"/>
      </rPr>
      <t>LMAX</t>
    </r>
  </si>
  <si>
    <r>
      <rPr>
        <sz val="11"/>
        <color theme="1"/>
        <rFont val="Calibri"/>
        <family val="2"/>
      </rPr>
      <t>µ</t>
    </r>
    <r>
      <rPr>
        <sz val="11"/>
        <color theme="1"/>
        <rFont val="Arial"/>
        <family val="2"/>
      </rPr>
      <t>mol C root m-2 leaf</t>
    </r>
  </si>
  <si>
    <r>
      <rPr>
        <sz val="11"/>
        <color theme="1"/>
        <rFont val="Calibri"/>
        <family val="2"/>
      </rPr>
      <t>µ</t>
    </r>
    <r>
      <rPr>
        <sz val="11"/>
        <color theme="1"/>
        <rFont val="Arial"/>
        <family val="2"/>
      </rPr>
      <t>mol N m</t>
    </r>
    <r>
      <rPr>
        <vertAlign val="superscript"/>
        <sz val="11"/>
        <color theme="1"/>
        <rFont val="Arial"/>
        <family val="2"/>
      </rPr>
      <t>-2</t>
    </r>
    <r>
      <rPr>
        <sz val="11"/>
        <color theme="1"/>
        <rFont val="Arial"/>
        <family val="2"/>
      </rPr>
      <t xml:space="preserve"> leaf s</t>
    </r>
    <r>
      <rPr>
        <vertAlign val="superscript"/>
        <sz val="11"/>
        <color theme="1"/>
        <rFont val="Arial"/>
        <family val="2"/>
      </rPr>
      <t>-1</t>
    </r>
  </si>
  <si>
    <r>
      <rPr>
        <sz val="11"/>
        <color theme="1"/>
        <rFont val="Calibri"/>
        <family val="2"/>
      </rPr>
      <t>µ</t>
    </r>
    <r>
      <rPr>
        <sz val="11"/>
        <color theme="1"/>
        <rFont val="Arial"/>
        <family val="2"/>
      </rPr>
      <t>mol C leaf m</t>
    </r>
    <r>
      <rPr>
        <vertAlign val="superscript"/>
        <sz val="11"/>
        <color theme="1"/>
        <rFont val="Arial"/>
        <family val="2"/>
      </rPr>
      <t>-2</t>
    </r>
    <r>
      <rPr>
        <sz val="11"/>
        <color theme="1"/>
        <rFont val="Arial"/>
        <family val="2"/>
      </rPr>
      <t xml:space="preserve"> leaf</t>
    </r>
  </si>
  <si>
    <r>
      <rPr>
        <sz val="11"/>
        <color theme="1"/>
        <rFont val="Calibri"/>
        <family val="2"/>
      </rPr>
      <t>µ</t>
    </r>
    <r>
      <rPr>
        <sz val="11"/>
        <color theme="1"/>
        <rFont val="Arial"/>
        <family val="2"/>
      </rPr>
      <t>mol C u mol C</t>
    </r>
    <r>
      <rPr>
        <vertAlign val="superscript"/>
        <sz val="11"/>
        <color theme="1"/>
        <rFont val="Arial"/>
        <family val="2"/>
      </rPr>
      <t>-1</t>
    </r>
    <r>
      <rPr>
        <sz val="11"/>
        <color theme="1"/>
        <rFont val="Arial"/>
        <family val="2"/>
      </rPr>
      <t xml:space="preserve"> s</t>
    </r>
    <r>
      <rPr>
        <vertAlign val="superscript"/>
        <sz val="11"/>
        <color theme="1"/>
        <rFont val="Arial"/>
        <family val="2"/>
      </rPr>
      <t>-1</t>
    </r>
  </si>
  <si>
    <r>
      <t>µmol C root m</t>
    </r>
    <r>
      <rPr>
        <vertAlign val="superscript"/>
        <sz val="11"/>
        <color theme="1"/>
        <rFont val="Arial"/>
        <family val="2"/>
      </rPr>
      <t>-2</t>
    </r>
    <r>
      <rPr>
        <sz val="11"/>
        <color theme="1"/>
        <rFont val="Arial"/>
        <family val="2"/>
      </rPr>
      <t xml:space="preserve"> leaf</t>
    </r>
  </si>
  <si>
    <r>
      <t>µmol N m</t>
    </r>
    <r>
      <rPr>
        <vertAlign val="superscript"/>
        <sz val="11"/>
        <color theme="1"/>
        <rFont val="Arial"/>
        <family val="2"/>
      </rPr>
      <t>-2</t>
    </r>
    <r>
      <rPr>
        <sz val="11"/>
        <color theme="1"/>
        <rFont val="Arial"/>
        <family val="2"/>
      </rPr>
      <t xml:space="preserve"> leaf s</t>
    </r>
    <r>
      <rPr>
        <vertAlign val="superscript"/>
        <sz val="11"/>
        <color theme="1"/>
        <rFont val="Arial"/>
        <family val="2"/>
      </rPr>
      <t>-1</t>
    </r>
  </si>
  <si>
    <r>
      <t>µmol N m</t>
    </r>
    <r>
      <rPr>
        <vertAlign val="superscript"/>
        <sz val="11"/>
        <color theme="1"/>
        <rFont val="Arial"/>
        <family val="2"/>
      </rPr>
      <t>-2</t>
    </r>
    <r>
      <rPr>
        <sz val="11"/>
        <color theme="1"/>
        <rFont val="Arial"/>
        <family val="2"/>
      </rPr>
      <t xml:space="preserve"> leaf</t>
    </r>
  </si>
  <si>
    <r>
      <t>µmol m</t>
    </r>
    <r>
      <rPr>
        <vertAlign val="superscript"/>
        <sz val="11"/>
        <color theme="1"/>
        <rFont val="Arial"/>
        <family val="2"/>
      </rPr>
      <t>-2</t>
    </r>
    <r>
      <rPr>
        <sz val="11"/>
        <color theme="1"/>
        <rFont val="Arial"/>
        <family val="2"/>
      </rPr>
      <t xml:space="preserve"> s</t>
    </r>
    <r>
      <rPr>
        <vertAlign val="superscript"/>
        <sz val="11"/>
        <color theme="1"/>
        <rFont val="Arial"/>
        <family val="2"/>
      </rPr>
      <t>-1</t>
    </r>
  </si>
  <si>
    <r>
      <t>mol N root  mol</t>
    </r>
    <r>
      <rPr>
        <vertAlign val="superscript"/>
        <sz val="11"/>
        <color theme="1"/>
        <rFont val="Arial"/>
        <family val="2"/>
      </rPr>
      <t>-1</t>
    </r>
    <r>
      <rPr>
        <sz val="11"/>
        <color theme="1"/>
        <rFont val="Arial"/>
        <family val="2"/>
      </rPr>
      <t xml:space="preserve"> C root</t>
    </r>
  </si>
  <si>
    <t>ψ Soil</t>
  </si>
  <si>
    <t>Chi_Rubiscoc</t>
  </si>
  <si>
    <t>C3+0.25C4</t>
  </si>
  <si>
    <t>C4-C2</t>
  </si>
  <si>
    <t>C3+0.5C4</t>
  </si>
  <si>
    <t>C3+0.75C4</t>
  </si>
  <si>
    <t>Plot</t>
  </si>
  <si>
    <t>A/PPFD</t>
  </si>
  <si>
    <t>A/Ca</t>
  </si>
  <si>
    <t>A/N</t>
  </si>
  <si>
    <t>A/Psisoil</t>
  </si>
  <si>
    <t>Column Labels</t>
  </si>
  <si>
    <t>fN</t>
  </si>
  <si>
    <t>m</t>
  </si>
  <si>
    <r>
      <rPr>
        <sz val="11"/>
        <color theme="1"/>
        <rFont val="Calibri"/>
        <family val="2"/>
      </rPr>
      <t>Γ</t>
    </r>
    <r>
      <rPr>
        <sz val="11"/>
        <color theme="1"/>
        <rFont val="Arial"/>
        <family val="2"/>
      </rPr>
      <t>R</t>
    </r>
  </si>
  <si>
    <r>
      <rPr>
        <sz val="11"/>
        <color theme="1"/>
        <rFont val="Calibri"/>
        <family val="2"/>
      </rPr>
      <t>γ</t>
    </r>
    <r>
      <rPr>
        <sz val="11"/>
        <color theme="1"/>
        <rFont val="Arial"/>
        <family val="2"/>
      </rPr>
      <t>R</t>
    </r>
  </si>
  <si>
    <t>fraction of readsorbed N upon senescence</t>
  </si>
  <si>
    <t>Ks</t>
  </si>
  <si>
    <t>Scd</t>
  </si>
  <si>
    <t>s-1</t>
  </si>
  <si>
    <t>senescence turnover constant</t>
  </si>
  <si>
    <t>senescence scaling factor</t>
  </si>
  <si>
    <r>
      <rPr>
        <i/>
        <sz val="11"/>
        <color theme="1"/>
        <rFont val="Arial"/>
        <family val="2"/>
      </rPr>
      <t>f N</t>
    </r>
    <r>
      <rPr>
        <vertAlign val="subscript"/>
        <sz val="11"/>
        <color theme="1"/>
        <rFont val="Arial"/>
        <family val="2"/>
      </rPr>
      <t>R</t>
    </r>
    <r>
      <rPr>
        <sz val="11"/>
        <color theme="1"/>
        <rFont val="Arial"/>
        <family val="2"/>
      </rPr>
      <t>/</t>
    </r>
    <r>
      <rPr>
        <i/>
        <sz val="11"/>
        <color theme="1"/>
        <rFont val="Arial"/>
        <family val="2"/>
      </rPr>
      <t>C</t>
    </r>
    <r>
      <rPr>
        <vertAlign val="subscript"/>
        <sz val="11"/>
        <color theme="1"/>
        <rFont val="Arial"/>
        <family val="2"/>
      </rPr>
      <t>R</t>
    </r>
  </si>
  <si>
    <t>gR</t>
  </si>
  <si>
    <t>Nr</t>
  </si>
  <si>
    <t>fNR/Cr scaled for N starvation</t>
  </si>
  <si>
    <r>
      <t>µmol N root m</t>
    </r>
    <r>
      <rPr>
        <vertAlign val="superscript"/>
        <sz val="11"/>
        <color theme="1"/>
        <rFont val="Arial"/>
        <family val="2"/>
      </rPr>
      <t>-2</t>
    </r>
    <r>
      <rPr>
        <sz val="11"/>
        <color theme="1"/>
        <rFont val="Arial"/>
        <family val="2"/>
      </rPr>
      <t xml:space="preserve"> leaf</t>
    </r>
  </si>
  <si>
    <t>Ga</t>
  </si>
  <si>
    <t>check</t>
  </si>
  <si>
    <t>alpha</t>
  </si>
  <si>
    <t>In the original model fNr/Cr was reduced for carbon starvation, for simplicity assumed to equal in this version</t>
  </si>
  <si>
    <t>Nasty cubic:</t>
  </si>
  <si>
    <t>Nphot max</t>
  </si>
  <si>
    <t>sol1</t>
  </si>
  <si>
    <t>x1</t>
  </si>
  <si>
    <t>x2</t>
  </si>
  <si>
    <t>x3</t>
  </si>
  <si>
    <t>number of solutions</t>
  </si>
  <si>
    <t>Rlight (t)</t>
  </si>
  <si>
    <t>Rlight (25°C)</t>
  </si>
  <si>
    <t>CL</t>
  </si>
  <si>
    <t>Cr/Cl</t>
  </si>
  <si>
    <t>Average of JSAT</t>
  </si>
  <si>
    <t>Total Average of JSAT</t>
  </si>
  <si>
    <t>Total Average of Vcmax</t>
  </si>
  <si>
    <t>Average of Vcmax</t>
  </si>
  <si>
    <t>Total Average of Cr/Cl</t>
  </si>
  <si>
    <t>Average of Cr/Cl</t>
  </si>
  <si>
    <t>Total Average of N tot leaf</t>
  </si>
  <si>
    <t>Average of N tot leaf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</si>
</sst>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_(* #,##0.00_);_(* \(#,##0.00\);_(* &quot;-&quot;??_);_(@_)"/>
    <numFmt numFmtId="165" formatCode="0.000"/>
    <numFmt numFmtId="166" formatCode="0.0"/>
    <numFmt numFmtId="167" formatCode="0.E+00"/>
    <numFmt numFmtId="168" formatCode="0.000E+00"/>
    <numFmt numFmtId="169" formatCode="0.00000"/>
    <numFmt numFmtId="170" formatCode="0.0000"/>
    <numFmt numFmtId="171" formatCode="0.000000"/>
    <numFmt numFmtId="172" formatCode="#,##0.000"/>
    <numFmt numFmtId="173" formatCode="#,##0.0000000"/>
    <numFmt numFmtId="174" formatCode="0.0E+00"/>
    <numFmt numFmtId="175" formatCode="0.00000000"/>
    <numFmt numFmtId="176" formatCode="0.000000000"/>
    <numFmt numFmtId="177" formatCode="0.0.E+00"/>
  </numFmts>
  <fonts count="49" x14ac:knownFonts="1">
    <font>
      <sz val="11"/>
      <color theme="1"/>
      <name val="Calibri"/>
      <family val="2"/>
      <scheme val="minor"/>
    </font>
    <font>
      <sz val="11"/>
      <color theme="1"/>
      <name val="Arial"/>
      <family val="2"/>
    </font>
    <font>
      <sz val="11"/>
      <color theme="1"/>
      <name val="Arial"/>
      <family val="2"/>
    </font>
    <font>
      <b/>
      <sz val="11"/>
      <name val="Arial"/>
      <family val="2"/>
    </font>
    <font>
      <sz val="11"/>
      <name val="Arial"/>
      <family val="2"/>
    </font>
    <font>
      <b/>
      <sz val="14"/>
      <color theme="1"/>
      <name val="Arial"/>
      <family val="2"/>
    </font>
    <font>
      <b/>
      <sz val="11"/>
      <color theme="1"/>
      <name val="Arial"/>
      <family val="2"/>
    </font>
    <font>
      <i/>
      <sz val="11"/>
      <color theme="1"/>
      <name val="Arial"/>
      <family val="2"/>
    </font>
    <font>
      <b/>
      <sz val="11"/>
      <color rgb="FFFF0000"/>
      <name val="Arial"/>
      <family val="2"/>
    </font>
    <font>
      <i/>
      <sz val="11"/>
      <name val="Arial"/>
      <family val="2"/>
    </font>
    <font>
      <vertAlign val="subscript"/>
      <sz val="11"/>
      <color theme="1"/>
      <name val="Arial"/>
      <family val="2"/>
    </font>
    <font>
      <vertAlign val="subscript"/>
      <sz val="11"/>
      <name val="Arial"/>
      <family val="2"/>
    </font>
    <font>
      <sz val="11"/>
      <color theme="8" tint="-0.249977111117893"/>
      <name val="Arial"/>
      <family val="2"/>
    </font>
    <font>
      <sz val="11"/>
      <color rgb="FFFF0000"/>
      <name val="Arial"/>
      <family val="2"/>
    </font>
    <font>
      <b/>
      <sz val="8"/>
      <color indexed="81"/>
      <name val="Tahoma"/>
      <family val="2"/>
    </font>
    <font>
      <sz val="8"/>
      <color indexed="81"/>
      <name val="Tahoma"/>
      <family val="2"/>
    </font>
    <font>
      <i/>
      <vertAlign val="subscript"/>
      <sz val="11"/>
      <color theme="1"/>
      <name val="Arial"/>
      <family val="2"/>
    </font>
    <font>
      <sz val="10"/>
      <color theme="1"/>
      <name val="Arial"/>
      <family val="2"/>
    </font>
    <font>
      <i/>
      <sz val="10"/>
      <color theme="1"/>
      <name val="Arial"/>
      <family val="2"/>
    </font>
    <font>
      <vertAlign val="subscript"/>
      <sz val="10"/>
      <color theme="1"/>
      <name val="Arial"/>
      <family val="2"/>
    </font>
    <font>
      <i/>
      <vertAlign val="subscript"/>
      <sz val="11"/>
      <name val="Arial"/>
      <family val="2"/>
    </font>
    <font>
      <sz val="11"/>
      <color theme="1"/>
      <name val="Calibri"/>
      <family val="2"/>
    </font>
    <font>
      <sz val="11"/>
      <color theme="0" tint="-0.499984740745262"/>
      <name val="Arial"/>
      <family val="2"/>
    </font>
    <font>
      <b/>
      <vertAlign val="subscript"/>
      <sz val="11"/>
      <color theme="1"/>
      <name val="Arial"/>
      <family val="2"/>
    </font>
    <font>
      <b/>
      <i/>
      <sz val="11"/>
      <color theme="1"/>
      <name val="Arial"/>
      <family val="2"/>
    </font>
    <font>
      <sz val="11"/>
      <name val="Calibri"/>
      <family val="2"/>
      <scheme val="minor"/>
    </font>
    <font>
      <i/>
      <sz val="11"/>
      <color theme="1"/>
      <name val="Calibri"/>
      <family val="2"/>
    </font>
    <font>
      <i/>
      <sz val="10"/>
      <color theme="7" tint="-0.499984740745262"/>
      <name val="Arial"/>
      <family val="2"/>
    </font>
    <font>
      <vertAlign val="subscript"/>
      <sz val="10"/>
      <color theme="7" tint="-0.499984740745262"/>
      <name val="Arial"/>
      <family val="2"/>
    </font>
    <font>
      <b/>
      <sz val="11"/>
      <color theme="7" tint="-0.499984740745262"/>
      <name val="Arial"/>
      <family val="2"/>
    </font>
    <font>
      <sz val="11"/>
      <color theme="7" tint="-0.499984740745262"/>
      <name val="Arial"/>
      <family val="2"/>
    </font>
    <font>
      <i/>
      <sz val="11"/>
      <color theme="7" tint="-0.499984740745262"/>
      <name val="Arial"/>
      <family val="2"/>
    </font>
    <font>
      <i/>
      <vertAlign val="subscript"/>
      <sz val="11"/>
      <color theme="7" tint="-0.499984740745262"/>
      <name val="Arial"/>
      <family val="2"/>
    </font>
    <font>
      <sz val="11"/>
      <color theme="7" tint="-0.499984740745262"/>
      <name val="Calibri"/>
      <family val="2"/>
    </font>
    <font>
      <vertAlign val="subscript"/>
      <sz val="11"/>
      <color theme="7" tint="-0.499984740745262"/>
      <name val="Calibri"/>
      <family val="2"/>
    </font>
    <font>
      <vertAlign val="subscript"/>
      <sz val="11"/>
      <color theme="7" tint="-0.499984740745262"/>
      <name val="Arial"/>
      <family val="2"/>
    </font>
    <font>
      <b/>
      <i/>
      <sz val="11"/>
      <color theme="7" tint="-0.499984740745262"/>
      <name val="Arial"/>
      <family val="2"/>
    </font>
    <font>
      <b/>
      <vertAlign val="subscript"/>
      <sz val="11"/>
      <color theme="7" tint="-0.499984740745262"/>
      <name val="Arial"/>
      <family val="2"/>
    </font>
    <font>
      <sz val="11"/>
      <color theme="1"/>
      <name val="Calibri"/>
      <family val="2"/>
      <scheme val="minor"/>
    </font>
    <font>
      <sz val="11"/>
      <color rgb="FFFFC000"/>
      <name val="Arial"/>
      <family val="2"/>
    </font>
    <font>
      <sz val="6"/>
      <color rgb="FFC00000"/>
      <name val="Arial"/>
      <family val="2"/>
    </font>
    <font>
      <b/>
      <sz val="12"/>
      <color theme="1"/>
      <name val="Arial"/>
      <family val="2"/>
    </font>
    <font>
      <i/>
      <sz val="11"/>
      <color rgb="FF000000"/>
      <name val="Arial"/>
      <family val="2"/>
    </font>
    <font>
      <b/>
      <i/>
      <sz val="11"/>
      <color rgb="FF000000"/>
      <name val="Arial"/>
      <family val="2"/>
    </font>
    <font>
      <b/>
      <vertAlign val="subscript"/>
      <sz val="11"/>
      <color rgb="FF000000"/>
      <name val="Arial"/>
      <family val="2"/>
    </font>
    <font>
      <sz val="8"/>
      <color rgb="FF000000"/>
      <name val="Arial"/>
      <family val="2"/>
    </font>
    <font>
      <vertAlign val="subscript"/>
      <sz val="11"/>
      <color theme="1"/>
      <name val="Calibri"/>
      <family val="2"/>
    </font>
    <font>
      <vertAlign val="superscript"/>
      <sz val="11"/>
      <color theme="1"/>
      <name val="Arial"/>
      <family val="2"/>
    </font>
    <font>
      <sz val="11"/>
      <color rgb="FF000000"/>
      <name val="Calibri"/>
      <family val="2"/>
    </font>
  </fonts>
  <fills count="11">
    <fill>
      <patternFill patternType="none"/>
    </fill>
    <fill>
      <patternFill patternType="gray125"/>
    </fill>
    <fill>
      <patternFill patternType="solid">
        <fgColor theme="0" tint="-0.34998626667073579"/>
        <bgColor indexed="64"/>
      </patternFill>
    </fill>
    <fill>
      <patternFill patternType="solid">
        <fgColor theme="0"/>
        <bgColor indexed="64"/>
      </patternFill>
    </fill>
    <fill>
      <patternFill patternType="solid">
        <fgColor rgb="FFA6A6A6"/>
        <bgColor rgb="FF000000"/>
      </patternFill>
    </fill>
    <fill>
      <patternFill patternType="solid">
        <fgColor theme="0" tint="-0.34998626667073579"/>
        <bgColor rgb="FF000000"/>
      </patternFill>
    </fill>
    <fill>
      <patternFill patternType="solid">
        <fgColor rgb="FFFFC000"/>
        <bgColor indexed="64"/>
      </patternFill>
    </fill>
    <fill>
      <patternFill patternType="solid">
        <fgColor theme="7" tint="0.39997558519241921"/>
        <bgColor indexed="64"/>
      </patternFill>
    </fill>
    <fill>
      <patternFill patternType="solid">
        <fgColor theme="5" tint="0.59999389629810485"/>
        <bgColor indexed="64"/>
      </patternFill>
    </fill>
    <fill>
      <patternFill patternType="solid">
        <fgColor rgb="FFFFFF00"/>
        <bgColor indexed="64"/>
      </patternFill>
    </fill>
    <fill>
      <patternFill patternType="solid">
        <fgColor theme="5" tint="0.39997558519241921"/>
        <bgColor indexed="64"/>
      </patternFill>
    </fill>
  </fills>
  <borders count="13">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auto="1"/>
      </right>
      <top style="thin">
        <color auto="1"/>
      </top>
      <bottom/>
      <diagonal/>
    </border>
    <border>
      <left/>
      <right/>
      <top style="thin">
        <color indexed="64"/>
      </top>
      <bottom/>
      <diagonal/>
    </border>
    <border>
      <left style="thin">
        <color indexed="64"/>
      </left>
      <right/>
      <top/>
      <bottom/>
      <diagonal/>
    </border>
    <border>
      <left/>
      <right style="thin">
        <color auto="1"/>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top/>
      <bottom style="medium">
        <color indexed="64"/>
      </bottom>
      <diagonal/>
    </border>
  </borders>
  <cellStyleXfs count="3">
    <xf numFmtId="0" fontId="0" fillId="0" borderId="0"/>
    <xf numFmtId="164" fontId="38" fillId="0" borderId="0" applyFont="0" applyFill="0" applyBorder="0" applyAlignment="0" applyProtection="0"/>
    <xf numFmtId="0" fontId="38" fillId="0" borderId="0"/>
  </cellStyleXfs>
  <cellXfs count="305">
    <xf numFmtId="0" fontId="0" fillId="0" borderId="0" xfId="0"/>
    <xf numFmtId="0" fontId="2" fillId="2" borderId="0" xfId="0" applyFont="1" applyFill="1"/>
    <xf numFmtId="0" fontId="3" fillId="2" borderId="0" xfId="0" applyFont="1" applyFill="1"/>
    <xf numFmtId="0" fontId="4" fillId="2" borderId="0" xfId="0" applyFont="1" applyFill="1"/>
    <xf numFmtId="0" fontId="2" fillId="0" borderId="0" xfId="0" applyFont="1"/>
    <xf numFmtId="0" fontId="6" fillId="2" borderId="4" xfId="0" applyFont="1" applyFill="1" applyBorder="1"/>
    <xf numFmtId="0" fontId="2" fillId="2" borderId="5" xfId="0" applyFont="1" applyFill="1" applyBorder="1"/>
    <xf numFmtId="0" fontId="2" fillId="2" borderId="6" xfId="0" applyFont="1" applyFill="1" applyBorder="1"/>
    <xf numFmtId="165" fontId="4" fillId="2" borderId="0" xfId="0" applyNumberFormat="1" applyFont="1" applyFill="1"/>
    <xf numFmtId="165" fontId="2" fillId="2" borderId="0" xfId="0" applyNumberFormat="1" applyFont="1" applyFill="1"/>
    <xf numFmtId="0" fontId="7" fillId="2" borderId="7" xfId="0" applyFont="1" applyFill="1" applyBorder="1"/>
    <xf numFmtId="0" fontId="8" fillId="3" borderId="8" xfId="0" applyFont="1" applyFill="1" applyBorder="1" applyAlignment="1">
      <alignment horizontal="center" vertical="center"/>
    </xf>
    <xf numFmtId="0" fontId="9" fillId="2" borderId="7" xfId="0" applyFont="1" applyFill="1" applyBorder="1"/>
    <xf numFmtId="2" fontId="4" fillId="2" borderId="8" xfId="0" applyNumberFormat="1" applyFont="1" applyFill="1" applyBorder="1" applyAlignment="1">
      <alignment horizontal="center"/>
    </xf>
    <xf numFmtId="0" fontId="2" fillId="2" borderId="7" xfId="0" applyFont="1" applyFill="1" applyBorder="1"/>
    <xf numFmtId="0" fontId="6" fillId="2" borderId="0" xfId="0" applyFont="1" applyFill="1" applyBorder="1" applyAlignment="1">
      <alignment horizontal="center"/>
    </xf>
    <xf numFmtId="0" fontId="6" fillId="2" borderId="8" xfId="0" applyFont="1" applyFill="1" applyBorder="1" applyAlignment="1">
      <alignment horizontal="center"/>
    </xf>
    <xf numFmtId="2" fontId="2" fillId="2" borderId="8" xfId="0" applyNumberFormat="1" applyFont="1" applyFill="1" applyBorder="1" applyAlignment="1">
      <alignment horizontal="center"/>
    </xf>
    <xf numFmtId="2" fontId="2" fillId="2" borderId="0" xfId="0" applyNumberFormat="1" applyFont="1" applyFill="1" applyBorder="1" applyAlignment="1">
      <alignment horizontal="center" vertical="center"/>
    </xf>
    <xf numFmtId="2" fontId="2" fillId="2" borderId="8" xfId="0" applyNumberFormat="1" applyFont="1" applyFill="1" applyBorder="1" applyAlignment="1">
      <alignment horizontal="center" vertical="center"/>
    </xf>
    <xf numFmtId="2" fontId="4" fillId="2" borderId="0" xfId="0" applyNumberFormat="1" applyFont="1" applyFill="1" applyBorder="1" applyAlignment="1">
      <alignment horizontal="center" vertical="center"/>
    </xf>
    <xf numFmtId="0" fontId="8" fillId="3" borderId="10" xfId="0" applyFont="1" applyFill="1" applyBorder="1" applyAlignment="1">
      <alignment horizontal="center" vertical="center"/>
    </xf>
    <xf numFmtId="0" fontId="7" fillId="2" borderId="9" xfId="0" applyFont="1" applyFill="1" applyBorder="1"/>
    <xf numFmtId="0" fontId="3" fillId="2" borderId="4" xfId="0" applyFont="1" applyFill="1" applyBorder="1"/>
    <xf numFmtId="0" fontId="7" fillId="2" borderId="7" xfId="0" applyFont="1" applyFill="1" applyBorder="1" applyAlignment="1">
      <alignment vertical="center"/>
    </xf>
    <xf numFmtId="2" fontId="2" fillId="2" borderId="10" xfId="0" applyNumberFormat="1" applyFont="1" applyFill="1" applyBorder="1" applyAlignment="1">
      <alignment horizontal="center" vertical="center"/>
    </xf>
    <xf numFmtId="0" fontId="2" fillId="2" borderId="9" xfId="0" applyFont="1" applyFill="1" applyBorder="1"/>
    <xf numFmtId="2" fontId="4" fillId="2" borderId="6" xfId="0" applyNumberFormat="1" applyFont="1" applyFill="1" applyBorder="1" applyAlignment="1">
      <alignment horizontal="center" vertical="center"/>
    </xf>
    <xf numFmtId="0" fontId="4" fillId="2" borderId="7" xfId="0" applyFont="1" applyFill="1" applyBorder="1"/>
    <xf numFmtId="0" fontId="2" fillId="2" borderId="0" xfId="0" applyFont="1" applyFill="1" applyBorder="1"/>
    <xf numFmtId="0" fontId="4" fillId="2" borderId="0" xfId="0" applyFont="1" applyFill="1" applyBorder="1"/>
    <xf numFmtId="0" fontId="2" fillId="2" borderId="8" xfId="0" applyFont="1" applyFill="1" applyBorder="1"/>
    <xf numFmtId="2" fontId="4" fillId="2" borderId="11" xfId="0" applyNumberFormat="1" applyFont="1" applyFill="1" applyBorder="1" applyAlignment="1">
      <alignment horizontal="center" vertical="center"/>
    </xf>
    <xf numFmtId="0" fontId="2" fillId="2" borderId="11" xfId="0" applyFont="1" applyFill="1" applyBorder="1"/>
    <xf numFmtId="0" fontId="12" fillId="2" borderId="0" xfId="0" applyFont="1" applyFill="1" applyBorder="1"/>
    <xf numFmtId="0" fontId="12" fillId="2" borderId="0" xfId="0" applyFont="1" applyFill="1"/>
    <xf numFmtId="2" fontId="12" fillId="2" borderId="0" xfId="0" applyNumberFormat="1" applyFont="1" applyFill="1"/>
    <xf numFmtId="165" fontId="2" fillId="2" borderId="0" xfId="0" applyNumberFormat="1" applyFont="1" applyFill="1" applyBorder="1"/>
    <xf numFmtId="0" fontId="13" fillId="2" borderId="0" xfId="0" applyFont="1" applyFill="1"/>
    <xf numFmtId="165" fontId="13" fillId="2" borderId="0" xfId="0" applyNumberFormat="1" applyFont="1" applyFill="1"/>
    <xf numFmtId="0" fontId="13" fillId="2" borderId="0" xfId="0" applyFont="1" applyFill="1" applyBorder="1"/>
    <xf numFmtId="2" fontId="2" fillId="2" borderId="6" xfId="0" applyNumberFormat="1" applyFont="1" applyFill="1" applyBorder="1" applyAlignment="1">
      <alignment horizontal="center" vertical="center"/>
    </xf>
    <xf numFmtId="2" fontId="2" fillId="2" borderId="5" xfId="0" applyNumberFormat="1" applyFont="1" applyFill="1" applyBorder="1" applyAlignment="1">
      <alignment horizontal="center" vertical="center"/>
    </xf>
    <xf numFmtId="2" fontId="4" fillId="2" borderId="8" xfId="0" applyNumberFormat="1" applyFont="1" applyFill="1" applyBorder="1" applyAlignment="1">
      <alignment horizontal="center" vertical="center"/>
    </xf>
    <xf numFmtId="0" fontId="6" fillId="2" borderId="7" xfId="0" applyFont="1" applyFill="1" applyBorder="1"/>
    <xf numFmtId="165" fontId="2" fillId="2" borderId="8" xfId="0" applyNumberFormat="1" applyFont="1" applyFill="1" applyBorder="1" applyAlignment="1">
      <alignment horizontal="center"/>
    </xf>
    <xf numFmtId="2" fontId="2" fillId="2" borderId="0" xfId="0" applyNumberFormat="1" applyFont="1" applyFill="1" applyBorder="1" applyAlignment="1">
      <alignment horizontal="center"/>
    </xf>
    <xf numFmtId="2" fontId="4" fillId="2" borderId="10" xfId="0" applyNumberFormat="1" applyFont="1" applyFill="1" applyBorder="1" applyAlignment="1">
      <alignment horizontal="center" vertical="center"/>
    </xf>
    <xf numFmtId="0" fontId="2" fillId="2" borderId="7" xfId="0" applyFont="1" applyFill="1" applyBorder="1" applyAlignment="1">
      <alignment vertical="center"/>
    </xf>
    <xf numFmtId="11" fontId="2" fillId="2" borderId="7" xfId="0" applyNumberFormat="1" applyFont="1" applyFill="1" applyBorder="1"/>
    <xf numFmtId="165" fontId="4" fillId="2" borderId="8" xfId="0" applyNumberFormat="1" applyFont="1" applyFill="1" applyBorder="1" applyAlignment="1">
      <alignment horizontal="center" vertical="center"/>
    </xf>
    <xf numFmtId="2" fontId="2" fillId="2" borderId="0" xfId="0" applyNumberFormat="1" applyFont="1" applyFill="1"/>
    <xf numFmtId="2" fontId="2" fillId="2" borderId="0" xfId="0" applyNumberFormat="1" applyFont="1" applyFill="1" applyBorder="1"/>
    <xf numFmtId="0" fontId="7" fillId="2" borderId="0" xfId="0" applyFont="1" applyFill="1" applyBorder="1"/>
    <xf numFmtId="0" fontId="2" fillId="2" borderId="8" xfId="0" applyFont="1" applyFill="1" applyBorder="1" applyAlignment="1">
      <alignment horizontal="center"/>
    </xf>
    <xf numFmtId="0" fontId="7" fillId="2" borderId="0" xfId="0" applyFont="1" applyFill="1"/>
    <xf numFmtId="0" fontId="17" fillId="2" borderId="7" xfId="0" applyFont="1" applyFill="1" applyBorder="1"/>
    <xf numFmtId="1" fontId="2" fillId="2" borderId="0" xfId="0" applyNumberFormat="1" applyFont="1" applyFill="1" applyBorder="1" applyAlignment="1">
      <alignment horizontal="center" vertical="center"/>
    </xf>
    <xf numFmtId="0" fontId="22" fillId="2" borderId="0" xfId="0" applyFont="1" applyFill="1"/>
    <xf numFmtId="0" fontId="2" fillId="2" borderId="4" xfId="0" applyFont="1" applyFill="1" applyBorder="1"/>
    <xf numFmtId="0" fontId="4" fillId="2" borderId="10" xfId="0" applyFont="1" applyFill="1" applyBorder="1"/>
    <xf numFmtId="0" fontId="8" fillId="3" borderId="8" xfId="0" applyFont="1" applyFill="1" applyBorder="1" applyAlignment="1">
      <alignment horizontal="center"/>
    </xf>
    <xf numFmtId="0" fontId="8" fillId="3" borderId="10" xfId="0" applyFont="1" applyFill="1" applyBorder="1" applyAlignment="1">
      <alignment horizontal="center"/>
    </xf>
    <xf numFmtId="165" fontId="2" fillId="2" borderId="8" xfId="0" applyNumberFormat="1" applyFont="1" applyFill="1" applyBorder="1"/>
    <xf numFmtId="0" fontId="25" fillId="2" borderId="0" xfId="0" applyFont="1" applyFill="1" applyBorder="1"/>
    <xf numFmtId="0" fontId="21" fillId="2" borderId="9" xfId="0" applyFont="1" applyFill="1" applyBorder="1"/>
    <xf numFmtId="0" fontId="25" fillId="2" borderId="0" xfId="0" applyFont="1" applyFill="1"/>
    <xf numFmtId="1" fontId="4" fillId="2" borderId="9" xfId="0" applyNumberFormat="1" applyFont="1" applyFill="1" applyBorder="1"/>
    <xf numFmtId="1" fontId="4" fillId="2" borderId="11" xfId="0" applyNumberFormat="1" applyFont="1" applyFill="1" applyBorder="1"/>
    <xf numFmtId="1" fontId="4" fillId="2" borderId="10" xfId="0" applyNumberFormat="1" applyFont="1" applyFill="1" applyBorder="1"/>
    <xf numFmtId="1" fontId="25" fillId="2" borderId="0" xfId="0" applyNumberFormat="1" applyFont="1" applyFill="1"/>
    <xf numFmtId="0" fontId="18" fillId="2" borderId="9" xfId="0" applyFont="1" applyFill="1" applyBorder="1"/>
    <xf numFmtId="167" fontId="4" fillId="2" borderId="8" xfId="0" applyNumberFormat="1" applyFont="1" applyFill="1" applyBorder="1" applyAlignment="1">
      <alignment horizontal="center" vertical="center"/>
    </xf>
    <xf numFmtId="168" fontId="2" fillId="2" borderId="8" xfId="0" applyNumberFormat="1" applyFont="1" applyFill="1" applyBorder="1" applyAlignment="1">
      <alignment horizontal="center"/>
    </xf>
    <xf numFmtId="1" fontId="2" fillId="2" borderId="10" xfId="0" applyNumberFormat="1" applyFont="1" applyFill="1" applyBorder="1" applyAlignment="1">
      <alignment horizontal="center"/>
    </xf>
    <xf numFmtId="0" fontId="3" fillId="2" borderId="0" xfId="0" applyFont="1" applyFill="1" applyBorder="1"/>
    <xf numFmtId="0" fontId="4" fillId="2" borderId="4" xfId="0" applyFont="1" applyFill="1" applyBorder="1"/>
    <xf numFmtId="165" fontId="4" fillId="2" borderId="5" xfId="0" applyNumberFormat="1" applyFont="1" applyFill="1" applyBorder="1" applyAlignment="1">
      <alignment horizontal="center" vertical="center"/>
    </xf>
    <xf numFmtId="1" fontId="2" fillId="2" borderId="8" xfId="0" applyNumberFormat="1" applyFont="1" applyFill="1" applyBorder="1" applyAlignment="1">
      <alignment horizontal="center"/>
    </xf>
    <xf numFmtId="0" fontId="2" fillId="2" borderId="11" xfId="0" applyFont="1" applyFill="1" applyBorder="1" applyAlignment="1">
      <alignment horizontal="center"/>
    </xf>
    <xf numFmtId="0" fontId="2" fillId="2" borderId="10" xfId="0" applyFont="1" applyFill="1" applyBorder="1" applyAlignment="1">
      <alignment horizontal="center"/>
    </xf>
    <xf numFmtId="1" fontId="2" fillId="2" borderId="8" xfId="0" applyNumberFormat="1" applyFont="1" applyFill="1" applyBorder="1"/>
    <xf numFmtId="0" fontId="2" fillId="2" borderId="10" xfId="0" applyFont="1" applyFill="1" applyBorder="1"/>
    <xf numFmtId="0" fontId="4" fillId="2" borderId="9" xfId="0" applyFont="1" applyFill="1" applyBorder="1"/>
    <xf numFmtId="2" fontId="2" fillId="2" borderId="10" xfId="0" applyNumberFormat="1" applyFont="1" applyFill="1" applyBorder="1" applyAlignment="1">
      <alignment horizontal="center"/>
    </xf>
    <xf numFmtId="0" fontId="18" fillId="2" borderId="7" xfId="0" applyFont="1" applyFill="1" applyBorder="1"/>
    <xf numFmtId="2" fontId="8" fillId="3" borderId="8" xfId="0" applyNumberFormat="1" applyFont="1" applyFill="1" applyBorder="1" applyAlignment="1">
      <alignment horizontal="center" vertical="center"/>
    </xf>
    <xf numFmtId="0" fontId="4" fillId="2" borderId="11" xfId="0" applyFont="1" applyFill="1" applyBorder="1"/>
    <xf numFmtId="0" fontId="27" fillId="2" borderId="9" xfId="0" applyFont="1" applyFill="1" applyBorder="1"/>
    <xf numFmtId="2" fontId="29" fillId="2" borderId="10" xfId="0" applyNumberFormat="1" applyFont="1" applyFill="1" applyBorder="1" applyAlignment="1">
      <alignment horizontal="center" vertical="center"/>
    </xf>
    <xf numFmtId="0" fontId="30" fillId="2" borderId="7" xfId="0" applyFont="1" applyFill="1" applyBorder="1"/>
    <xf numFmtId="0" fontId="29" fillId="2" borderId="8" xfId="0" applyFont="1" applyFill="1" applyBorder="1" applyAlignment="1">
      <alignment horizontal="center" vertical="center"/>
    </xf>
    <xf numFmtId="0" fontId="33" fillId="2" borderId="7" xfId="0" applyFont="1" applyFill="1" applyBorder="1"/>
    <xf numFmtId="0" fontId="29" fillId="2" borderId="8" xfId="0" applyFont="1" applyFill="1" applyBorder="1" applyAlignment="1">
      <alignment horizontal="center"/>
    </xf>
    <xf numFmtId="0" fontId="31" fillId="2" borderId="7" xfId="0" applyFont="1" applyFill="1" applyBorder="1"/>
    <xf numFmtId="0" fontId="29" fillId="3" borderId="8" xfId="0" applyFont="1" applyFill="1" applyBorder="1" applyAlignment="1">
      <alignment horizontal="center" vertical="center"/>
    </xf>
    <xf numFmtId="0" fontId="31" fillId="2" borderId="9" xfId="0" applyFont="1" applyFill="1" applyBorder="1"/>
    <xf numFmtId="0" fontId="29" fillId="3" borderId="10" xfId="0" applyFont="1" applyFill="1" applyBorder="1" applyAlignment="1">
      <alignment horizontal="center" vertical="center"/>
    </xf>
    <xf numFmtId="0" fontId="29" fillId="3" borderId="8" xfId="0" applyFont="1" applyFill="1" applyBorder="1" applyAlignment="1">
      <alignment horizontal="center"/>
    </xf>
    <xf numFmtId="0" fontId="29" fillId="2" borderId="7" xfId="0" applyFont="1" applyFill="1" applyBorder="1"/>
    <xf numFmtId="1" fontId="29" fillId="3" borderId="8" xfId="0" applyNumberFormat="1" applyFont="1" applyFill="1" applyBorder="1" applyAlignment="1">
      <alignment horizontal="center" vertical="center"/>
    </xf>
    <xf numFmtId="166" fontId="29" fillId="3" borderId="8" xfId="0" applyNumberFormat="1" applyFont="1" applyFill="1" applyBorder="1" applyAlignment="1">
      <alignment horizontal="center" vertical="center"/>
    </xf>
    <xf numFmtId="165" fontId="29" fillId="3" borderId="8" xfId="0" applyNumberFormat="1" applyFont="1" applyFill="1" applyBorder="1" applyAlignment="1">
      <alignment horizontal="center" vertical="center"/>
    </xf>
    <xf numFmtId="166" fontId="2" fillId="2" borderId="0" xfId="0" applyNumberFormat="1" applyFont="1" applyFill="1" applyAlignment="1">
      <alignment horizontal="center"/>
    </xf>
    <xf numFmtId="0" fontId="6" fillId="2" borderId="0" xfId="0" applyFont="1" applyFill="1"/>
    <xf numFmtId="166" fontId="8" fillId="3" borderId="0" xfId="0" applyNumberFormat="1" applyFont="1" applyFill="1" applyAlignment="1">
      <alignment horizontal="center"/>
    </xf>
    <xf numFmtId="0" fontId="8" fillId="3" borderId="0" xfId="0" applyFont="1" applyFill="1" applyAlignment="1">
      <alignment horizontal="center"/>
    </xf>
    <xf numFmtId="0" fontId="6" fillId="2" borderId="0" xfId="0" applyFont="1" applyFill="1" applyAlignment="1">
      <alignment horizontal="center"/>
    </xf>
    <xf numFmtId="0" fontId="2" fillId="2" borderId="0" xfId="0" applyFont="1" applyFill="1" applyAlignment="1">
      <alignment horizontal="center"/>
    </xf>
    <xf numFmtId="0" fontId="27" fillId="2" borderId="7" xfId="0" applyFont="1" applyFill="1" applyBorder="1"/>
    <xf numFmtId="2" fontId="29" fillId="3" borderId="8" xfId="0" applyNumberFormat="1" applyFont="1" applyFill="1" applyBorder="1" applyAlignment="1">
      <alignment horizontal="center" vertical="center"/>
    </xf>
    <xf numFmtId="0" fontId="30" fillId="2" borderId="9" xfId="0" applyFont="1" applyFill="1" applyBorder="1"/>
    <xf numFmtId="0" fontId="29" fillId="3" borderId="10" xfId="0" applyFont="1" applyFill="1" applyBorder="1" applyAlignment="1">
      <alignment horizontal="center"/>
    </xf>
    <xf numFmtId="0" fontId="0" fillId="2" borderId="0" xfId="0" applyFill="1"/>
    <xf numFmtId="0" fontId="33" fillId="2" borderId="9" xfId="0" applyFont="1" applyFill="1" applyBorder="1"/>
    <xf numFmtId="2" fontId="29" fillId="2" borderId="8" xfId="0" applyNumberFormat="1" applyFont="1" applyFill="1" applyBorder="1" applyAlignment="1">
      <alignment horizontal="center"/>
    </xf>
    <xf numFmtId="0" fontId="29" fillId="2" borderId="10" xfId="0" applyFont="1" applyFill="1" applyBorder="1" applyAlignment="1">
      <alignment horizontal="center" vertical="center"/>
    </xf>
    <xf numFmtId="0" fontId="29" fillId="2" borderId="10" xfId="0" applyFont="1" applyFill="1" applyBorder="1" applyAlignment="1">
      <alignment horizontal="center"/>
    </xf>
    <xf numFmtId="0" fontId="2" fillId="2" borderId="0" xfId="0" applyFont="1" applyFill="1" applyAlignment="1">
      <alignment horizontal="left"/>
    </xf>
    <xf numFmtId="0" fontId="2" fillId="2" borderId="0" xfId="0" applyFont="1" applyFill="1" applyAlignment="1"/>
    <xf numFmtId="0" fontId="30" fillId="2" borderId="0" xfId="0" applyFont="1" applyFill="1" applyAlignment="1"/>
    <xf numFmtId="165" fontId="2" fillId="2" borderId="8" xfId="0" applyNumberFormat="1" applyFont="1" applyFill="1" applyBorder="1" applyAlignment="1">
      <alignment horizontal="center" vertical="center"/>
    </xf>
    <xf numFmtId="164" fontId="8" fillId="3" borderId="0" xfId="1" applyNumberFormat="1" applyFont="1" applyFill="1" applyAlignment="1">
      <alignment horizontal="center"/>
    </xf>
    <xf numFmtId="0" fontId="2" fillId="2" borderId="0" xfId="0" applyNumberFormat="1" applyFont="1" applyFill="1"/>
    <xf numFmtId="170" fontId="4" fillId="2" borderId="9" xfId="0" applyNumberFormat="1" applyFont="1" applyFill="1" applyBorder="1"/>
    <xf numFmtId="1" fontId="2" fillId="2" borderId="0" xfId="0" applyNumberFormat="1" applyFont="1" applyFill="1" applyBorder="1"/>
    <xf numFmtId="170" fontId="2" fillId="2" borderId="0" xfId="0" applyNumberFormat="1" applyFont="1" applyFill="1" applyBorder="1"/>
    <xf numFmtId="0" fontId="8" fillId="0" borderId="8" xfId="0" applyFont="1" applyFill="1" applyBorder="1" applyAlignment="1">
      <alignment horizontal="center"/>
    </xf>
    <xf numFmtId="0" fontId="2" fillId="2" borderId="0" xfId="0" applyFont="1" applyFill="1" applyBorder="1" applyAlignment="1">
      <alignment horizontal="left"/>
    </xf>
    <xf numFmtId="0" fontId="2" fillId="2" borderId="0" xfId="0" applyFont="1" applyFill="1" applyBorder="1" applyAlignment="1">
      <alignment horizontal="center"/>
    </xf>
    <xf numFmtId="165" fontId="6" fillId="3" borderId="0" xfId="0" applyNumberFormat="1" applyFont="1" applyFill="1" applyBorder="1" applyAlignment="1">
      <alignment horizontal="center" vertical="center"/>
    </xf>
    <xf numFmtId="165" fontId="6" fillId="3" borderId="0" xfId="0" applyNumberFormat="1" applyFont="1" applyFill="1" applyBorder="1" applyAlignment="1">
      <alignment horizontal="center"/>
    </xf>
    <xf numFmtId="165" fontId="2" fillId="2" borderId="0" xfId="0" applyNumberFormat="1" applyFont="1" applyFill="1" applyBorder="1" applyAlignment="1">
      <alignment horizontal="center"/>
    </xf>
    <xf numFmtId="169" fontId="8" fillId="2" borderId="0" xfId="0" applyNumberFormat="1" applyFont="1" applyFill="1" applyBorder="1" applyAlignment="1">
      <alignment horizontal="center" vertical="center"/>
    </xf>
    <xf numFmtId="0" fontId="40" fillId="0" borderId="0" xfId="0" applyFont="1" applyFill="1" applyAlignment="1">
      <alignment horizontal="center" vertical="center"/>
    </xf>
    <xf numFmtId="2" fontId="40" fillId="0" borderId="0" xfId="0" applyNumberFormat="1" applyFont="1" applyFill="1" applyAlignment="1">
      <alignment horizontal="center" vertical="center"/>
    </xf>
    <xf numFmtId="169" fontId="8" fillId="3" borderId="0" xfId="0" applyNumberFormat="1" applyFont="1" applyFill="1" applyAlignment="1">
      <alignment horizontal="center"/>
    </xf>
    <xf numFmtId="170" fontId="2" fillId="2" borderId="0" xfId="0" applyNumberFormat="1" applyFont="1" applyFill="1"/>
    <xf numFmtId="169" fontId="2" fillId="2" borderId="0" xfId="0" applyNumberFormat="1" applyFont="1" applyFill="1"/>
    <xf numFmtId="169" fontId="8" fillId="2" borderId="0" xfId="0" applyNumberFormat="1" applyFont="1" applyFill="1" applyAlignment="1">
      <alignment horizontal="center"/>
    </xf>
    <xf numFmtId="0" fontId="0" fillId="0" borderId="11" xfId="0" applyBorder="1"/>
    <xf numFmtId="11" fontId="0" fillId="0" borderId="0" xfId="0" applyNumberFormat="1"/>
    <xf numFmtId="2" fontId="8" fillId="3" borderId="0" xfId="0" applyNumberFormat="1" applyFont="1" applyFill="1" applyAlignment="1">
      <alignment horizontal="center"/>
    </xf>
    <xf numFmtId="165" fontId="2" fillId="2" borderId="0" xfId="0" applyNumberFormat="1" applyFont="1" applyFill="1" applyAlignment="1">
      <alignment horizontal="center"/>
    </xf>
    <xf numFmtId="0" fontId="2" fillId="3" borderId="0" xfId="0" applyFont="1" applyFill="1"/>
    <xf numFmtId="0" fontId="6" fillId="3" borderId="0" xfId="0" applyFont="1" applyFill="1" applyAlignment="1">
      <alignment horizontal="center"/>
    </xf>
    <xf numFmtId="0" fontId="0" fillId="0" borderId="0" xfId="0" applyBorder="1"/>
    <xf numFmtId="0" fontId="1" fillId="2" borderId="7" xfId="0" applyFont="1" applyFill="1" applyBorder="1" applyAlignment="1">
      <alignment horizontal="left"/>
    </xf>
    <xf numFmtId="0" fontId="1" fillId="2" borderId="0" xfId="0" applyFont="1" applyFill="1"/>
    <xf numFmtId="0" fontId="1" fillId="2" borderId="0" xfId="0" applyFont="1" applyFill="1" applyBorder="1"/>
    <xf numFmtId="166" fontId="1" fillId="2" borderId="0" xfId="0" applyNumberFormat="1" applyFont="1" applyFill="1" applyBorder="1" applyAlignment="1">
      <alignment horizontal="center"/>
    </xf>
    <xf numFmtId="165" fontId="8" fillId="3" borderId="0" xfId="0" applyNumberFormat="1" applyFont="1" applyFill="1" applyBorder="1" applyAlignment="1">
      <alignment horizontal="center"/>
    </xf>
    <xf numFmtId="0" fontId="1" fillId="4" borderId="0" xfId="0" applyFont="1" applyFill="1" applyBorder="1"/>
    <xf numFmtId="0" fontId="42" fillId="5" borderId="7" xfId="2" applyFont="1" applyFill="1" applyBorder="1" applyAlignment="1">
      <alignment horizontal="left"/>
    </xf>
    <xf numFmtId="165" fontId="1" fillId="2" borderId="0" xfId="0" applyNumberFormat="1" applyFont="1" applyFill="1" applyBorder="1" applyAlignment="1">
      <alignment horizontal="center"/>
    </xf>
    <xf numFmtId="0" fontId="1" fillId="2" borderId="0" xfId="0" applyFont="1" applyFill="1" applyAlignment="1">
      <alignment horizontal="center"/>
    </xf>
    <xf numFmtId="0" fontId="1" fillId="4" borderId="0" xfId="0" applyFont="1" applyFill="1" applyBorder="1" applyAlignment="1">
      <alignment horizontal="center"/>
    </xf>
    <xf numFmtId="0" fontId="1" fillId="2" borderId="0" xfId="0" applyFont="1" applyFill="1" applyBorder="1" applyAlignment="1">
      <alignment horizontal="left"/>
    </xf>
    <xf numFmtId="166" fontId="2" fillId="2" borderId="0" xfId="0" applyNumberFormat="1" applyFont="1" applyFill="1" applyBorder="1" applyAlignment="1">
      <alignment horizontal="center"/>
    </xf>
    <xf numFmtId="166" fontId="8" fillId="3" borderId="0" xfId="0" applyNumberFormat="1" applyFont="1" applyFill="1" applyBorder="1" applyAlignment="1">
      <alignment horizontal="center"/>
    </xf>
    <xf numFmtId="0" fontId="0" fillId="0" borderId="12" xfId="0" applyBorder="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xf numFmtId="0" fontId="0" fillId="6" borderId="0" xfId="0" applyFill="1"/>
    <xf numFmtId="0" fontId="4" fillId="6" borderId="0" xfId="0" applyFont="1" applyFill="1" applyBorder="1"/>
    <xf numFmtId="165" fontId="1" fillId="4" borderId="0" xfId="0" applyNumberFormat="1" applyFont="1" applyFill="1" applyBorder="1"/>
    <xf numFmtId="1" fontId="1" fillId="4" borderId="0" xfId="0" applyNumberFormat="1" applyFont="1" applyFill="1" applyBorder="1"/>
    <xf numFmtId="2" fontId="1" fillId="4" borderId="0" xfId="0" applyNumberFormat="1" applyFont="1" applyFill="1" applyBorder="1"/>
    <xf numFmtId="1" fontId="4" fillId="2" borderId="0" xfId="0" applyNumberFormat="1" applyFont="1" applyFill="1"/>
    <xf numFmtId="1" fontId="4" fillId="2" borderId="0" xfId="0" applyNumberFormat="1" applyFont="1" applyFill="1" applyAlignment="1"/>
    <xf numFmtId="170" fontId="39" fillId="2" borderId="0" xfId="0" applyNumberFormat="1" applyFont="1" applyFill="1" applyBorder="1" applyAlignment="1">
      <alignment horizontal="center"/>
    </xf>
    <xf numFmtId="0" fontId="1" fillId="2" borderId="4" xfId="0" applyFont="1" applyFill="1" applyBorder="1"/>
    <xf numFmtId="2" fontId="4" fillId="2" borderId="9" xfId="0" applyNumberFormat="1" applyFont="1" applyFill="1" applyBorder="1"/>
    <xf numFmtId="2" fontId="4" fillId="2" borderId="11" xfId="0" applyNumberFormat="1" applyFont="1" applyFill="1" applyBorder="1"/>
    <xf numFmtId="0" fontId="21" fillId="2" borderId="7" xfId="0" applyFont="1" applyFill="1" applyBorder="1"/>
    <xf numFmtId="0" fontId="43" fillId="4" borderId="9" xfId="0" applyFont="1" applyFill="1" applyBorder="1" applyAlignment="1">
      <alignment horizontal="left"/>
    </xf>
    <xf numFmtId="165" fontId="8" fillId="0" borderId="10" xfId="0" applyNumberFormat="1" applyFont="1" applyFill="1" applyBorder="1" applyAlignment="1">
      <alignment horizontal="center"/>
    </xf>
    <xf numFmtId="2" fontId="8" fillId="2" borderId="10" xfId="0" applyNumberFormat="1" applyFont="1" applyFill="1" applyBorder="1" applyAlignment="1">
      <alignment horizontal="center" vertical="center"/>
    </xf>
    <xf numFmtId="165" fontId="1" fillId="4" borderId="0" xfId="0" applyNumberFormat="1" applyFont="1" applyFill="1" applyBorder="1" applyAlignment="1">
      <alignment horizontal="center"/>
    </xf>
    <xf numFmtId="0" fontId="1" fillId="2" borderId="6" xfId="0" applyFont="1" applyFill="1" applyBorder="1" applyAlignment="1">
      <alignment horizontal="center"/>
    </xf>
    <xf numFmtId="0" fontId="1" fillId="2" borderId="5" xfId="0" applyFont="1" applyFill="1" applyBorder="1" applyAlignment="1">
      <alignment horizontal="center"/>
    </xf>
    <xf numFmtId="2" fontId="4" fillId="2" borderId="0" xfId="0" applyNumberFormat="1" applyFont="1" applyFill="1" applyBorder="1" applyAlignment="1">
      <alignment horizontal="center"/>
    </xf>
    <xf numFmtId="165" fontId="1" fillId="4" borderId="11" xfId="0" applyNumberFormat="1" applyFont="1" applyFill="1" applyBorder="1" applyAlignment="1">
      <alignment horizontal="center"/>
    </xf>
    <xf numFmtId="0" fontId="4" fillId="2" borderId="11" xfId="0" applyFont="1" applyFill="1" applyBorder="1" applyAlignment="1">
      <alignment horizontal="center"/>
    </xf>
    <xf numFmtId="0" fontId="4" fillId="2" borderId="10" xfId="0" applyFont="1" applyFill="1" applyBorder="1" applyAlignment="1">
      <alignment horizontal="center"/>
    </xf>
    <xf numFmtId="170" fontId="4" fillId="2" borderId="0" xfId="0" applyNumberFormat="1" applyFont="1" applyFill="1" applyBorder="1" applyAlignment="1">
      <alignment horizontal="center"/>
    </xf>
    <xf numFmtId="166" fontId="4" fillId="2" borderId="0" xfId="0" applyNumberFormat="1" applyFont="1" applyFill="1" applyBorder="1" applyAlignment="1">
      <alignment horizontal="center"/>
    </xf>
    <xf numFmtId="165" fontId="4" fillId="2" borderId="0" xfId="0" applyNumberFormat="1" applyFont="1" applyFill="1" applyBorder="1" applyAlignment="1">
      <alignment horizontal="center"/>
    </xf>
    <xf numFmtId="0" fontId="1" fillId="2" borderId="5" xfId="0" applyFont="1" applyFill="1" applyBorder="1"/>
    <xf numFmtId="0" fontId="1" fillId="2" borderId="0" xfId="0" applyFont="1" applyFill="1" applyBorder="1" applyAlignment="1">
      <alignment horizontal="center"/>
    </xf>
    <xf numFmtId="0" fontId="1" fillId="2" borderId="8" xfId="0" applyFont="1" applyFill="1" applyBorder="1"/>
    <xf numFmtId="1" fontId="4" fillId="2" borderId="0" xfId="0" applyNumberFormat="1" applyFont="1" applyFill="1" applyBorder="1" applyAlignment="1">
      <alignment horizontal="center"/>
    </xf>
    <xf numFmtId="1" fontId="4" fillId="2" borderId="8" xfId="0" applyNumberFormat="1" applyFont="1" applyFill="1" applyBorder="1" applyAlignment="1">
      <alignment horizontal="center"/>
    </xf>
    <xf numFmtId="0" fontId="1" fillId="2" borderId="9" xfId="0" applyFont="1" applyFill="1" applyBorder="1"/>
    <xf numFmtId="2" fontId="2" fillId="2" borderId="11" xfId="0" applyNumberFormat="1" applyFont="1" applyFill="1" applyBorder="1" applyAlignment="1">
      <alignment horizontal="center"/>
    </xf>
    <xf numFmtId="2" fontId="2" fillId="2" borderId="8" xfId="0" applyNumberFormat="1" applyFont="1" applyFill="1" applyBorder="1"/>
    <xf numFmtId="171" fontId="0" fillId="0" borderId="0" xfId="0" applyNumberFormat="1"/>
    <xf numFmtId="165" fontId="4" fillId="2" borderId="10" xfId="0" applyNumberFormat="1" applyFont="1" applyFill="1" applyBorder="1"/>
    <xf numFmtId="169" fontId="2" fillId="2" borderId="0" xfId="0" applyNumberFormat="1" applyFont="1" applyFill="1" applyBorder="1"/>
    <xf numFmtId="0" fontId="1" fillId="2" borderId="7" xfId="0" applyFont="1" applyFill="1" applyBorder="1" applyAlignment="1">
      <alignment vertical="center"/>
    </xf>
    <xf numFmtId="0" fontId="1" fillId="2" borderId="7" xfId="0" applyFont="1" applyFill="1" applyBorder="1"/>
    <xf numFmtId="11" fontId="1" fillId="2" borderId="7" xfId="0" applyNumberFormat="1" applyFont="1" applyFill="1" applyBorder="1"/>
    <xf numFmtId="166" fontId="3" fillId="3" borderId="0" xfId="0" applyNumberFormat="1" applyFont="1" applyFill="1" applyBorder="1" applyAlignment="1">
      <alignment horizontal="center"/>
    </xf>
    <xf numFmtId="11" fontId="0" fillId="0" borderId="11" xfId="0" applyNumberFormat="1" applyBorder="1"/>
    <xf numFmtId="0" fontId="1" fillId="2" borderId="0" xfId="0" applyFont="1" applyFill="1" applyBorder="1" applyAlignment="1" applyProtection="1">
      <alignment horizontal="left"/>
      <protection locked="0"/>
    </xf>
    <xf numFmtId="0" fontId="0" fillId="2" borderId="0" xfId="0" applyFill="1" applyProtection="1">
      <protection locked="0"/>
    </xf>
    <xf numFmtId="0" fontId="6" fillId="0" borderId="0" xfId="0" applyFont="1" applyAlignment="1">
      <alignment horizontal="center"/>
    </xf>
    <xf numFmtId="1" fontId="0" fillId="0" borderId="0" xfId="0" applyNumberFormat="1"/>
    <xf numFmtId="1" fontId="0" fillId="0" borderId="11" xfId="0" applyNumberFormat="1" applyBorder="1"/>
    <xf numFmtId="3" fontId="6" fillId="2" borderId="0" xfId="0" applyNumberFormat="1" applyFont="1" applyFill="1" applyBorder="1" applyAlignment="1">
      <alignment horizontal="center" vertical="center"/>
    </xf>
    <xf numFmtId="2" fontId="1" fillId="2" borderId="0" xfId="0" applyNumberFormat="1" applyFont="1" applyFill="1"/>
    <xf numFmtId="165" fontId="1" fillId="2" borderId="0" xfId="0" applyNumberFormat="1" applyFont="1" applyFill="1" applyAlignment="1">
      <alignment horizontal="center"/>
    </xf>
    <xf numFmtId="3" fontId="1" fillId="2" borderId="0" xfId="0" applyNumberFormat="1" applyFont="1" applyFill="1"/>
    <xf numFmtId="11" fontId="1" fillId="2" borderId="0" xfId="0" applyNumberFormat="1" applyFont="1" applyFill="1"/>
    <xf numFmtId="166" fontId="1" fillId="2" borderId="0" xfId="0" applyNumberFormat="1" applyFont="1" applyFill="1" applyAlignment="1">
      <alignment horizontal="center"/>
    </xf>
    <xf numFmtId="174" fontId="1" fillId="2" borderId="0" xfId="0" applyNumberFormat="1" applyFont="1" applyFill="1"/>
    <xf numFmtId="166" fontId="1" fillId="2" borderId="0" xfId="0" applyNumberFormat="1" applyFont="1" applyFill="1"/>
    <xf numFmtId="168" fontId="1" fillId="2" borderId="0" xfId="0" applyNumberFormat="1" applyFont="1" applyFill="1"/>
    <xf numFmtId="3" fontId="1" fillId="2" borderId="0" xfId="0" applyNumberFormat="1" applyFont="1" applyFill="1" applyAlignment="1">
      <alignment horizontal="center"/>
    </xf>
    <xf numFmtId="172" fontId="8" fillId="3" borderId="0" xfId="0" applyNumberFormat="1" applyFont="1" applyFill="1" applyAlignment="1">
      <alignment horizontal="center"/>
    </xf>
    <xf numFmtId="2" fontId="1" fillId="2" borderId="0" xfId="0" applyNumberFormat="1" applyFont="1" applyFill="1" applyAlignment="1">
      <alignment horizontal="center"/>
    </xf>
    <xf numFmtId="3" fontId="8" fillId="3" borderId="0" xfId="0" applyNumberFormat="1" applyFont="1" applyFill="1" applyAlignment="1">
      <alignment horizontal="center"/>
    </xf>
    <xf numFmtId="173" fontId="8" fillId="3" borderId="0" xfId="0" applyNumberFormat="1" applyFont="1" applyFill="1" applyAlignment="1">
      <alignment horizontal="center"/>
    </xf>
    <xf numFmtId="11" fontId="1" fillId="2" borderId="0" xfId="0" applyNumberFormat="1" applyFont="1" applyFill="1" applyAlignment="1">
      <alignment horizontal="center"/>
    </xf>
    <xf numFmtId="0" fontId="1" fillId="2" borderId="0" xfId="0" applyFont="1" applyFill="1" applyBorder="1" applyAlignment="1"/>
    <xf numFmtId="0" fontId="0" fillId="0" borderId="0" xfId="0" applyFill="1" applyBorder="1"/>
    <xf numFmtId="11" fontId="0" fillId="0" borderId="0" xfId="0" applyNumberFormat="1" applyBorder="1"/>
    <xf numFmtId="1" fontId="0" fillId="0" borderId="0" xfId="0" applyNumberFormat="1" applyBorder="1"/>
    <xf numFmtId="0" fontId="21" fillId="6" borderId="0" xfId="0" applyFont="1" applyFill="1"/>
    <xf numFmtId="0" fontId="42" fillId="2" borderId="8" xfId="2" applyFont="1" applyFill="1" applyBorder="1" applyAlignment="1">
      <alignment horizontal="center"/>
    </xf>
    <xf numFmtId="0" fontId="1" fillId="2" borderId="7" xfId="0" applyFont="1" applyFill="1" applyBorder="1" applyAlignment="1">
      <alignment horizontal="center"/>
    </xf>
    <xf numFmtId="166" fontId="1" fillId="2" borderId="9" xfId="0" applyNumberFormat="1" applyFont="1" applyFill="1" applyBorder="1" applyAlignment="1">
      <alignment horizontal="center"/>
    </xf>
    <xf numFmtId="166" fontId="1" fillId="2" borderId="11" xfId="0" applyNumberFormat="1" applyFont="1" applyFill="1" applyBorder="1" applyAlignment="1">
      <alignment horizontal="center"/>
    </xf>
    <xf numFmtId="170" fontId="1" fillId="2" borderId="11" xfId="0" applyNumberFormat="1" applyFont="1" applyFill="1" applyBorder="1" applyAlignment="1">
      <alignment horizontal="center"/>
    </xf>
    <xf numFmtId="0" fontId="45" fillId="2" borderId="7" xfId="2" applyFont="1" applyFill="1" applyBorder="1" applyAlignment="1">
      <alignment horizontal="center"/>
    </xf>
    <xf numFmtId="0" fontId="8" fillId="3" borderId="0" xfId="0" applyFont="1" applyFill="1" applyBorder="1" applyAlignment="1">
      <alignment horizontal="center"/>
    </xf>
    <xf numFmtId="11" fontId="0" fillId="0" borderId="12" xfId="0" applyNumberFormat="1" applyBorder="1"/>
    <xf numFmtId="0" fontId="0" fillId="7" borderId="0" xfId="0" applyFill="1"/>
    <xf numFmtId="0" fontId="0" fillId="7" borderId="0" xfId="0" applyFill="1" applyBorder="1"/>
    <xf numFmtId="11" fontId="0" fillId="7" borderId="0" xfId="0" applyNumberFormat="1" applyFill="1"/>
    <xf numFmtId="1" fontId="0" fillId="7" borderId="0" xfId="0" applyNumberFormat="1" applyFill="1"/>
    <xf numFmtId="166" fontId="0" fillId="0" borderId="0" xfId="0" applyNumberFormat="1"/>
    <xf numFmtId="166" fontId="0" fillId="0" borderId="0" xfId="0" applyNumberFormat="1" applyBorder="1"/>
    <xf numFmtId="166" fontId="0" fillId="0" borderId="11" xfId="0" applyNumberFormat="1" applyBorder="1"/>
    <xf numFmtId="166" fontId="0" fillId="0" borderId="12" xfId="0" applyNumberFormat="1" applyBorder="1"/>
    <xf numFmtId="166" fontId="0" fillId="7" borderId="0" xfId="0" applyNumberFormat="1" applyFill="1"/>
    <xf numFmtId="1" fontId="0" fillId="0" borderId="12" xfId="0" applyNumberFormat="1" applyBorder="1"/>
    <xf numFmtId="2" fontId="0" fillId="0" borderId="0" xfId="0" applyNumberFormat="1"/>
    <xf numFmtId="2" fontId="0" fillId="0" borderId="12" xfId="0" applyNumberFormat="1" applyBorder="1"/>
    <xf numFmtId="2" fontId="0" fillId="7" borderId="0" xfId="0" applyNumberFormat="1" applyFill="1"/>
    <xf numFmtId="2" fontId="0" fillId="0" borderId="0" xfId="0" applyNumberFormat="1" applyBorder="1"/>
    <xf numFmtId="2" fontId="0" fillId="0" borderId="11" xfId="0" applyNumberFormat="1" applyBorder="1"/>
    <xf numFmtId="0" fontId="0" fillId="8" borderId="0" xfId="0" applyFill="1"/>
    <xf numFmtId="0" fontId="0" fillId="8" borderId="0" xfId="0" applyFill="1" applyBorder="1"/>
    <xf numFmtId="0" fontId="0" fillId="8" borderId="12" xfId="0" applyFill="1" applyBorder="1"/>
    <xf numFmtId="2" fontId="0" fillId="8" borderId="12" xfId="0" applyNumberFormat="1" applyFill="1" applyBorder="1"/>
    <xf numFmtId="1" fontId="0" fillId="8" borderId="12" xfId="0" applyNumberFormat="1" applyFill="1" applyBorder="1"/>
    <xf numFmtId="166" fontId="0" fillId="8" borderId="12" xfId="0" applyNumberFormat="1" applyFill="1" applyBorder="1"/>
    <xf numFmtId="2" fontId="0" fillId="8" borderId="11" xfId="0" applyNumberFormat="1" applyFill="1" applyBorder="1"/>
    <xf numFmtId="0" fontId="0" fillId="8" borderId="11" xfId="0" applyFill="1" applyBorder="1"/>
    <xf numFmtId="166" fontId="0" fillId="8" borderId="11" xfId="0" applyNumberFormat="1" applyFill="1" applyBorder="1"/>
    <xf numFmtId="1" fontId="0" fillId="8" borderId="11" xfId="0" applyNumberFormat="1" applyFill="1" applyBorder="1"/>
    <xf numFmtId="165" fontId="1" fillId="2" borderId="0" xfId="0" applyNumberFormat="1" applyFont="1" applyFill="1"/>
    <xf numFmtId="174" fontId="1" fillId="2" borderId="0" xfId="0" applyNumberFormat="1" applyFont="1" applyFill="1" applyAlignment="1">
      <alignment horizontal="center"/>
    </xf>
    <xf numFmtId="3" fontId="1" fillId="2" borderId="0" xfId="0" quotePrefix="1" applyNumberFormat="1" applyFont="1" applyFill="1"/>
    <xf numFmtId="1" fontId="8" fillId="2" borderId="0" xfId="0" applyNumberFormat="1" applyFont="1" applyFill="1" applyBorder="1" applyAlignment="1">
      <alignment horizontal="center" vertical="center"/>
    </xf>
    <xf numFmtId="171" fontId="1" fillId="2" borderId="0" xfId="0" applyNumberFormat="1" applyFont="1" applyFill="1" applyAlignment="1">
      <alignment horizontal="center"/>
    </xf>
    <xf numFmtId="1" fontId="1" fillId="2" borderId="0" xfId="0" applyNumberFormat="1" applyFont="1" applyFill="1" applyAlignment="1">
      <alignment horizontal="center"/>
    </xf>
    <xf numFmtId="11" fontId="1" fillId="9" borderId="0" xfId="0" applyNumberFormat="1" applyFont="1" applyFill="1" applyAlignment="1">
      <alignment horizontal="center"/>
    </xf>
    <xf numFmtId="1" fontId="1" fillId="9" borderId="0" xfId="0" applyNumberFormat="1" applyFont="1" applyFill="1" applyAlignment="1">
      <alignment horizontal="center"/>
    </xf>
    <xf numFmtId="1" fontId="1" fillId="2" borderId="0" xfId="0" applyNumberFormat="1" applyFont="1" applyFill="1"/>
    <xf numFmtId="171" fontId="1" fillId="2" borderId="0" xfId="0" applyNumberFormat="1" applyFont="1" applyFill="1"/>
    <xf numFmtId="176" fontId="1" fillId="2" borderId="0" xfId="0" applyNumberFormat="1" applyFont="1" applyFill="1"/>
    <xf numFmtId="168" fontId="2" fillId="2" borderId="0" xfId="0" applyNumberFormat="1" applyFont="1" applyFill="1"/>
    <xf numFmtId="3" fontId="1" fillId="2" borderId="0" xfId="0" applyNumberFormat="1" applyFont="1" applyFill="1" applyBorder="1" applyAlignment="1">
      <alignment horizontal="center"/>
    </xf>
    <xf numFmtId="0" fontId="21" fillId="2" borderId="0" xfId="0" applyFont="1" applyFill="1"/>
    <xf numFmtId="175" fontId="1" fillId="2" borderId="0" xfId="0" applyNumberFormat="1" applyFont="1" applyFill="1" applyAlignment="1">
      <alignment horizontal="center"/>
    </xf>
    <xf numFmtId="177" fontId="1" fillId="2" borderId="0" xfId="0" applyNumberFormat="1" applyFont="1" applyFill="1"/>
    <xf numFmtId="0" fontId="0" fillId="0" borderId="0" xfId="0" applyFill="1"/>
    <xf numFmtId="2" fontId="0" fillId="0" borderId="0" xfId="0" applyNumberFormat="1" applyFill="1" applyBorder="1"/>
    <xf numFmtId="1" fontId="0" fillId="0" borderId="0" xfId="0" applyNumberFormat="1" applyFill="1"/>
    <xf numFmtId="166" fontId="0" fillId="0" borderId="0" xfId="0" applyNumberFormat="1" applyFill="1" applyBorder="1"/>
    <xf numFmtId="1" fontId="0" fillId="0" borderId="0" xfId="0" applyNumberFormat="1" applyFill="1" applyBorder="1"/>
    <xf numFmtId="0" fontId="0" fillId="10" borderId="12" xfId="0" applyFill="1" applyBorder="1"/>
    <xf numFmtId="2" fontId="0" fillId="10" borderId="11" xfId="0" applyNumberFormat="1" applyFill="1" applyBorder="1"/>
    <xf numFmtId="0" fontId="0" fillId="10" borderId="11" xfId="0" applyFill="1" applyBorder="1"/>
    <xf numFmtId="0" fontId="0" fillId="10" borderId="0" xfId="0" applyFill="1"/>
    <xf numFmtId="1" fontId="0" fillId="10" borderId="12" xfId="0" applyNumberFormat="1" applyFill="1" applyBorder="1"/>
    <xf numFmtId="166" fontId="0" fillId="10" borderId="11" xfId="0" applyNumberFormat="1" applyFill="1" applyBorder="1"/>
    <xf numFmtId="1" fontId="0" fillId="10" borderId="11" xfId="0" applyNumberFormat="1" applyFill="1" applyBorder="1"/>
    <xf numFmtId="0" fontId="0" fillId="0" borderId="12" xfId="0" applyFill="1" applyBorder="1"/>
    <xf numFmtId="2" fontId="0" fillId="0" borderId="12" xfId="0" applyNumberFormat="1" applyFill="1" applyBorder="1"/>
    <xf numFmtId="1" fontId="0" fillId="0" borderId="12" xfId="0" applyNumberFormat="1" applyFill="1" applyBorder="1"/>
    <xf numFmtId="166" fontId="0" fillId="0" borderId="12" xfId="0" applyNumberFormat="1" applyFill="1" applyBorder="1"/>
    <xf numFmtId="2" fontId="0" fillId="0" borderId="0" xfId="0" applyNumberFormat="1" applyFill="1"/>
    <xf numFmtId="166" fontId="0" fillId="0" borderId="0" xfId="0" applyNumberFormat="1" applyFill="1"/>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2" xfId="0" applyFont="1" applyFill="1" applyBorder="1" applyAlignment="1">
      <alignment horizontal="center" vertical="center"/>
    </xf>
    <xf numFmtId="0" fontId="41" fillId="2" borderId="4" xfId="0" applyFont="1" applyFill="1" applyBorder="1" applyAlignment="1">
      <alignment horizontal="center" vertical="center"/>
    </xf>
    <xf numFmtId="0" fontId="41" fillId="2" borderId="6" xfId="0" applyFont="1" applyFill="1" applyBorder="1" applyAlignment="1">
      <alignment horizontal="center" vertical="center"/>
    </xf>
  </cellXfs>
  <cellStyles count="3">
    <cellStyle name="Comma" xfId="1" builtinId="3"/>
    <cellStyle name="Normal" xfId="0" builtinId="0"/>
    <cellStyle name="Normal 2" xfId="2" xr:uid="{00000000-0005-0000-0000-000002000000}"/>
  </cellStyles>
  <dxfs count="33">
    <dxf>
      <numFmt numFmtId="2" formatCode="0.0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FF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6.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17.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0.23676912770840883"/>
          <c:y val="0.24726431335367979"/>
          <c:w val="0.69413940412260178"/>
          <c:h val="0.565608544341209"/>
        </c:manualLayout>
      </c:layout>
      <c:scatterChart>
        <c:scatterStyle val="lineMarker"/>
        <c:varyColors val="0"/>
        <c:ser>
          <c:idx val="0"/>
          <c:order val="0"/>
          <c:tx>
            <c:strRef>
              <c:f>Sheet1!$Q$2</c:f>
              <c:strCache>
                <c:ptCount val="1"/>
                <c:pt idx="0">
                  <c:v>Rlight</c:v>
                </c:pt>
              </c:strCache>
            </c:strRef>
          </c:tx>
          <c:spPr>
            <a:ln w="28575">
              <a:noFill/>
            </a:ln>
          </c:spPr>
          <c:marker>
            <c:symbol val="circle"/>
            <c:size val="5"/>
            <c:spPr>
              <a:solidFill>
                <a:schemeClr val="tx1"/>
              </a:solidFill>
              <a:ln>
                <a:noFill/>
              </a:ln>
            </c:spPr>
          </c:marker>
          <c:xVal>
            <c:numRef>
              <c:f>Sheet1!$P$4:$P$7</c:f>
              <c:numCache>
                <c:formatCode>General</c:formatCode>
                <c:ptCount val="4"/>
                <c:pt idx="0">
                  <c:v>15</c:v>
                </c:pt>
                <c:pt idx="1">
                  <c:v>25</c:v>
                </c:pt>
                <c:pt idx="2">
                  <c:v>35</c:v>
                </c:pt>
                <c:pt idx="3">
                  <c:v>45</c:v>
                </c:pt>
              </c:numCache>
            </c:numRef>
          </c:xVal>
          <c:yVal>
            <c:numRef>
              <c:f>Sheet1!$Q$4:$Q$7</c:f>
              <c:numCache>
                <c:formatCode>General</c:formatCode>
                <c:ptCount val="4"/>
                <c:pt idx="0">
                  <c:v>0.55659830444258751</c:v>
                </c:pt>
                <c:pt idx="1">
                  <c:v>1</c:v>
                </c:pt>
                <c:pt idx="2">
                  <c:v>1.7295889798732365</c:v>
                </c:pt>
                <c:pt idx="3">
                  <c:v>2.8902001001776991</c:v>
                </c:pt>
              </c:numCache>
            </c:numRef>
          </c:yVal>
          <c:smooth val="0"/>
          <c:extLst>
            <c:ext xmlns:c16="http://schemas.microsoft.com/office/drawing/2014/chart" uri="{C3380CC4-5D6E-409C-BE32-E72D297353CC}">
              <c16:uniqueId val="{00000000-4F16-4385-BE11-6E0BAD754CF3}"/>
            </c:ext>
          </c:extLst>
        </c:ser>
        <c:dLbls>
          <c:showLegendKey val="0"/>
          <c:showVal val="0"/>
          <c:showCatName val="0"/>
          <c:showSerName val="0"/>
          <c:showPercent val="0"/>
          <c:showBubbleSize val="0"/>
        </c:dLbls>
        <c:axId val="413220768"/>
        <c:axId val="413222448"/>
      </c:scatterChart>
      <c:valAx>
        <c:axId val="41322076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413222448"/>
        <c:crosses val="autoZero"/>
        <c:crossBetween val="midCat"/>
      </c:valAx>
      <c:valAx>
        <c:axId val="413222448"/>
        <c:scaling>
          <c:orientation val="minMax"/>
        </c:scaling>
        <c:delete val="0"/>
        <c:axPos val="l"/>
        <c:title>
          <c:tx>
            <c:rich>
              <a:bodyPr rot="-5400000" vert="horz"/>
              <a:lstStyle/>
              <a:p>
                <a:pPr>
                  <a:defRPr/>
                </a:pPr>
                <a:r>
                  <a:rPr lang="en-GB"/>
                  <a:t>umol m-2</a:t>
                </a:r>
                <a:r>
                  <a:rPr lang="en-GB" baseline="0"/>
                  <a:t> s-1</a:t>
                </a:r>
                <a:endParaRPr lang="en-GB"/>
              </a:p>
            </c:rich>
          </c:tx>
          <c:layout>
            <c:manualLayout>
              <c:xMode val="edge"/>
              <c:yMode val="edge"/>
              <c:x val="0"/>
              <c:y val="0.29955482048425702"/>
            </c:manualLayout>
          </c:layout>
          <c:overlay val="0"/>
        </c:title>
        <c:numFmt formatCode="General" sourceLinked="1"/>
        <c:majorTickMark val="out"/>
        <c:minorTickMark val="none"/>
        <c:tickLblPos val="nextTo"/>
        <c:spPr>
          <a:ln w="12700">
            <a:solidFill>
              <a:schemeClr val="tx1"/>
            </a:solidFill>
          </a:ln>
        </c:spPr>
        <c:crossAx val="41322076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Sco mol/mol</a:t>
            </a:r>
          </a:p>
        </c:rich>
      </c:tx>
      <c:overlay val="1"/>
    </c:title>
    <c:autoTitleDeleted val="0"/>
    <c:plotArea>
      <c:layout>
        <c:manualLayout>
          <c:layoutTarget val="inner"/>
          <c:xMode val="edge"/>
          <c:yMode val="edge"/>
          <c:x val="0.25350552938204901"/>
          <c:y val="0.26220361801727193"/>
          <c:w val="0.67740300244896168"/>
          <c:h val="0.46103341169606399"/>
        </c:manualLayout>
      </c:layout>
      <c:scatterChart>
        <c:scatterStyle val="lineMarker"/>
        <c:varyColors val="0"/>
        <c:ser>
          <c:idx val="0"/>
          <c:order val="0"/>
          <c:tx>
            <c:strRef>
              <c:f>Sheet1!$U$2</c:f>
              <c:strCache>
                <c:ptCount val="1"/>
                <c:pt idx="0">
                  <c:v>Sco vitro</c:v>
                </c:pt>
              </c:strCache>
            </c:strRef>
          </c:tx>
          <c:spPr>
            <a:ln w="28575">
              <a:noFill/>
            </a:ln>
          </c:spPr>
          <c:marker>
            <c:symbol val="circle"/>
            <c:size val="5"/>
            <c:spPr>
              <a:solidFill>
                <a:schemeClr val="tx1"/>
              </a:solidFill>
              <a:ln>
                <a:noFill/>
              </a:ln>
            </c:spPr>
          </c:marker>
          <c:xVal>
            <c:numRef>
              <c:f>Sheet1!$T$4:$T$7</c:f>
              <c:numCache>
                <c:formatCode>General</c:formatCode>
                <c:ptCount val="4"/>
                <c:pt idx="0">
                  <c:v>15</c:v>
                </c:pt>
                <c:pt idx="1">
                  <c:v>25</c:v>
                </c:pt>
                <c:pt idx="2">
                  <c:v>35</c:v>
                </c:pt>
                <c:pt idx="3">
                  <c:v>45</c:v>
                </c:pt>
              </c:numCache>
            </c:numRef>
          </c:xVal>
          <c:yVal>
            <c:numRef>
              <c:f>Sheet1!$U$4:$U$7</c:f>
              <c:numCache>
                <c:formatCode>General</c:formatCode>
                <c:ptCount val="4"/>
                <c:pt idx="0">
                  <c:v>120.63347272058341</c:v>
                </c:pt>
                <c:pt idx="1">
                  <c:v>87.3</c:v>
                </c:pt>
                <c:pt idx="2">
                  <c:v>64.517358857454028</c:v>
                </c:pt>
                <c:pt idx="3">
                  <c:v>48.595410264702764</c:v>
                </c:pt>
              </c:numCache>
            </c:numRef>
          </c:yVal>
          <c:smooth val="0"/>
          <c:extLst>
            <c:ext xmlns:c16="http://schemas.microsoft.com/office/drawing/2014/chart" uri="{C3380CC4-5D6E-409C-BE32-E72D297353CC}">
              <c16:uniqueId val="{00000000-BDA8-4E16-A159-36C05DA6321D}"/>
            </c:ext>
          </c:extLst>
        </c:ser>
        <c:dLbls>
          <c:showLegendKey val="0"/>
          <c:showVal val="0"/>
          <c:showCatName val="0"/>
          <c:showSerName val="0"/>
          <c:showPercent val="0"/>
          <c:showBubbleSize val="0"/>
        </c:dLbls>
        <c:axId val="529711728"/>
        <c:axId val="529712288"/>
      </c:scatterChart>
      <c:valAx>
        <c:axId val="5297117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9712288"/>
        <c:crosses val="autoZero"/>
        <c:crossBetween val="midCat"/>
      </c:valAx>
      <c:valAx>
        <c:axId val="529712288"/>
        <c:scaling>
          <c:orientation val="minMax"/>
        </c:scaling>
        <c:delete val="0"/>
        <c:axPos val="l"/>
        <c:title>
          <c:tx>
            <c:rich>
              <a:bodyPr rot="-5400000" vert="horz"/>
              <a:lstStyle/>
              <a:p>
                <a:pPr>
                  <a:defRPr/>
                </a:pPr>
                <a:r>
                  <a:rPr lang="en-GB"/>
                  <a:t>mol/mol</a:t>
                </a:r>
              </a:p>
            </c:rich>
          </c:tx>
          <c:overlay val="0"/>
        </c:title>
        <c:numFmt formatCode="General" sourceLinked="1"/>
        <c:majorTickMark val="out"/>
        <c:minorTickMark val="none"/>
        <c:tickLblPos val="nextTo"/>
        <c:spPr>
          <a:ln w="12700">
            <a:solidFill>
              <a:schemeClr val="tx1"/>
            </a:solidFill>
          </a:ln>
        </c:spPr>
        <c:crossAx val="5297117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Kc uM</a:t>
            </a:r>
          </a:p>
        </c:rich>
      </c:tx>
      <c:overlay val="1"/>
    </c:title>
    <c:autoTitleDeleted val="0"/>
    <c:plotArea>
      <c:layout>
        <c:manualLayout>
          <c:layoutTarget val="inner"/>
          <c:xMode val="edge"/>
          <c:yMode val="edge"/>
          <c:x val="0.22561152659264874"/>
          <c:y val="0.2771429226808641"/>
          <c:w val="0.67182420189108161"/>
          <c:h val="0.50585132568684044"/>
        </c:manualLayout>
      </c:layout>
      <c:scatterChart>
        <c:scatterStyle val="lineMarker"/>
        <c:varyColors val="0"/>
        <c:ser>
          <c:idx val="0"/>
          <c:order val="0"/>
          <c:tx>
            <c:strRef>
              <c:f>Sheet1!$Y$2</c:f>
              <c:strCache>
                <c:ptCount val="1"/>
                <c:pt idx="0">
                  <c:v>Kc vitro</c:v>
                </c:pt>
              </c:strCache>
            </c:strRef>
          </c:tx>
          <c:spPr>
            <a:ln w="28575">
              <a:noFill/>
            </a:ln>
          </c:spPr>
          <c:marker>
            <c:symbol val="circle"/>
            <c:size val="5"/>
            <c:spPr>
              <a:solidFill>
                <a:schemeClr val="tx1"/>
              </a:solidFill>
              <a:ln>
                <a:noFill/>
              </a:ln>
            </c:spPr>
          </c:marker>
          <c:xVal>
            <c:numRef>
              <c:f>Sheet1!$X$4:$X$7</c:f>
              <c:numCache>
                <c:formatCode>General</c:formatCode>
                <c:ptCount val="4"/>
                <c:pt idx="0">
                  <c:v>15</c:v>
                </c:pt>
                <c:pt idx="1">
                  <c:v>25</c:v>
                </c:pt>
                <c:pt idx="2">
                  <c:v>35</c:v>
                </c:pt>
                <c:pt idx="3">
                  <c:v>45</c:v>
                </c:pt>
              </c:numCache>
            </c:numRef>
          </c:xVal>
          <c:yVal>
            <c:numRef>
              <c:f>Sheet1!$Y$4:$Y$7</c:f>
              <c:numCache>
                <c:formatCode>General</c:formatCode>
                <c:ptCount val="4"/>
                <c:pt idx="0">
                  <c:v>6.5647605286794004</c:v>
                </c:pt>
                <c:pt idx="1">
                  <c:v>12.5</c:v>
                </c:pt>
                <c:pt idx="2">
                  <c:v>22.826967316271734</c:v>
                </c:pt>
                <c:pt idx="3">
                  <c:v>40.137029958336477</c:v>
                </c:pt>
              </c:numCache>
            </c:numRef>
          </c:yVal>
          <c:smooth val="0"/>
          <c:extLst>
            <c:ext xmlns:c16="http://schemas.microsoft.com/office/drawing/2014/chart" uri="{C3380CC4-5D6E-409C-BE32-E72D297353CC}">
              <c16:uniqueId val="{00000000-DFE4-49C6-8496-6742F09A3663}"/>
            </c:ext>
          </c:extLst>
        </c:ser>
        <c:dLbls>
          <c:showLegendKey val="0"/>
          <c:showVal val="0"/>
          <c:showCatName val="0"/>
          <c:showSerName val="0"/>
          <c:showPercent val="0"/>
          <c:showBubbleSize val="0"/>
        </c:dLbls>
        <c:axId val="529714528"/>
        <c:axId val="529715088"/>
      </c:scatterChart>
      <c:valAx>
        <c:axId val="5297145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9715088"/>
        <c:crosses val="autoZero"/>
        <c:crossBetween val="midCat"/>
      </c:valAx>
      <c:valAx>
        <c:axId val="529715088"/>
        <c:scaling>
          <c:orientation val="minMax"/>
        </c:scaling>
        <c:delete val="0"/>
        <c:axPos val="l"/>
        <c:title>
          <c:tx>
            <c:rich>
              <a:bodyPr rot="-5400000" vert="horz"/>
              <a:lstStyle/>
              <a:p>
                <a:pPr>
                  <a:defRPr/>
                </a:pPr>
                <a:r>
                  <a:rPr lang="en-GB"/>
                  <a:t>uM</a:t>
                </a:r>
              </a:p>
            </c:rich>
          </c:tx>
          <c:overlay val="0"/>
        </c:title>
        <c:numFmt formatCode="General" sourceLinked="1"/>
        <c:majorTickMark val="out"/>
        <c:minorTickMark val="none"/>
        <c:tickLblPos val="nextTo"/>
        <c:spPr>
          <a:ln w="12700">
            <a:solidFill>
              <a:schemeClr val="tx1"/>
            </a:solidFill>
          </a:ln>
        </c:spPr>
        <c:crossAx val="5297145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Ko uM</a:t>
            </a:r>
          </a:p>
        </c:rich>
      </c:tx>
      <c:overlay val="1"/>
    </c:title>
    <c:autoTitleDeleted val="0"/>
    <c:plotArea>
      <c:layout>
        <c:manualLayout>
          <c:layoutTarget val="inner"/>
          <c:xMode val="edge"/>
          <c:yMode val="edge"/>
          <c:x val="0.2423479282662889"/>
          <c:y val="0.23979466102188374"/>
          <c:w val="0.68856060356472182"/>
          <c:h val="0.51332097801863652"/>
        </c:manualLayout>
      </c:layout>
      <c:scatterChart>
        <c:scatterStyle val="lineMarker"/>
        <c:varyColors val="0"/>
        <c:ser>
          <c:idx val="0"/>
          <c:order val="0"/>
          <c:tx>
            <c:strRef>
              <c:f>Sheet1!$AC$3</c:f>
              <c:strCache>
                <c:ptCount val="1"/>
                <c:pt idx="0">
                  <c:v>Ko vitro</c:v>
                </c:pt>
              </c:strCache>
            </c:strRef>
          </c:tx>
          <c:spPr>
            <a:ln w="28575">
              <a:noFill/>
            </a:ln>
          </c:spPr>
          <c:marker>
            <c:symbol val="circle"/>
            <c:size val="5"/>
            <c:spPr>
              <a:solidFill>
                <a:schemeClr val="tx1"/>
              </a:solidFill>
              <a:ln>
                <a:noFill/>
              </a:ln>
            </c:spPr>
          </c:marker>
          <c:xVal>
            <c:numRef>
              <c:f>Sheet1!$AB$5:$AB$8</c:f>
              <c:numCache>
                <c:formatCode>General</c:formatCode>
                <c:ptCount val="4"/>
                <c:pt idx="0">
                  <c:v>15</c:v>
                </c:pt>
                <c:pt idx="1">
                  <c:v>25</c:v>
                </c:pt>
                <c:pt idx="2">
                  <c:v>35</c:v>
                </c:pt>
                <c:pt idx="3">
                  <c:v>45</c:v>
                </c:pt>
              </c:numCache>
            </c:numRef>
          </c:xVal>
          <c:yVal>
            <c:numRef>
              <c:f>Sheet1!$AC$5:$AC$8</c:f>
              <c:numCache>
                <c:formatCode>General</c:formatCode>
                <c:ptCount val="4"/>
                <c:pt idx="0">
                  <c:v>197.50503635505962</c:v>
                </c:pt>
                <c:pt idx="1">
                  <c:v>244</c:v>
                </c:pt>
                <c:pt idx="2">
                  <c:v>297.33263839371131</c:v>
                </c:pt>
                <c:pt idx="3">
                  <c:v>357.84779382433686</c:v>
                </c:pt>
              </c:numCache>
            </c:numRef>
          </c:yVal>
          <c:smooth val="0"/>
          <c:extLst>
            <c:ext xmlns:c16="http://schemas.microsoft.com/office/drawing/2014/chart" uri="{C3380CC4-5D6E-409C-BE32-E72D297353CC}">
              <c16:uniqueId val="{00000000-17AD-498A-9FEA-8AA47BFC62E4}"/>
            </c:ext>
          </c:extLst>
        </c:ser>
        <c:dLbls>
          <c:showLegendKey val="0"/>
          <c:showVal val="0"/>
          <c:showCatName val="0"/>
          <c:showSerName val="0"/>
          <c:showPercent val="0"/>
          <c:showBubbleSize val="0"/>
        </c:dLbls>
        <c:axId val="529717328"/>
        <c:axId val="529717888"/>
      </c:scatterChart>
      <c:valAx>
        <c:axId val="5297173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9717888"/>
        <c:crosses val="autoZero"/>
        <c:crossBetween val="midCat"/>
      </c:valAx>
      <c:valAx>
        <c:axId val="529717888"/>
        <c:scaling>
          <c:orientation val="minMax"/>
        </c:scaling>
        <c:delete val="0"/>
        <c:axPos val="l"/>
        <c:title>
          <c:tx>
            <c:rich>
              <a:bodyPr rot="-5400000" vert="horz"/>
              <a:lstStyle/>
              <a:p>
                <a:pPr>
                  <a:defRPr/>
                </a:pPr>
                <a:r>
                  <a:rPr lang="en-GB"/>
                  <a:t>uM</a:t>
                </a:r>
              </a:p>
            </c:rich>
          </c:tx>
          <c:overlay val="0"/>
        </c:title>
        <c:numFmt formatCode="General" sourceLinked="1"/>
        <c:majorTickMark val="out"/>
        <c:minorTickMark val="none"/>
        <c:tickLblPos val="nextTo"/>
        <c:spPr>
          <a:ln w="12700">
            <a:solidFill>
              <a:schemeClr val="tx1"/>
            </a:solidFill>
          </a:ln>
        </c:spPr>
        <c:crossAx val="5297173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Kp ubar</a:t>
            </a:r>
          </a:p>
        </c:rich>
      </c:tx>
      <c:overlay val="1"/>
    </c:title>
    <c:autoTitleDeleted val="0"/>
    <c:plotArea>
      <c:layout>
        <c:manualLayout>
          <c:layoutTarget val="inner"/>
          <c:xMode val="edge"/>
          <c:yMode val="edge"/>
          <c:x val="0.2200327260347687"/>
          <c:y val="0.23979466102188374"/>
          <c:w val="0.71645460635412206"/>
          <c:h val="0.57307819667300508"/>
        </c:manualLayout>
      </c:layout>
      <c:scatterChart>
        <c:scatterStyle val="lineMarker"/>
        <c:varyColors val="0"/>
        <c:ser>
          <c:idx val="0"/>
          <c:order val="0"/>
          <c:tx>
            <c:strRef>
              <c:f>Sheet1!$AG$3</c:f>
              <c:strCache>
                <c:ptCount val="1"/>
                <c:pt idx="0">
                  <c:v>Kp</c:v>
                </c:pt>
              </c:strCache>
            </c:strRef>
          </c:tx>
          <c:spPr>
            <a:ln w="28575">
              <a:noFill/>
            </a:ln>
          </c:spPr>
          <c:marker>
            <c:symbol val="circle"/>
            <c:size val="5"/>
            <c:spPr>
              <a:solidFill>
                <a:schemeClr val="tx1"/>
              </a:solidFill>
              <a:ln>
                <a:noFill/>
              </a:ln>
            </c:spPr>
          </c:marker>
          <c:xVal>
            <c:numRef>
              <c:f>Sheet1!$AF$5:$AF$8</c:f>
              <c:numCache>
                <c:formatCode>General</c:formatCode>
                <c:ptCount val="4"/>
                <c:pt idx="0">
                  <c:v>15</c:v>
                </c:pt>
                <c:pt idx="1">
                  <c:v>25</c:v>
                </c:pt>
                <c:pt idx="2">
                  <c:v>35</c:v>
                </c:pt>
                <c:pt idx="3">
                  <c:v>45</c:v>
                </c:pt>
              </c:numCache>
            </c:numRef>
          </c:xVal>
          <c:yVal>
            <c:numRef>
              <c:f>Sheet1!$AG$5:$AG$8</c:f>
              <c:numCache>
                <c:formatCode>General</c:formatCode>
                <c:ptCount val="4"/>
                <c:pt idx="0">
                  <c:v>30.833691135798112</c:v>
                </c:pt>
                <c:pt idx="1">
                  <c:v>80</c:v>
                </c:pt>
                <c:pt idx="2">
                  <c:v>195.11031997786657</c:v>
                </c:pt>
                <c:pt idx="3">
                  <c:v>449.91491253144147</c:v>
                </c:pt>
              </c:numCache>
            </c:numRef>
          </c:yVal>
          <c:smooth val="0"/>
          <c:extLst>
            <c:ext xmlns:c16="http://schemas.microsoft.com/office/drawing/2014/chart" uri="{C3380CC4-5D6E-409C-BE32-E72D297353CC}">
              <c16:uniqueId val="{00000000-7A93-45A8-B686-7ED6129EBF53}"/>
            </c:ext>
          </c:extLst>
        </c:ser>
        <c:dLbls>
          <c:showLegendKey val="0"/>
          <c:showVal val="0"/>
          <c:showCatName val="0"/>
          <c:showSerName val="0"/>
          <c:showPercent val="0"/>
          <c:showBubbleSize val="0"/>
        </c:dLbls>
        <c:axId val="529720128"/>
        <c:axId val="529720688"/>
      </c:scatterChart>
      <c:valAx>
        <c:axId val="5297201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9720688"/>
        <c:crosses val="autoZero"/>
        <c:crossBetween val="midCat"/>
      </c:valAx>
      <c:valAx>
        <c:axId val="529720688"/>
        <c:scaling>
          <c:orientation val="minMax"/>
        </c:scaling>
        <c:delete val="0"/>
        <c:axPos val="l"/>
        <c:title>
          <c:tx>
            <c:rich>
              <a:bodyPr rot="-5400000" vert="horz"/>
              <a:lstStyle/>
              <a:p>
                <a:pPr>
                  <a:defRPr/>
                </a:pPr>
                <a:r>
                  <a:rPr lang="en-GB"/>
                  <a:t>ubar</a:t>
                </a:r>
              </a:p>
            </c:rich>
          </c:tx>
          <c:overlay val="0"/>
        </c:title>
        <c:numFmt formatCode="General" sourceLinked="1"/>
        <c:majorTickMark val="out"/>
        <c:minorTickMark val="none"/>
        <c:tickLblPos val="nextTo"/>
        <c:spPr>
          <a:ln w="12700">
            <a:solidFill>
              <a:schemeClr val="tx1"/>
            </a:solidFill>
          </a:ln>
        </c:spPr>
        <c:crossAx val="5297201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3677813285891567"/>
          <c:y val="0"/>
        </c:manualLayout>
      </c:layout>
      <c:overlay val="0"/>
    </c:title>
    <c:autoTitleDeleted val="0"/>
    <c:plotArea>
      <c:layout>
        <c:manualLayout>
          <c:layoutTarget val="inner"/>
          <c:xMode val="edge"/>
          <c:yMode val="edge"/>
          <c:x val="0.20329632436112852"/>
          <c:y val="0.20244639936290335"/>
          <c:w val="0.7276122074698822"/>
          <c:h val="0.6104264583319855"/>
        </c:manualLayout>
      </c:layout>
      <c:scatterChart>
        <c:scatterStyle val="lineMarker"/>
        <c:varyColors val="0"/>
        <c:ser>
          <c:idx val="0"/>
          <c:order val="0"/>
          <c:tx>
            <c:strRef>
              <c:f>Sheet1!$AK$3</c:f>
              <c:strCache>
                <c:ptCount val="1"/>
                <c:pt idx="0">
                  <c:v>VpMax</c:v>
                </c:pt>
              </c:strCache>
            </c:strRef>
          </c:tx>
          <c:spPr>
            <a:ln w="28575">
              <a:noFill/>
            </a:ln>
          </c:spPr>
          <c:marker>
            <c:symbol val="circle"/>
            <c:size val="5"/>
            <c:spPr>
              <a:solidFill>
                <a:schemeClr val="tx1"/>
              </a:solidFill>
              <a:ln>
                <a:noFill/>
              </a:ln>
            </c:spPr>
          </c:marker>
          <c:xVal>
            <c:numRef>
              <c:f>Sheet1!$AJ$5:$AJ$8</c:f>
              <c:numCache>
                <c:formatCode>General</c:formatCode>
                <c:ptCount val="4"/>
                <c:pt idx="0">
                  <c:v>15</c:v>
                </c:pt>
                <c:pt idx="1">
                  <c:v>25</c:v>
                </c:pt>
                <c:pt idx="2">
                  <c:v>35</c:v>
                </c:pt>
                <c:pt idx="3">
                  <c:v>45</c:v>
                </c:pt>
              </c:numCache>
            </c:numRef>
          </c:xVal>
          <c:yVal>
            <c:numRef>
              <c:f>Sheet1!$AK$5:$AK$8</c:f>
              <c:numCache>
                <c:formatCode>General</c:formatCode>
                <c:ptCount val="4"/>
                <c:pt idx="0">
                  <c:v>47.718806172440246</c:v>
                </c:pt>
                <c:pt idx="1">
                  <c:v>80</c:v>
                </c:pt>
                <c:pt idx="2">
                  <c:v>127.14590171523307</c:v>
                </c:pt>
                <c:pt idx="3">
                  <c:v>155.84924430976682</c:v>
                </c:pt>
              </c:numCache>
            </c:numRef>
          </c:yVal>
          <c:smooth val="0"/>
          <c:extLst>
            <c:ext xmlns:c16="http://schemas.microsoft.com/office/drawing/2014/chart" uri="{C3380CC4-5D6E-409C-BE32-E72D297353CC}">
              <c16:uniqueId val="{00000000-E33F-4767-9DC5-990FF041ECA2}"/>
            </c:ext>
          </c:extLst>
        </c:ser>
        <c:dLbls>
          <c:showLegendKey val="0"/>
          <c:showVal val="0"/>
          <c:showCatName val="0"/>
          <c:showSerName val="0"/>
          <c:showPercent val="0"/>
          <c:showBubbleSize val="0"/>
        </c:dLbls>
        <c:axId val="529723488"/>
        <c:axId val="529724048"/>
      </c:scatterChart>
      <c:valAx>
        <c:axId val="52972348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9724048"/>
        <c:crosses val="autoZero"/>
        <c:crossBetween val="midCat"/>
      </c:valAx>
      <c:valAx>
        <c:axId val="529724048"/>
        <c:scaling>
          <c:orientation val="minMax"/>
        </c:scaling>
        <c:delete val="0"/>
        <c:axPos val="l"/>
        <c:title>
          <c:tx>
            <c:rich>
              <a:bodyPr rot="-5400000" vert="horz"/>
              <a:lstStyle/>
              <a:p>
                <a:pPr>
                  <a:defRPr/>
                </a:pPr>
                <a:r>
                  <a:rPr lang="en-GB"/>
                  <a:t>umol m-2 s-1</a:t>
                </a:r>
              </a:p>
            </c:rich>
          </c:tx>
          <c:overlay val="0"/>
        </c:title>
        <c:numFmt formatCode="General" sourceLinked="1"/>
        <c:majorTickMark val="out"/>
        <c:minorTickMark val="none"/>
        <c:tickLblPos val="nextTo"/>
        <c:spPr>
          <a:ln w="12700">
            <a:solidFill>
              <a:schemeClr val="tx1"/>
            </a:solidFill>
          </a:ln>
        </c:spPr>
        <c:crossAx val="52972348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7451871863297423"/>
          <c:y val="7.4696523317960752E-3"/>
        </c:manualLayout>
      </c:layout>
      <c:overlay val="0"/>
    </c:title>
    <c:autoTitleDeleted val="0"/>
    <c:plotArea>
      <c:layout>
        <c:manualLayout>
          <c:layoutTarget val="inner"/>
          <c:xMode val="edge"/>
          <c:yMode val="edge"/>
          <c:x val="0.27102296313379237"/>
          <c:y val="0.20991605169469943"/>
          <c:w val="0.66721971469047536"/>
          <c:h val="0.60295680600018942"/>
        </c:manualLayout>
      </c:layout>
      <c:scatterChart>
        <c:scatterStyle val="lineMarker"/>
        <c:varyColors val="0"/>
        <c:ser>
          <c:idx val="0"/>
          <c:order val="0"/>
          <c:tx>
            <c:strRef>
              <c:f>Sheet1!$AO$3</c:f>
              <c:strCache>
                <c:ptCount val="1"/>
                <c:pt idx="0">
                  <c:v>gBS</c:v>
                </c:pt>
              </c:strCache>
            </c:strRef>
          </c:tx>
          <c:spPr>
            <a:ln w="28575">
              <a:noFill/>
            </a:ln>
          </c:spPr>
          <c:marker>
            <c:symbol val="circle"/>
            <c:size val="5"/>
            <c:spPr>
              <a:solidFill>
                <a:schemeClr val="tx1"/>
              </a:solidFill>
              <a:ln>
                <a:noFill/>
              </a:ln>
            </c:spPr>
          </c:marker>
          <c:xVal>
            <c:numRef>
              <c:f>Sheet1!$AN$5:$AN$8</c:f>
              <c:numCache>
                <c:formatCode>General</c:formatCode>
                <c:ptCount val="4"/>
                <c:pt idx="0">
                  <c:v>15</c:v>
                </c:pt>
                <c:pt idx="1">
                  <c:v>25</c:v>
                </c:pt>
                <c:pt idx="2">
                  <c:v>35</c:v>
                </c:pt>
                <c:pt idx="3">
                  <c:v>45</c:v>
                </c:pt>
              </c:numCache>
            </c:numRef>
          </c:xVal>
          <c:yVal>
            <c:numRef>
              <c:f>Sheet1!$AO$5:$AO$8</c:f>
              <c:numCache>
                <c:formatCode>General</c:formatCode>
                <c:ptCount val="4"/>
                <c:pt idx="0">
                  <c:v>5.7964455721306739E-4</c:v>
                </c:pt>
                <c:pt idx="1">
                  <c:v>2.8700000000000002E-3</c:v>
                </c:pt>
                <c:pt idx="2">
                  <c:v>6.3150207004156666E-3</c:v>
                </c:pt>
                <c:pt idx="3">
                  <c:v>1.8462015306641598E-3</c:v>
                </c:pt>
              </c:numCache>
            </c:numRef>
          </c:yVal>
          <c:smooth val="0"/>
          <c:extLst>
            <c:ext xmlns:c16="http://schemas.microsoft.com/office/drawing/2014/chart" uri="{C3380CC4-5D6E-409C-BE32-E72D297353CC}">
              <c16:uniqueId val="{00000000-3EED-4DA1-A441-04805BB6DEE0}"/>
            </c:ext>
          </c:extLst>
        </c:ser>
        <c:dLbls>
          <c:showLegendKey val="0"/>
          <c:showVal val="0"/>
          <c:showCatName val="0"/>
          <c:showSerName val="0"/>
          <c:showPercent val="0"/>
          <c:showBubbleSize val="0"/>
        </c:dLbls>
        <c:axId val="529725728"/>
        <c:axId val="529726288"/>
      </c:scatterChart>
      <c:valAx>
        <c:axId val="5297257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9726288"/>
        <c:crosses val="autoZero"/>
        <c:crossBetween val="midCat"/>
      </c:valAx>
      <c:valAx>
        <c:axId val="529726288"/>
        <c:scaling>
          <c:orientation val="minMax"/>
        </c:scaling>
        <c:delete val="0"/>
        <c:axPos val="l"/>
        <c:title>
          <c:tx>
            <c:rich>
              <a:bodyPr rot="-5400000" vert="horz"/>
              <a:lstStyle/>
              <a:p>
                <a:pPr>
                  <a:defRPr/>
                </a:pPr>
                <a:r>
                  <a:rPr lang="en-GB"/>
                  <a:t>mol m-2 s-1</a:t>
                </a:r>
              </a:p>
            </c:rich>
          </c:tx>
          <c:overlay val="0"/>
        </c:title>
        <c:numFmt formatCode="General" sourceLinked="1"/>
        <c:majorTickMark val="out"/>
        <c:minorTickMark val="none"/>
        <c:tickLblPos val="nextTo"/>
        <c:spPr>
          <a:ln w="12700">
            <a:solidFill>
              <a:schemeClr val="tx1"/>
            </a:solidFill>
          </a:ln>
        </c:spPr>
        <c:crossAx val="5297257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Volatility</a:t>
            </a:r>
          </a:p>
        </c:rich>
      </c:tx>
      <c:overlay val="1"/>
    </c:title>
    <c:autoTitleDeleted val="0"/>
    <c:plotArea>
      <c:layout>
        <c:manualLayout>
          <c:layoutTarget val="inner"/>
          <c:xMode val="edge"/>
          <c:yMode val="edge"/>
          <c:x val="0.27925147431884823"/>
          <c:y val="0.23232500869008765"/>
          <c:w val="0.65899120350541951"/>
          <c:h val="0.58054784900480116"/>
        </c:manualLayout>
      </c:layout>
      <c:scatterChart>
        <c:scatterStyle val="lineMarker"/>
        <c:varyColors val="0"/>
        <c:ser>
          <c:idx val="0"/>
          <c:order val="0"/>
          <c:tx>
            <c:strRef>
              <c:f>Sheet1!$AS$3</c:f>
              <c:strCache>
                <c:ptCount val="1"/>
                <c:pt idx="0">
                  <c:v>KH O2</c:v>
                </c:pt>
              </c:strCache>
            </c:strRef>
          </c:tx>
          <c:spPr>
            <a:ln w="28575">
              <a:noFill/>
            </a:ln>
          </c:spPr>
          <c:marker>
            <c:symbol val="circle"/>
            <c:size val="5"/>
            <c:spPr>
              <a:solidFill>
                <a:schemeClr val="tx1"/>
              </a:solidFill>
              <a:ln>
                <a:noFill/>
              </a:ln>
            </c:spPr>
          </c:marker>
          <c:xVal>
            <c:numRef>
              <c:f>Sheet1!$AR$5:$AR$8</c:f>
              <c:numCache>
                <c:formatCode>General</c:formatCode>
                <c:ptCount val="4"/>
                <c:pt idx="0">
                  <c:v>15</c:v>
                </c:pt>
                <c:pt idx="1">
                  <c:v>25</c:v>
                </c:pt>
                <c:pt idx="2">
                  <c:v>35</c:v>
                </c:pt>
                <c:pt idx="3">
                  <c:v>45</c:v>
                </c:pt>
              </c:numCache>
            </c:numRef>
          </c:xVal>
          <c:yVal>
            <c:numRef>
              <c:f>Sheet1!$AS$5:$AS$8</c:f>
              <c:numCache>
                <c:formatCode>General</c:formatCode>
                <c:ptCount val="4"/>
                <c:pt idx="0">
                  <c:v>683.06486613631489</c:v>
                </c:pt>
                <c:pt idx="1">
                  <c:v>833.3</c:v>
                </c:pt>
                <c:pt idx="2">
                  <c:v>1003.5455471817247</c:v>
                </c:pt>
                <c:pt idx="3">
                  <c:v>1194.5311278556007</c:v>
                </c:pt>
              </c:numCache>
            </c:numRef>
          </c:yVal>
          <c:smooth val="0"/>
          <c:extLst>
            <c:ext xmlns:c16="http://schemas.microsoft.com/office/drawing/2014/chart" uri="{C3380CC4-5D6E-409C-BE32-E72D297353CC}">
              <c16:uniqueId val="{00000000-C272-4C13-B427-4CAA8B31C44F}"/>
            </c:ext>
          </c:extLst>
        </c:ser>
        <c:dLbls>
          <c:showLegendKey val="0"/>
          <c:showVal val="0"/>
          <c:showCatName val="0"/>
          <c:showSerName val="0"/>
          <c:showPercent val="0"/>
          <c:showBubbleSize val="0"/>
        </c:dLbls>
        <c:axId val="528352528"/>
        <c:axId val="528353088"/>
      </c:scatterChart>
      <c:valAx>
        <c:axId val="5283525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8353088"/>
        <c:crosses val="autoZero"/>
        <c:crossBetween val="midCat"/>
      </c:valAx>
      <c:valAx>
        <c:axId val="528353088"/>
        <c:scaling>
          <c:orientation val="minMax"/>
        </c:scaling>
        <c:delete val="0"/>
        <c:axPos val="l"/>
        <c:title>
          <c:tx>
            <c:rich>
              <a:bodyPr rot="-5400000" vert="horz"/>
              <a:lstStyle/>
              <a:p>
                <a:pPr>
                  <a:defRPr/>
                </a:pPr>
                <a:r>
                  <a:rPr lang="en-GB"/>
                  <a:t>ubar / uM</a:t>
                </a:r>
              </a:p>
            </c:rich>
          </c:tx>
          <c:overlay val="0"/>
        </c:title>
        <c:numFmt formatCode="General" sourceLinked="1"/>
        <c:majorTickMark val="out"/>
        <c:minorTickMark val="none"/>
        <c:tickLblPos val="nextTo"/>
        <c:spPr>
          <a:ln w="12700">
            <a:solidFill>
              <a:schemeClr val="tx1"/>
            </a:solidFill>
          </a:ln>
        </c:spPr>
        <c:crossAx val="5283525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Volatility</a:t>
            </a:r>
          </a:p>
        </c:rich>
      </c:tx>
      <c:overlay val="1"/>
    </c:title>
    <c:autoTitleDeleted val="0"/>
    <c:plotArea>
      <c:layout>
        <c:manualLayout>
          <c:layoutTarget val="inner"/>
          <c:xMode val="edge"/>
          <c:yMode val="edge"/>
          <c:x val="0.20887512491900859"/>
          <c:y val="0.23979466102188374"/>
          <c:w val="0.72203340691200213"/>
          <c:h val="0.57307819667300508"/>
        </c:manualLayout>
      </c:layout>
      <c:scatterChart>
        <c:scatterStyle val="lineMarker"/>
        <c:varyColors val="0"/>
        <c:ser>
          <c:idx val="0"/>
          <c:order val="0"/>
          <c:tx>
            <c:strRef>
              <c:f>Sheet1!$AW$3</c:f>
              <c:strCache>
                <c:ptCount val="1"/>
                <c:pt idx="0">
                  <c:v>kH CO2</c:v>
                </c:pt>
              </c:strCache>
            </c:strRef>
          </c:tx>
          <c:spPr>
            <a:ln w="28575">
              <a:noFill/>
            </a:ln>
          </c:spPr>
          <c:marker>
            <c:symbol val="circle"/>
            <c:size val="5"/>
            <c:spPr>
              <a:solidFill>
                <a:schemeClr val="tx1"/>
              </a:solidFill>
              <a:ln>
                <a:noFill/>
              </a:ln>
            </c:spPr>
          </c:marker>
          <c:xVal>
            <c:numRef>
              <c:f>Sheet1!$AV$5:$AV$8</c:f>
              <c:numCache>
                <c:formatCode>General</c:formatCode>
                <c:ptCount val="4"/>
                <c:pt idx="0">
                  <c:v>15</c:v>
                </c:pt>
                <c:pt idx="1">
                  <c:v>25</c:v>
                </c:pt>
                <c:pt idx="2">
                  <c:v>35</c:v>
                </c:pt>
                <c:pt idx="3">
                  <c:v>45</c:v>
                </c:pt>
              </c:numCache>
            </c:numRef>
          </c:xVal>
          <c:yVal>
            <c:numRef>
              <c:f>Sheet1!$AW$5:$AW$8</c:f>
              <c:numCache>
                <c:formatCode>General</c:formatCode>
                <c:ptCount val="4"/>
                <c:pt idx="0">
                  <c:v>23.095606337975287</c:v>
                </c:pt>
                <c:pt idx="1">
                  <c:v>30.303030303030301</c:v>
                </c:pt>
                <c:pt idx="2">
                  <c:v>39.064921401525652</c:v>
                </c:pt>
                <c:pt idx="3">
                  <c:v>49.562585868243602</c:v>
                </c:pt>
              </c:numCache>
            </c:numRef>
          </c:yVal>
          <c:smooth val="0"/>
          <c:extLst>
            <c:ext xmlns:c16="http://schemas.microsoft.com/office/drawing/2014/chart" uri="{C3380CC4-5D6E-409C-BE32-E72D297353CC}">
              <c16:uniqueId val="{00000000-F62F-46DA-874F-61BCE44AE863}"/>
            </c:ext>
          </c:extLst>
        </c:ser>
        <c:dLbls>
          <c:showLegendKey val="0"/>
          <c:showVal val="0"/>
          <c:showCatName val="0"/>
          <c:showSerName val="0"/>
          <c:showPercent val="0"/>
          <c:showBubbleSize val="0"/>
        </c:dLbls>
        <c:axId val="528355328"/>
        <c:axId val="528355888"/>
      </c:scatterChart>
      <c:valAx>
        <c:axId val="5283553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8355888"/>
        <c:crosses val="autoZero"/>
        <c:crossBetween val="midCat"/>
      </c:valAx>
      <c:valAx>
        <c:axId val="528355888"/>
        <c:scaling>
          <c:orientation val="minMax"/>
        </c:scaling>
        <c:delete val="0"/>
        <c:axPos val="l"/>
        <c:title>
          <c:tx>
            <c:rich>
              <a:bodyPr rot="-5400000" vert="horz"/>
              <a:lstStyle/>
              <a:p>
                <a:pPr>
                  <a:defRPr/>
                </a:pPr>
                <a:r>
                  <a:rPr lang="en-GB"/>
                  <a:t>ubar / uM</a:t>
                </a:r>
              </a:p>
            </c:rich>
          </c:tx>
          <c:overlay val="0"/>
        </c:title>
        <c:numFmt formatCode="General" sourceLinked="1"/>
        <c:majorTickMark val="out"/>
        <c:minorTickMark val="none"/>
        <c:tickLblPos val="nextTo"/>
        <c:spPr>
          <a:ln w="12700">
            <a:solidFill>
              <a:schemeClr val="tx1"/>
            </a:solidFill>
          </a:ln>
        </c:spPr>
        <c:crossAx val="5283553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KC ubar</a:t>
            </a:r>
          </a:p>
        </c:rich>
      </c:tx>
      <c:overlay val="1"/>
    </c:title>
    <c:autoTitleDeleted val="0"/>
    <c:plotArea>
      <c:layout>
        <c:manualLayout>
          <c:layoutTarget val="inner"/>
          <c:xMode val="edge"/>
          <c:yMode val="edge"/>
          <c:x val="0.24019987041368782"/>
          <c:y val="0.26967327034906802"/>
          <c:w val="0.69804280741058"/>
          <c:h val="0.54319958734582074"/>
        </c:manualLayout>
      </c:layout>
      <c:scatterChart>
        <c:scatterStyle val="lineMarker"/>
        <c:varyColors val="0"/>
        <c:ser>
          <c:idx val="0"/>
          <c:order val="0"/>
          <c:tx>
            <c:strRef>
              <c:f>Sheet1!$BA$3</c:f>
              <c:strCache>
                <c:ptCount val="1"/>
                <c:pt idx="0">
                  <c:v>KC est.</c:v>
                </c:pt>
              </c:strCache>
            </c:strRef>
          </c:tx>
          <c:spPr>
            <a:ln w="28575">
              <a:noFill/>
            </a:ln>
          </c:spPr>
          <c:marker>
            <c:symbol val="circle"/>
            <c:size val="5"/>
            <c:spPr>
              <a:solidFill>
                <a:schemeClr val="tx1"/>
              </a:solidFill>
              <a:ln>
                <a:noFill/>
              </a:ln>
            </c:spPr>
          </c:marker>
          <c:xVal>
            <c:numRef>
              <c:f>Sheet1!$AZ$5:$AZ$8</c:f>
              <c:numCache>
                <c:formatCode>General</c:formatCode>
                <c:ptCount val="4"/>
                <c:pt idx="0">
                  <c:v>15</c:v>
                </c:pt>
                <c:pt idx="1">
                  <c:v>25</c:v>
                </c:pt>
                <c:pt idx="2">
                  <c:v>35</c:v>
                </c:pt>
                <c:pt idx="3">
                  <c:v>45</c:v>
                </c:pt>
              </c:numCache>
            </c:numRef>
          </c:xVal>
          <c:yVal>
            <c:numRef>
              <c:f>Sheet1!$BA$5:$BA$8</c:f>
              <c:numCache>
                <c:formatCode>General</c:formatCode>
                <c:ptCount val="4"/>
                <c:pt idx="0">
                  <c:v>151.61712487345795</c:v>
                </c:pt>
                <c:pt idx="1">
                  <c:v>378.78787878787875</c:v>
                </c:pt>
                <c:pt idx="2">
                  <c:v>891.73368404535029</c:v>
                </c:pt>
                <c:pt idx="3">
                  <c:v>1989.2949938063175</c:v>
                </c:pt>
              </c:numCache>
            </c:numRef>
          </c:yVal>
          <c:smooth val="0"/>
          <c:extLst>
            <c:ext xmlns:c16="http://schemas.microsoft.com/office/drawing/2014/chart" uri="{C3380CC4-5D6E-409C-BE32-E72D297353CC}">
              <c16:uniqueId val="{00000000-D631-4540-A14F-593E90877B61}"/>
            </c:ext>
          </c:extLst>
        </c:ser>
        <c:dLbls>
          <c:showLegendKey val="0"/>
          <c:showVal val="0"/>
          <c:showCatName val="0"/>
          <c:showSerName val="0"/>
          <c:showPercent val="0"/>
          <c:showBubbleSize val="0"/>
        </c:dLbls>
        <c:axId val="528358128"/>
        <c:axId val="528358688"/>
      </c:scatterChart>
      <c:valAx>
        <c:axId val="5283581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8358688"/>
        <c:crosses val="autoZero"/>
        <c:crossBetween val="midCat"/>
      </c:valAx>
      <c:valAx>
        <c:axId val="528358688"/>
        <c:scaling>
          <c:orientation val="minMax"/>
        </c:scaling>
        <c:delete val="0"/>
        <c:axPos val="l"/>
        <c:title>
          <c:tx>
            <c:rich>
              <a:bodyPr rot="-5400000" vert="horz"/>
              <a:lstStyle/>
              <a:p>
                <a:pPr>
                  <a:defRPr/>
                </a:pPr>
                <a:r>
                  <a:rPr lang="en-GB"/>
                  <a:t>ubar</a:t>
                </a:r>
              </a:p>
            </c:rich>
          </c:tx>
          <c:overlay val="0"/>
        </c:title>
        <c:numFmt formatCode="General" sourceLinked="1"/>
        <c:majorTickMark val="out"/>
        <c:minorTickMark val="none"/>
        <c:tickLblPos val="nextTo"/>
        <c:spPr>
          <a:ln w="12700">
            <a:solidFill>
              <a:schemeClr val="tx1"/>
            </a:solidFill>
          </a:ln>
        </c:spPr>
        <c:crossAx val="5283581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KO ubar</a:t>
            </a:r>
          </a:p>
        </c:rich>
      </c:tx>
      <c:overlay val="1"/>
    </c:title>
    <c:autoTitleDeleted val="0"/>
    <c:plotArea>
      <c:layout>
        <c:manualLayout>
          <c:layoutTarget val="inner"/>
          <c:xMode val="edge"/>
          <c:yMode val="edge"/>
          <c:x val="0.29119010751271152"/>
          <c:y val="0.26967327034906802"/>
          <c:w val="0.64705257031155627"/>
          <c:h val="0.54319958734582074"/>
        </c:manualLayout>
      </c:layout>
      <c:scatterChart>
        <c:scatterStyle val="lineMarker"/>
        <c:varyColors val="0"/>
        <c:ser>
          <c:idx val="0"/>
          <c:order val="0"/>
          <c:tx>
            <c:strRef>
              <c:f>Sheet1!$BE$3</c:f>
              <c:strCache>
                <c:ptCount val="1"/>
                <c:pt idx="0">
                  <c:v>KO est.</c:v>
                </c:pt>
              </c:strCache>
            </c:strRef>
          </c:tx>
          <c:spPr>
            <a:ln w="28575">
              <a:noFill/>
            </a:ln>
          </c:spPr>
          <c:marker>
            <c:symbol val="circle"/>
            <c:size val="5"/>
            <c:spPr>
              <a:solidFill>
                <a:schemeClr val="tx1"/>
              </a:solidFill>
              <a:ln>
                <a:noFill/>
              </a:ln>
            </c:spPr>
          </c:marker>
          <c:xVal>
            <c:numRef>
              <c:f>Sheet1!$BD$5:$BD$8</c:f>
              <c:numCache>
                <c:formatCode>General</c:formatCode>
                <c:ptCount val="4"/>
                <c:pt idx="0">
                  <c:v>15</c:v>
                </c:pt>
                <c:pt idx="1">
                  <c:v>25</c:v>
                </c:pt>
                <c:pt idx="2">
                  <c:v>35</c:v>
                </c:pt>
                <c:pt idx="3">
                  <c:v>45</c:v>
                </c:pt>
              </c:numCache>
            </c:numRef>
          </c:xVal>
          <c:yVal>
            <c:numRef>
              <c:f>Sheet1!$BE$5:$BE$8</c:f>
              <c:numCache>
                <c:formatCode>General</c:formatCode>
                <c:ptCount val="4"/>
                <c:pt idx="0">
                  <c:v>134908.75121911679</c:v>
                </c:pt>
                <c:pt idx="1">
                  <c:v>203325.19999999998</c:v>
                </c:pt>
                <c:pt idx="2">
                  <c:v>298386.84529180289</c:v>
                </c:pt>
                <c:pt idx="3">
                  <c:v>427460.32875762362</c:v>
                </c:pt>
              </c:numCache>
            </c:numRef>
          </c:yVal>
          <c:smooth val="0"/>
          <c:extLst>
            <c:ext xmlns:c16="http://schemas.microsoft.com/office/drawing/2014/chart" uri="{C3380CC4-5D6E-409C-BE32-E72D297353CC}">
              <c16:uniqueId val="{00000000-46CE-4247-9F34-ADECE1664F6F}"/>
            </c:ext>
          </c:extLst>
        </c:ser>
        <c:dLbls>
          <c:showLegendKey val="0"/>
          <c:showVal val="0"/>
          <c:showCatName val="0"/>
          <c:showSerName val="0"/>
          <c:showPercent val="0"/>
          <c:showBubbleSize val="0"/>
        </c:dLbls>
        <c:axId val="528360928"/>
        <c:axId val="528361488"/>
      </c:scatterChart>
      <c:valAx>
        <c:axId val="5283609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8361488"/>
        <c:crosses val="autoZero"/>
        <c:crossBetween val="midCat"/>
      </c:valAx>
      <c:valAx>
        <c:axId val="528361488"/>
        <c:scaling>
          <c:orientation val="minMax"/>
        </c:scaling>
        <c:delete val="0"/>
        <c:axPos val="l"/>
        <c:title>
          <c:tx>
            <c:rich>
              <a:bodyPr rot="-5400000" vert="horz"/>
              <a:lstStyle/>
              <a:p>
                <a:pPr>
                  <a:defRPr/>
                </a:pPr>
                <a:r>
                  <a:rPr lang="en-GB"/>
                  <a:t>ubar</a:t>
                </a:r>
              </a:p>
            </c:rich>
          </c:tx>
          <c:layout>
            <c:manualLayout>
              <c:xMode val="edge"/>
              <c:yMode val="edge"/>
              <c:x val="0"/>
              <c:y val="0.44708045403722946"/>
            </c:manualLayout>
          </c:layout>
          <c:overlay val="0"/>
        </c:title>
        <c:numFmt formatCode="General" sourceLinked="1"/>
        <c:majorTickMark val="out"/>
        <c:minorTickMark val="none"/>
        <c:tickLblPos val="nextTo"/>
        <c:spPr>
          <a:ln w="12700">
            <a:solidFill>
              <a:schemeClr val="tx1"/>
            </a:solidFill>
          </a:ln>
        </c:spPr>
        <c:crossAx val="5283609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SCO bar / bar</a:t>
            </a:r>
          </a:p>
        </c:rich>
      </c:tx>
      <c:overlay val="1"/>
    </c:title>
    <c:autoTitleDeleted val="0"/>
    <c:plotArea>
      <c:layout>
        <c:manualLayout>
          <c:layoutTarget val="inner"/>
          <c:xMode val="edge"/>
          <c:yMode val="edge"/>
          <c:x val="0.256936272087328"/>
          <c:y val="0.23979466102188374"/>
          <c:w val="0.68130640573693979"/>
          <c:h val="0.57307819667300508"/>
        </c:manualLayout>
      </c:layout>
      <c:scatterChart>
        <c:scatterStyle val="lineMarker"/>
        <c:varyColors val="0"/>
        <c:ser>
          <c:idx val="0"/>
          <c:order val="0"/>
          <c:tx>
            <c:strRef>
              <c:f>Sheet1!$BI$3</c:f>
              <c:strCache>
                <c:ptCount val="1"/>
                <c:pt idx="0">
                  <c:v>SCO est</c:v>
                </c:pt>
              </c:strCache>
            </c:strRef>
          </c:tx>
          <c:spPr>
            <a:ln w="28575">
              <a:noFill/>
            </a:ln>
          </c:spPr>
          <c:marker>
            <c:symbol val="circle"/>
            <c:size val="5"/>
            <c:spPr>
              <a:solidFill>
                <a:schemeClr val="tx1"/>
              </a:solidFill>
              <a:ln>
                <a:noFill/>
              </a:ln>
            </c:spPr>
          </c:marker>
          <c:xVal>
            <c:numRef>
              <c:f>Sheet1!$BH$5:$BH$8</c:f>
              <c:numCache>
                <c:formatCode>General</c:formatCode>
                <c:ptCount val="4"/>
                <c:pt idx="0">
                  <c:v>15</c:v>
                </c:pt>
                <c:pt idx="1">
                  <c:v>25</c:v>
                </c:pt>
                <c:pt idx="2">
                  <c:v>35</c:v>
                </c:pt>
                <c:pt idx="3">
                  <c:v>45</c:v>
                </c:pt>
              </c:numCache>
            </c:numRef>
          </c:xVal>
          <c:yVal>
            <c:numRef>
              <c:f>Sheet1!$BI$5:$BI$8</c:f>
              <c:numCache>
                <c:formatCode>General</c:formatCode>
                <c:ptCount val="4"/>
                <c:pt idx="0">
                  <c:v>3567.7992467318732</c:v>
                </c:pt>
                <c:pt idx="1">
                  <c:v>2400.6539699999998</c:v>
                </c:pt>
                <c:pt idx="2">
                  <c:v>1657.3976312875618</c:v>
                </c:pt>
                <c:pt idx="3">
                  <c:v>1171.2207750099412</c:v>
                </c:pt>
              </c:numCache>
            </c:numRef>
          </c:yVal>
          <c:smooth val="0"/>
          <c:extLst>
            <c:ext xmlns:c16="http://schemas.microsoft.com/office/drawing/2014/chart" uri="{C3380CC4-5D6E-409C-BE32-E72D297353CC}">
              <c16:uniqueId val="{00000000-B247-4EA0-B6EA-FEEBAFBE20D9}"/>
            </c:ext>
          </c:extLst>
        </c:ser>
        <c:dLbls>
          <c:showLegendKey val="0"/>
          <c:showVal val="0"/>
          <c:showCatName val="0"/>
          <c:showSerName val="0"/>
          <c:showPercent val="0"/>
          <c:showBubbleSize val="0"/>
        </c:dLbls>
        <c:axId val="528363728"/>
        <c:axId val="528364288"/>
      </c:scatterChart>
      <c:valAx>
        <c:axId val="528363728"/>
        <c:scaling>
          <c:orientation val="minMax"/>
        </c:scaling>
        <c:delete val="0"/>
        <c:axPos val="b"/>
        <c:title>
          <c:tx>
            <c:rich>
              <a:bodyPr/>
              <a:lstStyle/>
              <a:p>
                <a:pPr>
                  <a:defRPr/>
                </a:pPr>
                <a:r>
                  <a:rPr lang="en-GB"/>
                  <a:t>t °C</a:t>
                </a:r>
              </a:p>
            </c:rich>
          </c:tx>
          <c:overlay val="0"/>
        </c:title>
        <c:numFmt formatCode="General" sourceLinked="1"/>
        <c:majorTickMark val="out"/>
        <c:minorTickMark val="none"/>
        <c:tickLblPos val="nextTo"/>
        <c:spPr>
          <a:ln w="12700">
            <a:solidFill>
              <a:schemeClr val="tx1"/>
            </a:solidFill>
          </a:ln>
        </c:spPr>
        <c:crossAx val="528364288"/>
        <c:crosses val="autoZero"/>
        <c:crossBetween val="midCat"/>
      </c:valAx>
      <c:valAx>
        <c:axId val="528364288"/>
        <c:scaling>
          <c:orientation val="minMax"/>
        </c:scaling>
        <c:delete val="0"/>
        <c:axPos val="l"/>
        <c:title>
          <c:tx>
            <c:rich>
              <a:bodyPr rot="-5400000" vert="horz"/>
              <a:lstStyle/>
              <a:p>
                <a:pPr>
                  <a:defRPr/>
                </a:pPr>
                <a:r>
                  <a:rPr lang="en-GB"/>
                  <a:t>bar / bar</a:t>
                </a:r>
              </a:p>
            </c:rich>
          </c:tx>
          <c:overlay val="0"/>
        </c:title>
        <c:numFmt formatCode="General" sourceLinked="1"/>
        <c:majorTickMark val="out"/>
        <c:minorTickMark val="none"/>
        <c:tickLblPos val="nextTo"/>
        <c:spPr>
          <a:ln w="12700">
            <a:solidFill>
              <a:schemeClr val="tx1"/>
            </a:solidFill>
          </a:ln>
        </c:spPr>
        <c:crossAx val="528363728"/>
        <c:crosses val="autoZero"/>
        <c:crossBetween val="midCat"/>
      </c:valAx>
      <c:spPr>
        <a:ln w="12700">
          <a:solidFill>
            <a:schemeClr val="tx1"/>
          </a:solidFill>
        </a:ln>
      </c:spPr>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ATP BS/M</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1-456F-403A-B002-6435043624F8}"/>
            </c:ext>
          </c:extLst>
        </c:ser>
        <c:ser>
          <c:idx val="1"/>
          <c:order val="1"/>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3-456F-403A-B002-6435043624F8}"/>
            </c:ext>
          </c:extLst>
        </c:ser>
        <c:ser>
          <c:idx val="2"/>
          <c:order val="2"/>
          <c:tx>
            <c:v>#REF!</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5-456F-403A-B002-6435043624F8}"/>
            </c:ext>
          </c:extLst>
        </c:ser>
        <c:ser>
          <c:idx val="3"/>
          <c:order val="3"/>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7-456F-403A-B002-6435043624F8}"/>
            </c:ext>
          </c:extLst>
        </c:ser>
        <c:dLbls>
          <c:showLegendKey val="0"/>
          <c:showVal val="0"/>
          <c:showCatName val="0"/>
          <c:showSerName val="0"/>
          <c:showPercent val="0"/>
          <c:showBubbleSize val="0"/>
        </c:dLbls>
        <c:axId val="458596704"/>
        <c:axId val="458597264"/>
      </c:scatterChart>
      <c:valAx>
        <c:axId val="458596704"/>
        <c:scaling>
          <c:orientation val="minMax"/>
        </c:scaling>
        <c:delete val="0"/>
        <c:axPos val="b"/>
        <c:numFmt formatCode="General" sourceLinked="1"/>
        <c:majorTickMark val="out"/>
        <c:minorTickMark val="none"/>
        <c:tickLblPos val="nextTo"/>
        <c:crossAx val="458597264"/>
        <c:crosses val="autoZero"/>
        <c:crossBetween val="midCat"/>
      </c:valAx>
      <c:valAx>
        <c:axId val="458597264"/>
        <c:scaling>
          <c:orientation val="minMax"/>
        </c:scaling>
        <c:delete val="0"/>
        <c:axPos val="l"/>
        <c:majorGridlines/>
        <c:numFmt formatCode="General" sourceLinked="1"/>
        <c:majorTickMark val="out"/>
        <c:minorTickMark val="none"/>
        <c:tickLblPos val="nextTo"/>
        <c:crossAx val="45859670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ATP BS/M</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1-364C-47E6-94AC-DB33B58781A5}"/>
            </c:ext>
          </c:extLst>
        </c:ser>
        <c:ser>
          <c:idx val="1"/>
          <c:order val="1"/>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3-364C-47E6-94AC-DB33B58781A5}"/>
            </c:ext>
          </c:extLst>
        </c:ser>
        <c:ser>
          <c:idx val="2"/>
          <c:order val="2"/>
          <c:tx>
            <c:v>#REF!</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5-364C-47E6-94AC-DB33B58781A5}"/>
            </c:ext>
          </c:extLst>
        </c:ser>
        <c:ser>
          <c:idx val="3"/>
          <c:order val="3"/>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7-364C-47E6-94AC-DB33B58781A5}"/>
            </c:ext>
          </c:extLst>
        </c:ser>
        <c:dLbls>
          <c:showLegendKey val="0"/>
          <c:showVal val="0"/>
          <c:showCatName val="0"/>
          <c:showSerName val="0"/>
          <c:showPercent val="0"/>
          <c:showBubbleSize val="0"/>
        </c:dLbls>
        <c:axId val="458601184"/>
        <c:axId val="458601744"/>
      </c:scatterChart>
      <c:valAx>
        <c:axId val="458601184"/>
        <c:scaling>
          <c:orientation val="minMax"/>
        </c:scaling>
        <c:delete val="0"/>
        <c:axPos val="b"/>
        <c:numFmt formatCode="General" sourceLinked="1"/>
        <c:majorTickMark val="out"/>
        <c:minorTickMark val="none"/>
        <c:tickLblPos val="nextTo"/>
        <c:crossAx val="458601744"/>
        <c:crosses val="autoZero"/>
        <c:crossBetween val="midCat"/>
      </c:valAx>
      <c:valAx>
        <c:axId val="458601744"/>
        <c:scaling>
          <c:orientation val="minMax"/>
        </c:scaling>
        <c:delete val="0"/>
        <c:axPos val="l"/>
        <c:majorGridlines/>
        <c:numFmt formatCode="General" sourceLinked="1"/>
        <c:majorTickMark val="out"/>
        <c:minorTickMark val="none"/>
        <c:tickLblPos val="nextTo"/>
        <c:crossAx val="45860118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5161854768154"/>
          <c:y val="5.1400554097404488E-2"/>
          <c:w val="0.81311679790026248"/>
          <c:h val="0.76542794297179939"/>
        </c:manualLayout>
      </c:layout>
      <c:scatterChart>
        <c:scatterStyle val="lineMarker"/>
        <c:varyColors val="0"/>
        <c:ser>
          <c:idx val="0"/>
          <c:order val="0"/>
          <c:tx>
            <c:strRef>
              <c:f>'Electron transport'!$N$5</c:f>
              <c:strCache>
                <c:ptCount val="1"/>
                <c:pt idx="0">
                  <c:v>JATP</c:v>
                </c:pt>
              </c:strCache>
            </c:strRef>
          </c:tx>
          <c:spPr>
            <a:ln w="12700">
              <a:solidFill>
                <a:schemeClr val="tx1"/>
              </a:solidFill>
              <a:prstDash val="dash"/>
            </a:ln>
          </c:spPr>
          <c:marker>
            <c:symbol val="none"/>
          </c:marker>
          <c:xVal>
            <c:numRef>
              <c:f>'Electron transport'!$G$6:$G$26</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0.99999998999999995</c:v>
                </c:pt>
              </c:numCache>
            </c:numRef>
          </c:xVal>
          <c:yVal>
            <c:numRef>
              <c:f>'Electron transport'!$N$6:$N$26</c:f>
              <c:numCache>
                <c:formatCode>General</c:formatCode>
                <c:ptCount val="21"/>
                <c:pt idx="0">
                  <c:v>23.248970699826899</c:v>
                </c:pt>
                <c:pt idx="1">
                  <c:v>23.793795063701637</c:v>
                </c:pt>
                <c:pt idx="2">
                  <c:v>24.372670950318533</c:v>
                </c:pt>
                <c:pt idx="3">
                  <c:v>24.988893668330078</c:v>
                </c:pt>
                <c:pt idx="4">
                  <c:v>25.646197900875716</c:v>
                </c:pt>
                <c:pt idx="5">
                  <c:v>26.348833459803824</c:v>
                </c:pt>
                <c:pt idx="6">
                  <c:v>27.101657272941075</c:v>
                </c:pt>
                <c:pt idx="7">
                  <c:v>27.910245812977376</c:v>
                </c:pt>
                <c:pt idx="8">
                  <c:v>28.781033471478022</c:v>
                </c:pt>
                <c:pt idx="9">
                  <c:v>29.721484142658706</c:v>
                </c:pt>
                <c:pt idx="10">
                  <c:v>30.740305703104458</c:v>
                </c:pt>
                <c:pt idx="11">
                  <c:v>31.847720442719403</c:v>
                </c:pt>
                <c:pt idx="12">
                  <c:v>33.055809249572064</c:v>
                </c:pt>
                <c:pt idx="13">
                  <c:v>34.37895413326784</c:v>
                </c:pt>
                <c:pt idx="14">
                  <c:v>35.834413505333195</c:v>
                </c:pt>
                <c:pt idx="15">
                  <c:v>37.443079127089639</c:v>
                </c:pt>
                <c:pt idx="16">
                  <c:v>39.230485373485692</c:v>
                </c:pt>
                <c:pt idx="17">
                  <c:v>41.228174707693036</c:v>
                </c:pt>
                <c:pt idx="18">
                  <c:v>43.475575208676283</c:v>
                </c:pt>
                <c:pt idx="19">
                  <c:v>46.022629109790657</c:v>
                </c:pt>
                <c:pt idx="20">
                  <c:v>48.933547053577918</c:v>
                </c:pt>
              </c:numCache>
            </c:numRef>
          </c:yVal>
          <c:smooth val="1"/>
          <c:extLst>
            <c:ext xmlns:c16="http://schemas.microsoft.com/office/drawing/2014/chart" uri="{C3380CC4-5D6E-409C-BE32-E72D297353CC}">
              <c16:uniqueId val="{00000000-0F6E-4081-8AB6-2A2D6D0E2126}"/>
            </c:ext>
          </c:extLst>
        </c:ser>
        <c:ser>
          <c:idx val="1"/>
          <c:order val="1"/>
          <c:tx>
            <c:strRef>
              <c:f>'Electron transport'!$O$5</c:f>
              <c:strCache>
                <c:ptCount val="1"/>
                <c:pt idx="0">
                  <c:v>JNADPH</c:v>
                </c:pt>
              </c:strCache>
            </c:strRef>
          </c:tx>
          <c:spPr>
            <a:ln w="12700">
              <a:solidFill>
                <a:schemeClr val="tx1"/>
              </a:solidFill>
            </a:ln>
          </c:spPr>
          <c:marker>
            <c:symbol val="none"/>
          </c:marker>
          <c:xVal>
            <c:numRef>
              <c:f>'Electron transport'!$G$6:$G$26</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0.99999998999999995</c:v>
                </c:pt>
              </c:numCache>
            </c:numRef>
          </c:xVal>
          <c:yVal>
            <c:numRef>
              <c:f>'Electron transport'!$O$6:$O$26</c:f>
              <c:numCache>
                <c:formatCode>General</c:formatCode>
                <c:ptCount val="21"/>
                <c:pt idx="0">
                  <c:v>13.949382419896141</c:v>
                </c:pt>
                <c:pt idx="1">
                  <c:v>13.573641479292879</c:v>
                </c:pt>
                <c:pt idx="2">
                  <c:v>13.17441672990191</c:v>
                </c:pt>
                <c:pt idx="3">
                  <c:v>12.749435545066367</c:v>
                </c:pt>
                <c:pt idx="4">
                  <c:v>12.296122281241786</c:v>
                </c:pt>
                <c:pt idx="5">
                  <c:v>11.811546033705163</c:v>
                </c:pt>
                <c:pt idx="6">
                  <c:v>11.292357197058783</c:v>
                </c:pt>
                <c:pt idx="7">
                  <c:v>10.734709928068222</c:v>
                </c:pt>
                <c:pt idx="8">
                  <c:v>10.134166715309163</c:v>
                </c:pt>
                <c:pt idx="9">
                  <c:v>9.4855800455293764</c:v>
                </c:pt>
                <c:pt idx="10">
                  <c:v>8.7829444866012736</c:v>
                </c:pt>
                <c:pt idx="11">
                  <c:v>8.0192101834185543</c:v>
                </c:pt>
                <c:pt idx="12">
                  <c:v>7.186045489037407</c:v>
                </c:pt>
                <c:pt idx="13">
                  <c:v>6.2735317761437646</c:v>
                </c:pt>
                <c:pt idx="14">
                  <c:v>5.2697666919607649</c:v>
                </c:pt>
                <c:pt idx="15">
                  <c:v>4.1603421252321819</c:v>
                </c:pt>
                <c:pt idx="16">
                  <c:v>2.9276481622004238</c:v>
                </c:pt>
                <c:pt idx="17">
                  <c:v>1.5499313799884604</c:v>
                </c:pt>
                <c:pt idx="18">
                  <c:v>-9.1415879934649724E-16</c:v>
                </c:pt>
                <c:pt idx="19">
                  <c:v>-1.7565888973202526</c:v>
                </c:pt>
                <c:pt idx="20">
                  <c:v>-3.7641186219185236</c:v>
                </c:pt>
              </c:numCache>
            </c:numRef>
          </c:yVal>
          <c:smooth val="1"/>
          <c:extLst>
            <c:ext xmlns:c16="http://schemas.microsoft.com/office/drawing/2014/chart" uri="{C3380CC4-5D6E-409C-BE32-E72D297353CC}">
              <c16:uniqueId val="{00000001-0F6E-4081-8AB6-2A2D6D0E2126}"/>
            </c:ext>
          </c:extLst>
        </c:ser>
        <c:dLbls>
          <c:showLegendKey val="0"/>
          <c:showVal val="0"/>
          <c:showCatName val="0"/>
          <c:showSerName val="0"/>
          <c:showPercent val="0"/>
          <c:showBubbleSize val="0"/>
        </c:dLbls>
        <c:axId val="458604544"/>
        <c:axId val="458605104"/>
      </c:scatterChart>
      <c:valAx>
        <c:axId val="458604544"/>
        <c:scaling>
          <c:orientation val="minMax"/>
          <c:max val="1"/>
        </c:scaling>
        <c:delete val="0"/>
        <c:axPos val="b"/>
        <c:title>
          <c:tx>
            <c:strRef>
              <c:f>"fCyc"</c:f>
              <c:strCache>
                <c:ptCount val="1"/>
                <c:pt idx="0">
                  <c:v>fCyc</c:v>
                </c:pt>
              </c:strCache>
            </c:strRef>
          </c:tx>
          <c:overlay val="0"/>
        </c:title>
        <c:numFmt formatCode="General" sourceLinked="1"/>
        <c:majorTickMark val="out"/>
        <c:minorTickMark val="none"/>
        <c:tickLblPos val="nextTo"/>
        <c:spPr>
          <a:ln w="12700">
            <a:solidFill>
              <a:schemeClr val="tx1"/>
            </a:solidFill>
          </a:ln>
        </c:spPr>
        <c:crossAx val="458605104"/>
        <c:crosses val="autoZero"/>
        <c:crossBetween val="midCat"/>
      </c:valAx>
      <c:valAx>
        <c:axId val="458605104"/>
        <c:scaling>
          <c:orientation val="minMax"/>
        </c:scaling>
        <c:delete val="0"/>
        <c:axPos val="l"/>
        <c:title>
          <c:tx>
            <c:rich>
              <a:bodyPr rot="-5400000" vert="horz"/>
              <a:lstStyle/>
              <a:p>
                <a:pPr>
                  <a:defRPr/>
                </a:pPr>
                <a:r>
                  <a:rPr lang="el-GR">
                    <a:latin typeface="Times New Roman"/>
                    <a:cs typeface="Times New Roman"/>
                  </a:rPr>
                  <a:t>μ</a:t>
                </a:r>
                <a:r>
                  <a:rPr lang="it-IT">
                    <a:latin typeface="Times New Roman"/>
                    <a:cs typeface="Times New Roman"/>
                  </a:rPr>
                  <a:t>mol m-2 s-1</a:t>
                </a:r>
                <a:endParaRPr lang="en-GB"/>
              </a:p>
            </c:rich>
          </c:tx>
          <c:overlay val="0"/>
        </c:title>
        <c:numFmt formatCode="General" sourceLinked="1"/>
        <c:majorTickMark val="out"/>
        <c:minorTickMark val="none"/>
        <c:tickLblPos val="nextTo"/>
        <c:spPr>
          <a:ln w="12700">
            <a:solidFill>
              <a:schemeClr val="tx1"/>
            </a:solidFill>
          </a:ln>
        </c:spPr>
        <c:crossAx val="458604544"/>
        <c:crosses val="autoZero"/>
        <c:crossBetween val="midCat"/>
      </c:valAx>
      <c:spPr>
        <a:ln w="12700">
          <a:solidFill>
            <a:schemeClr val="tx1"/>
          </a:solidFill>
        </a:ln>
      </c:spPr>
    </c:plotArea>
    <c:legend>
      <c:legendPos val="r"/>
      <c:layout>
        <c:manualLayout>
          <c:xMode val="edge"/>
          <c:yMode val="edge"/>
          <c:x val="0.15288998250218722"/>
          <c:y val="0.61666933404933832"/>
          <c:w val="0.19576421697287838"/>
          <c:h val="0.15187746264451812"/>
        </c:manualLayout>
      </c:layout>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'Electron transport'!$S$7:$S$26</c:f>
              <c:numCache>
                <c:formatCode>General</c:formatCode>
                <c:ptCount val="20"/>
                <c:pt idx="0">
                  <c:v>1.5968989975638683</c:v>
                </c:pt>
                <c:pt idx="1">
                  <c:v>3.2936041824754776</c:v>
                </c:pt>
                <c:pt idx="2">
                  <c:v>5.0997742180265462</c:v>
                </c:pt>
                <c:pt idx="3">
                  <c:v>7.0263555892810192</c:v>
                </c:pt>
                <c:pt idx="4">
                  <c:v>9.0858046413116629</c:v>
                </c:pt>
                <c:pt idx="5">
                  <c:v>11.292357197058781</c:v>
                </c:pt>
                <c:pt idx="6">
                  <c:v>13.662358090268645</c:v>
                </c:pt>
                <c:pt idx="7">
                  <c:v>16.214666744494661</c:v>
                </c:pt>
                <c:pt idx="8">
                  <c:v>18.971160091058749</c:v>
                </c:pt>
                <c:pt idx="9">
                  <c:v>21.957361216503184</c:v>
                </c:pt>
                <c:pt idx="10">
                  <c:v>25.203232005029747</c:v>
                </c:pt>
                <c:pt idx="11">
                  <c:v>28.744181956149625</c:v>
                </c:pt>
                <c:pt idx="12">
                  <c:v>32.622365235947584</c:v>
                </c:pt>
                <c:pt idx="13">
                  <c:v>36.888366843725343</c:v>
                </c:pt>
                <c:pt idx="14">
                  <c:v>41.603421252321823</c:v>
                </c:pt>
                <c:pt idx="15">
                  <c:v>46.842370595206802</c:v>
                </c:pt>
                <c:pt idx="16">
                  <c:v>52.697666919607641</c:v>
                </c:pt>
                <c:pt idx="17">
                  <c:v>59.284875284558566</c:v>
                </c:pt>
                <c:pt idx="18">
                  <c:v>66.750378098169648</c:v>
                </c:pt>
                <c:pt idx="19">
                  <c:v>75.282379213784708</c:v>
                </c:pt>
              </c:numCache>
            </c:numRef>
          </c:xVal>
          <c:yVal>
            <c:numRef>
              <c:f>'Electron transport'!$T$7:$T$26</c:f>
              <c:numCache>
                <c:formatCode>General</c:formatCode>
                <c:ptCount val="20"/>
                <c:pt idx="0">
                  <c:v>0.36249999999999577</c:v>
                </c:pt>
                <c:pt idx="1">
                  <c:v>0.18709677419354986</c:v>
                </c:pt>
                <c:pt idx="2">
                  <c:v>0.12888888888888772</c:v>
                </c:pt>
                <c:pt idx="3">
                  <c:v>0.10000000000000088</c:v>
                </c:pt>
                <c:pt idx="4">
                  <c:v>8.2857142857142754E-2</c:v>
                </c:pt>
                <c:pt idx="5">
                  <c:v>7.1604938271604288E-2</c:v>
                </c:pt>
                <c:pt idx="6">
                  <c:v>6.3736263736264259E-2</c:v>
                </c:pt>
                <c:pt idx="7">
                  <c:v>5.7999999999999649E-2</c:v>
                </c:pt>
                <c:pt idx="8">
                  <c:v>5.3703703703703885E-2</c:v>
                </c:pt>
                <c:pt idx="9">
                  <c:v>5.0434782608695765E-2</c:v>
                </c:pt>
                <c:pt idx="10">
                  <c:v>4.793388429752049E-2</c:v>
                </c:pt>
                <c:pt idx="11">
                  <c:v>4.6031746031745993E-2</c:v>
                </c:pt>
                <c:pt idx="12">
                  <c:v>4.4615384615384675E-2</c:v>
                </c:pt>
                <c:pt idx="13">
                  <c:v>4.3609022556390986E-2</c:v>
                </c:pt>
                <c:pt idx="14">
                  <c:v>4.2962962962963057E-2</c:v>
                </c:pt>
                <c:pt idx="15">
                  <c:v>4.2647058823529302E-2</c:v>
                </c:pt>
                <c:pt idx="16">
                  <c:v>4.2647058823529024E-2</c:v>
                </c:pt>
                <c:pt idx="17">
                  <c:v>4.2962962962963071E-2</c:v>
                </c:pt>
                <c:pt idx="18">
                  <c:v>4.3609010566294917E-2</c:v>
                </c:pt>
                <c:pt idx="19">
                  <c:v>0</c:v>
                </c:pt>
              </c:numCache>
            </c:numRef>
          </c:yVal>
          <c:smooth val="0"/>
          <c:extLst>
            <c:ext xmlns:c16="http://schemas.microsoft.com/office/drawing/2014/chart" uri="{C3380CC4-5D6E-409C-BE32-E72D297353CC}">
              <c16:uniqueId val="{00000000-042C-4A1A-8B9D-8231D531C1B0}"/>
            </c:ext>
          </c:extLst>
        </c:ser>
        <c:dLbls>
          <c:showLegendKey val="0"/>
          <c:showVal val="0"/>
          <c:showCatName val="0"/>
          <c:showSerName val="0"/>
          <c:showPercent val="0"/>
          <c:showBubbleSize val="0"/>
        </c:dLbls>
        <c:axId val="458607904"/>
        <c:axId val="458608464"/>
      </c:scatterChart>
      <c:valAx>
        <c:axId val="4586079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608464"/>
        <c:crosses val="autoZero"/>
        <c:crossBetween val="midCat"/>
      </c:valAx>
      <c:valAx>
        <c:axId val="458608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6079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5400" cap="rnd">
              <a:noFill/>
              <a:round/>
            </a:ln>
            <a:effectLst/>
          </c:spPr>
          <c:marker>
            <c:symbol val="circle"/>
            <c:size val="5"/>
            <c:spPr>
              <a:solidFill>
                <a:schemeClr val="accent1"/>
              </a:solidFill>
              <a:ln w="9525">
                <a:solidFill>
                  <a:schemeClr val="accent1"/>
                </a:solidFill>
              </a:ln>
              <a:effectLst/>
            </c:spPr>
          </c:marker>
          <c:xVal>
            <c:numRef>
              <c:f>'Electron transport'!$G$6:$G$26</c:f>
              <c:numCache>
                <c:formatCode>General</c:formatCode>
                <c:ptCount val="2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0.99999998999999995</c:v>
                </c:pt>
              </c:numCache>
            </c:numRef>
          </c:xVal>
          <c:yVal>
            <c:numRef>
              <c:f>'Electron transport'!$U$6:$U$26</c:f>
              <c:numCache>
                <c:formatCode>General</c:formatCode>
                <c:ptCount val="21"/>
                <c:pt idx="0">
                  <c:v>3.4189662793863089E-2</c:v>
                </c:pt>
                <c:pt idx="1">
                  <c:v>3.4990875093678875E-2</c:v>
                </c:pt>
                <c:pt idx="2">
                  <c:v>3.5842163162233133E-2</c:v>
                </c:pt>
                <c:pt idx="3">
                  <c:v>3.6748373041661883E-2</c:v>
                </c:pt>
                <c:pt idx="4">
                  <c:v>3.7714996913052523E-2</c:v>
                </c:pt>
                <c:pt idx="5">
                  <c:v>3.8748284499711502E-2</c:v>
                </c:pt>
                <c:pt idx="6">
                  <c:v>3.9855378342560401E-2</c:v>
                </c:pt>
                <c:pt idx="7">
                  <c:v>4.1044479136731433E-2</c:v>
                </c:pt>
                <c:pt idx="8">
                  <c:v>4.2325049222761799E-2</c:v>
                </c:pt>
                <c:pt idx="9">
                  <c:v>4.3708064915674569E-2</c:v>
                </c:pt>
                <c:pt idx="10">
                  <c:v>4.5206331916330084E-2</c:v>
                </c:pt>
                <c:pt idx="11">
                  <c:v>4.6834883003999121E-2</c:v>
                </c:pt>
                <c:pt idx="12">
                  <c:v>4.8611484190547151E-2</c:v>
                </c:pt>
                <c:pt idx="13">
                  <c:v>5.0557285490099767E-2</c:v>
                </c:pt>
                <c:pt idx="14">
                  <c:v>5.2697666919607637E-2</c:v>
                </c:pt>
                <c:pt idx="15">
                  <c:v>5.5063351657484765E-2</c:v>
                </c:pt>
                <c:pt idx="16">
                  <c:v>5.769189025512602E-2</c:v>
                </c:pt>
                <c:pt idx="17">
                  <c:v>6.0629668687783876E-2</c:v>
                </c:pt>
                <c:pt idx="18">
                  <c:v>6.3934669424523943E-2</c:v>
                </c:pt>
                <c:pt idx="19">
                  <c:v>6.7680336926162737E-2</c:v>
                </c:pt>
                <c:pt idx="20">
                  <c:v>7.1961098608202809E-2</c:v>
                </c:pt>
              </c:numCache>
            </c:numRef>
          </c:yVal>
          <c:smooth val="0"/>
          <c:extLst>
            <c:ext xmlns:c16="http://schemas.microsoft.com/office/drawing/2014/chart" uri="{C3380CC4-5D6E-409C-BE32-E72D297353CC}">
              <c16:uniqueId val="{00000000-C044-4905-A04F-2163B8415A6C}"/>
            </c:ext>
          </c:extLst>
        </c:ser>
        <c:dLbls>
          <c:showLegendKey val="0"/>
          <c:showVal val="0"/>
          <c:showCatName val="0"/>
          <c:showSerName val="0"/>
          <c:showPercent val="0"/>
          <c:showBubbleSize val="0"/>
        </c:dLbls>
        <c:axId val="458610704"/>
        <c:axId val="458611264"/>
      </c:scatterChart>
      <c:valAx>
        <c:axId val="4586107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611264"/>
        <c:crosses val="autoZero"/>
        <c:crossBetween val="midCat"/>
      </c:valAx>
      <c:valAx>
        <c:axId val="458611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8610704"/>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spPr>
            <a:ln w="19050">
              <a:noFill/>
            </a:ln>
          </c:spPr>
          <c:xVal>
            <c:numRef>
              <c:f>'Electron transport'!$D$30:$D$49</c:f>
              <c:numCache>
                <c:formatCode>General</c:formatCode>
                <c:ptCount val="20"/>
                <c:pt idx="0">
                  <c:v>100</c:v>
                </c:pt>
                <c:pt idx="1">
                  <c:v>200</c:v>
                </c:pt>
                <c:pt idx="2">
                  <c:v>300</c:v>
                </c:pt>
                <c:pt idx="3">
                  <c:v>400</c:v>
                </c:pt>
                <c:pt idx="4">
                  <c:v>500</c:v>
                </c:pt>
                <c:pt idx="5">
                  <c:v>600</c:v>
                </c:pt>
                <c:pt idx="6">
                  <c:v>700</c:v>
                </c:pt>
                <c:pt idx="7">
                  <c:v>800</c:v>
                </c:pt>
                <c:pt idx="8">
                  <c:v>900</c:v>
                </c:pt>
                <c:pt idx="9">
                  <c:v>1000</c:v>
                </c:pt>
                <c:pt idx="10">
                  <c:v>1100</c:v>
                </c:pt>
                <c:pt idx="11">
                  <c:v>1200</c:v>
                </c:pt>
                <c:pt idx="12">
                  <c:v>1300</c:v>
                </c:pt>
                <c:pt idx="13">
                  <c:v>1400</c:v>
                </c:pt>
                <c:pt idx="14">
                  <c:v>1500</c:v>
                </c:pt>
                <c:pt idx="15">
                  <c:v>1600</c:v>
                </c:pt>
                <c:pt idx="16">
                  <c:v>1700</c:v>
                </c:pt>
                <c:pt idx="17">
                  <c:v>1800</c:v>
                </c:pt>
                <c:pt idx="18">
                  <c:v>1900</c:v>
                </c:pt>
                <c:pt idx="19">
                  <c:v>2000</c:v>
                </c:pt>
              </c:numCache>
            </c:numRef>
          </c:xVal>
          <c:yVal>
            <c:numRef>
              <c:f>'Electron transport'!$E$30:$E$49</c:f>
              <c:numCache>
                <c:formatCode>General</c:formatCode>
                <c:ptCount val="20"/>
                <c:pt idx="0">
                  <c:v>18.408884538884543</c:v>
                </c:pt>
                <c:pt idx="1">
                  <c:v>24.724226781327417</c:v>
                </c:pt>
                <c:pt idx="2">
                  <c:v>27.289497380106198</c:v>
                </c:pt>
                <c:pt idx="3">
                  <c:v>28.614519776348491</c:v>
                </c:pt>
                <c:pt idx="4">
                  <c:v>29.413039143106541</c:v>
                </c:pt>
                <c:pt idx="5">
                  <c:v>29.944290286803934</c:v>
                </c:pt>
                <c:pt idx="6">
                  <c:v>30.322407740076947</c:v>
                </c:pt>
                <c:pt idx="7">
                  <c:v>30.604952257628049</c:v>
                </c:pt>
                <c:pt idx="8">
                  <c:v>30.823958521424711</c:v>
                </c:pt>
                <c:pt idx="9">
                  <c:v>30.9986275997692</c:v>
                </c:pt>
                <c:pt idx="10">
                  <c:v>31.141151727125685</c:v>
                </c:pt>
                <c:pt idx="11">
                  <c:v>31.259637835454537</c:v>
                </c:pt>
                <c:pt idx="12">
                  <c:v>31.359683199322273</c:v>
                </c:pt>
                <c:pt idx="13">
                  <c:v>31.445275253336387</c:v>
                </c:pt>
                <c:pt idx="14">
                  <c:v>31.519330717560194</c:v>
                </c:pt>
                <c:pt idx="15">
                  <c:v>31.584031934160304</c:v>
                </c:pt>
                <c:pt idx="16">
                  <c:v>31.641044056676531</c:v>
                </c:pt>
                <c:pt idx="17">
                  <c:v>31.691659540294051</c:v>
                </c:pt>
                <c:pt idx="18">
                  <c:v>31.73689679767989</c:v>
                </c:pt>
                <c:pt idx="19">
                  <c:v>31.777569117576359</c:v>
                </c:pt>
              </c:numCache>
            </c:numRef>
          </c:yVal>
          <c:smooth val="0"/>
          <c:extLst>
            <c:ext xmlns:c16="http://schemas.microsoft.com/office/drawing/2014/chart" uri="{C3380CC4-5D6E-409C-BE32-E72D297353CC}">
              <c16:uniqueId val="{00000000-1FC8-4EE7-8D57-5F8537603652}"/>
            </c:ext>
          </c:extLst>
        </c:ser>
        <c:dLbls>
          <c:showLegendKey val="0"/>
          <c:showVal val="0"/>
          <c:showCatName val="0"/>
          <c:showSerName val="0"/>
          <c:showPercent val="0"/>
          <c:showBubbleSize val="0"/>
        </c:dLbls>
        <c:axId val="455320672"/>
        <c:axId val="455321232"/>
      </c:scatterChart>
      <c:valAx>
        <c:axId val="455320672"/>
        <c:scaling>
          <c:orientation val="minMax"/>
        </c:scaling>
        <c:delete val="0"/>
        <c:axPos val="b"/>
        <c:numFmt formatCode="General" sourceLinked="1"/>
        <c:majorTickMark val="out"/>
        <c:minorTickMark val="none"/>
        <c:tickLblPos val="nextTo"/>
        <c:crossAx val="455321232"/>
        <c:crosses val="autoZero"/>
        <c:crossBetween val="midCat"/>
      </c:valAx>
      <c:valAx>
        <c:axId val="455321232"/>
        <c:scaling>
          <c:orientation val="minMax"/>
        </c:scaling>
        <c:delete val="0"/>
        <c:axPos val="l"/>
        <c:majorGridlines/>
        <c:numFmt formatCode="General" sourceLinked="1"/>
        <c:majorTickMark val="out"/>
        <c:minorTickMark val="none"/>
        <c:tickLblPos val="nextTo"/>
        <c:crossAx val="45532067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ATP BS/M</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1-57EC-486B-A04D-CD757EBAD2F7}"/>
            </c:ext>
          </c:extLst>
        </c:ser>
        <c:ser>
          <c:idx val="1"/>
          <c:order val="1"/>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3-57EC-486B-A04D-CD757EBAD2F7}"/>
            </c:ext>
          </c:extLst>
        </c:ser>
        <c:ser>
          <c:idx val="2"/>
          <c:order val="2"/>
          <c:tx>
            <c:v>#REF!</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5-57EC-486B-A04D-CD757EBAD2F7}"/>
            </c:ext>
          </c:extLst>
        </c:ser>
        <c:ser>
          <c:idx val="3"/>
          <c:order val="3"/>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7-57EC-486B-A04D-CD757EBAD2F7}"/>
            </c:ext>
          </c:extLst>
        </c:ser>
        <c:dLbls>
          <c:showLegendKey val="0"/>
          <c:showVal val="0"/>
          <c:showCatName val="0"/>
          <c:showSerName val="0"/>
          <c:showPercent val="0"/>
          <c:showBubbleSize val="0"/>
        </c:dLbls>
        <c:axId val="455325152"/>
        <c:axId val="455325712"/>
      </c:scatterChart>
      <c:valAx>
        <c:axId val="455325152"/>
        <c:scaling>
          <c:orientation val="minMax"/>
        </c:scaling>
        <c:delete val="0"/>
        <c:axPos val="b"/>
        <c:numFmt formatCode="General" sourceLinked="1"/>
        <c:majorTickMark val="out"/>
        <c:minorTickMark val="none"/>
        <c:tickLblPos val="nextTo"/>
        <c:crossAx val="455325712"/>
        <c:crosses val="autoZero"/>
        <c:crossBetween val="midCat"/>
      </c:valAx>
      <c:valAx>
        <c:axId val="455325712"/>
        <c:scaling>
          <c:orientation val="minMax"/>
        </c:scaling>
        <c:delete val="0"/>
        <c:axPos val="l"/>
        <c:majorGridlines/>
        <c:numFmt formatCode="General" sourceLinked="1"/>
        <c:majorTickMark val="out"/>
        <c:minorTickMark val="none"/>
        <c:tickLblPos val="nextTo"/>
        <c:crossAx val="45532515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ATP BS/M</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1-6086-43D3-A91C-C9FC8222E497}"/>
            </c:ext>
          </c:extLst>
        </c:ser>
        <c:ser>
          <c:idx val="1"/>
          <c:order val="1"/>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3-6086-43D3-A91C-C9FC8222E497}"/>
            </c:ext>
          </c:extLst>
        </c:ser>
        <c:ser>
          <c:idx val="2"/>
          <c:order val="2"/>
          <c:tx>
            <c:v>#REF!</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5-6086-43D3-A91C-C9FC8222E497}"/>
            </c:ext>
          </c:extLst>
        </c:ser>
        <c:ser>
          <c:idx val="3"/>
          <c:order val="3"/>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7-6086-43D3-A91C-C9FC8222E497}"/>
            </c:ext>
          </c:extLst>
        </c:ser>
        <c:dLbls>
          <c:showLegendKey val="0"/>
          <c:showVal val="0"/>
          <c:showCatName val="0"/>
          <c:showSerName val="0"/>
          <c:showPercent val="0"/>
          <c:showBubbleSize val="0"/>
        </c:dLbls>
        <c:axId val="455329632"/>
        <c:axId val="455330192"/>
      </c:scatterChart>
      <c:valAx>
        <c:axId val="455329632"/>
        <c:scaling>
          <c:orientation val="minMax"/>
        </c:scaling>
        <c:delete val="0"/>
        <c:axPos val="b"/>
        <c:numFmt formatCode="General" sourceLinked="1"/>
        <c:majorTickMark val="out"/>
        <c:minorTickMark val="none"/>
        <c:tickLblPos val="nextTo"/>
        <c:crossAx val="455330192"/>
        <c:crosses val="autoZero"/>
        <c:crossBetween val="midCat"/>
      </c:valAx>
      <c:valAx>
        <c:axId val="455330192"/>
        <c:scaling>
          <c:orientation val="minMax"/>
        </c:scaling>
        <c:delete val="0"/>
        <c:axPos val="l"/>
        <c:majorGridlines/>
        <c:numFmt formatCode="General" sourceLinked="1"/>
        <c:majorTickMark val="out"/>
        <c:minorTickMark val="none"/>
        <c:tickLblPos val="nextTo"/>
        <c:crossAx val="45532963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ATP BS/M</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1-4225-4388-B8CF-1FA57355A8F5}"/>
            </c:ext>
          </c:extLst>
        </c:ser>
        <c:ser>
          <c:idx val="1"/>
          <c:order val="1"/>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3-4225-4388-B8CF-1FA57355A8F5}"/>
            </c:ext>
          </c:extLst>
        </c:ser>
        <c:ser>
          <c:idx val="2"/>
          <c:order val="2"/>
          <c:tx>
            <c:v>#REF!</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5-4225-4388-B8CF-1FA57355A8F5}"/>
            </c:ext>
          </c:extLst>
        </c:ser>
        <c:ser>
          <c:idx val="3"/>
          <c:order val="3"/>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7-4225-4388-B8CF-1FA57355A8F5}"/>
            </c:ext>
          </c:extLst>
        </c:ser>
        <c:dLbls>
          <c:showLegendKey val="0"/>
          <c:showVal val="0"/>
          <c:showCatName val="0"/>
          <c:showSerName val="0"/>
          <c:showPercent val="0"/>
          <c:showBubbleSize val="0"/>
        </c:dLbls>
        <c:axId val="455334112"/>
        <c:axId val="455334672"/>
      </c:scatterChart>
      <c:valAx>
        <c:axId val="455334112"/>
        <c:scaling>
          <c:orientation val="minMax"/>
        </c:scaling>
        <c:delete val="0"/>
        <c:axPos val="b"/>
        <c:numFmt formatCode="General" sourceLinked="1"/>
        <c:majorTickMark val="out"/>
        <c:minorTickMark val="none"/>
        <c:tickLblPos val="nextTo"/>
        <c:crossAx val="455334672"/>
        <c:crosses val="autoZero"/>
        <c:crossBetween val="midCat"/>
      </c:valAx>
      <c:valAx>
        <c:axId val="455334672"/>
        <c:scaling>
          <c:orientation val="minMax"/>
        </c:scaling>
        <c:delete val="0"/>
        <c:axPos val="l"/>
        <c:majorGridlines/>
        <c:numFmt formatCode="General" sourceLinked="1"/>
        <c:majorTickMark val="out"/>
        <c:minorTickMark val="none"/>
        <c:tickLblPos val="nextTo"/>
        <c:crossAx val="45533411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ATP BS/M</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1-B474-4BA8-B5C2-ADCE0064093E}"/>
            </c:ext>
          </c:extLst>
        </c:ser>
        <c:ser>
          <c:idx val="1"/>
          <c:order val="1"/>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3-B474-4BA8-B5C2-ADCE0064093E}"/>
            </c:ext>
          </c:extLst>
        </c:ser>
        <c:ser>
          <c:idx val="2"/>
          <c:order val="2"/>
          <c:tx>
            <c:v>#REF!</c:v>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5-B474-4BA8-B5C2-ADCE0064093E}"/>
            </c:ext>
          </c:extLst>
        </c:ser>
        <c:ser>
          <c:idx val="3"/>
          <c:order val="3"/>
          <c:tx>
            <c:strRef>
              <c:f>model2!#REF!</c:f>
              <c:strCache>
                <c:ptCount val="1"/>
                <c:pt idx="0">
                  <c:v>#REF!</c:v>
                </c:pt>
              </c:strCache>
            </c:strRef>
          </c:tx>
          <c:spPr>
            <a:ln w="28575">
              <a:noFill/>
            </a:ln>
          </c:spPr>
          <c:trendline>
            <c:trendlineType val="linear"/>
            <c:dispRSqr val="1"/>
            <c:dispEq val="0"/>
            <c:trendlineLbl>
              <c:numFmt formatCode="General" sourceLinked="0"/>
            </c:trendlineLbl>
          </c:trendline>
          <c:xVal>
            <c:numLit>
              <c:formatCode>General</c:formatCode>
              <c:ptCount val="12"/>
            </c:numLit>
          </c:xVal>
          <c:yVal>
            <c:numLit>
              <c:formatCode>General</c:formatCode>
              <c:ptCount val="12"/>
              <c:pt idx="1">
                <c:v>0</c:v>
              </c:pt>
              <c:pt idx="2">
                <c:v>0</c:v>
              </c:pt>
              <c:pt idx="3">
                <c:v>0</c:v>
              </c:pt>
              <c:pt idx="4">
                <c:v>0</c:v>
              </c:pt>
              <c:pt idx="5">
                <c:v>0</c:v>
              </c:pt>
              <c:pt idx="6">
                <c:v>0</c:v>
              </c:pt>
              <c:pt idx="7">
                <c:v>0</c:v>
              </c:pt>
              <c:pt idx="8">
                <c:v>0</c:v>
              </c:pt>
              <c:pt idx="9">
                <c:v>0</c:v>
              </c:pt>
              <c:pt idx="10">
                <c:v>0</c:v>
              </c:pt>
              <c:pt idx="11">
                <c:v>0</c:v>
              </c:pt>
            </c:numLit>
          </c:yVal>
          <c:smooth val="0"/>
          <c:extLst>
            <c:ext xmlns:c16="http://schemas.microsoft.com/office/drawing/2014/chart" uri="{C3380CC4-5D6E-409C-BE32-E72D297353CC}">
              <c16:uniqueId val="{00000007-B474-4BA8-B5C2-ADCE0064093E}"/>
            </c:ext>
          </c:extLst>
        </c:ser>
        <c:dLbls>
          <c:showLegendKey val="0"/>
          <c:showVal val="0"/>
          <c:showCatName val="0"/>
          <c:showSerName val="0"/>
          <c:showPercent val="0"/>
          <c:showBubbleSize val="0"/>
        </c:dLbls>
        <c:axId val="455338592"/>
        <c:axId val="455339152"/>
      </c:scatterChart>
      <c:valAx>
        <c:axId val="455338592"/>
        <c:scaling>
          <c:orientation val="minMax"/>
        </c:scaling>
        <c:delete val="0"/>
        <c:axPos val="b"/>
        <c:numFmt formatCode="General" sourceLinked="1"/>
        <c:majorTickMark val="out"/>
        <c:minorTickMark val="none"/>
        <c:tickLblPos val="nextTo"/>
        <c:crossAx val="455339152"/>
        <c:crosses val="autoZero"/>
        <c:crossBetween val="midCat"/>
      </c:valAx>
      <c:valAx>
        <c:axId val="455339152"/>
        <c:scaling>
          <c:orientation val="minMax"/>
        </c:scaling>
        <c:delete val="0"/>
        <c:axPos val="l"/>
        <c:majorGridlines/>
        <c:numFmt formatCode="General" sourceLinked="1"/>
        <c:majorTickMark val="out"/>
        <c:minorTickMark val="none"/>
        <c:tickLblPos val="nextTo"/>
        <c:crossAx val="455338592"/>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[supermodel 1.7_cor_N_tryout8_01122017(Nbehaviour)_1.xlsm]pivot chart!PivotTable2</c:name>
    <c:fmtId val="0"/>
  </c:pivotSource>
  <c:chart>
    <c:autoTitleDeleted val="1"/>
    <c:pivotFmts>
      <c:pivotFmt>
        <c:idx val="0"/>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extLst>
            <c:ext xmlns:c15="http://schemas.microsoft.com/office/drawing/2012/chart" uri="{CE6537A1-D6FC-4f65-9D91-7224C49458BB}"/>
          </c:extLst>
        </c:dLbl>
      </c:pivotFmt>
      <c:pivotFmt>
        <c:idx val="26"/>
        <c:marker>
          <c:symbol val="none"/>
        </c:marker>
        <c:dLbl>
          <c:idx val="0"/>
          <c:delete val="1"/>
          <c:extLst>
            <c:ext xmlns:c15="http://schemas.microsoft.com/office/drawing/2012/chart" uri="{CE6537A1-D6FC-4f65-9D91-7224C49458BB}"/>
          </c:extLst>
        </c:dLbl>
      </c:pivotFmt>
      <c:pivotFmt>
        <c:idx val="27"/>
        <c:marker>
          <c:symbol val="none"/>
        </c:marker>
        <c:dLbl>
          <c:idx val="0"/>
          <c:delete val="1"/>
          <c:extLst>
            <c:ext xmlns:c15="http://schemas.microsoft.com/office/drawing/2012/chart" uri="{CE6537A1-D6FC-4f65-9D91-7224C49458BB}"/>
          </c:extLst>
        </c:dLbl>
      </c:pivotFmt>
      <c:pivotFmt>
        <c:idx val="28"/>
        <c:marker>
          <c:symbol val="none"/>
        </c:marker>
        <c:dLbl>
          <c:idx val="0"/>
          <c:delete val="1"/>
          <c:extLst>
            <c:ext xmlns:c15="http://schemas.microsoft.com/office/drawing/2012/chart" uri="{CE6537A1-D6FC-4f65-9D91-7224C49458BB}"/>
          </c:extLst>
        </c:dLbl>
      </c:pivotFmt>
      <c:pivotFmt>
        <c:idx val="29"/>
        <c:marker>
          <c:symbol val="none"/>
        </c:marker>
        <c:dLbl>
          <c:idx val="0"/>
          <c:delete val="1"/>
          <c:extLst>
            <c:ext xmlns:c15="http://schemas.microsoft.com/office/drawing/2012/chart" uri="{CE6537A1-D6FC-4f65-9D91-7224C49458BB}"/>
          </c:extLst>
        </c:dLbl>
      </c:pivotFmt>
      <c:pivotFmt>
        <c:idx val="30"/>
        <c:marker>
          <c:symbol val="none"/>
        </c:marker>
        <c:dLbl>
          <c:idx val="0"/>
          <c:delete val="1"/>
          <c:extLst>
            <c:ext xmlns:c15="http://schemas.microsoft.com/office/drawing/2012/chart" uri="{CE6537A1-D6FC-4f65-9D91-7224C49458BB}"/>
          </c:extLst>
        </c:dLbl>
      </c:pivotFmt>
      <c:pivotFmt>
        <c:idx val="31"/>
        <c:marker>
          <c:symbol val="none"/>
        </c:marker>
        <c:dLbl>
          <c:idx val="0"/>
          <c:delete val="1"/>
          <c:extLst>
            <c:ext xmlns:c15="http://schemas.microsoft.com/office/drawing/2012/chart" uri="{CE6537A1-D6FC-4f65-9D91-7224C49458BB}"/>
          </c:extLst>
        </c:dLbl>
      </c:pivotFmt>
      <c:pivotFmt>
        <c:idx val="32"/>
        <c:marker>
          <c:symbol val="none"/>
        </c:marker>
        <c:dLbl>
          <c:idx val="0"/>
          <c:delete val="1"/>
          <c:extLst>
            <c:ext xmlns:c15="http://schemas.microsoft.com/office/drawing/2012/chart" uri="{CE6537A1-D6FC-4f65-9D91-7224C49458BB}"/>
          </c:extLst>
        </c:dLbl>
      </c:pivotFmt>
      <c:pivotFmt>
        <c:idx val="33"/>
        <c:marker>
          <c:symbol val="none"/>
        </c:marker>
        <c:dLbl>
          <c:idx val="0"/>
          <c:delete val="1"/>
          <c:extLst>
            <c:ext xmlns:c15="http://schemas.microsoft.com/office/drawing/2012/chart" uri="{CE6537A1-D6FC-4f65-9D91-7224C49458BB}"/>
          </c:extLst>
        </c:dLbl>
      </c:pivotFmt>
      <c:pivotFmt>
        <c:idx val="34"/>
        <c:marker>
          <c:symbol val="none"/>
        </c:marker>
        <c:dLbl>
          <c:idx val="0"/>
          <c:delete val="1"/>
          <c:extLst>
            <c:ext xmlns:c15="http://schemas.microsoft.com/office/drawing/2012/chart" uri="{CE6537A1-D6FC-4f65-9D91-7224C49458BB}"/>
          </c:extLst>
        </c:dLbl>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dLbl>
          <c:idx val="0"/>
          <c:delete val="1"/>
          <c:extLst>
            <c:ext xmlns:c15="http://schemas.microsoft.com/office/drawing/2012/chart" uri="{CE6537A1-D6FC-4f65-9D91-7224C49458BB}"/>
          </c:extLst>
        </c:dLbl>
      </c:pivotFmt>
      <c:pivotFmt>
        <c:idx val="41"/>
        <c:marker>
          <c:symbol val="none"/>
        </c:marker>
        <c:dLbl>
          <c:idx val="0"/>
          <c:delete val="1"/>
          <c:extLst>
            <c:ext xmlns:c15="http://schemas.microsoft.com/office/drawing/2012/chart" uri="{CE6537A1-D6FC-4f65-9D91-7224C49458BB}"/>
          </c:extLst>
        </c:dLbl>
      </c:pivotFmt>
      <c:pivotFmt>
        <c:idx val="42"/>
        <c:marker>
          <c:symbol val="none"/>
        </c:marker>
        <c:dLbl>
          <c:idx val="0"/>
          <c:delete val="1"/>
          <c:extLst>
            <c:ext xmlns:c15="http://schemas.microsoft.com/office/drawing/2012/chart" uri="{CE6537A1-D6FC-4f65-9D91-7224C49458BB}"/>
          </c:extLst>
        </c:dLbl>
      </c:pivotFmt>
      <c:pivotFmt>
        <c:idx val="43"/>
        <c:marker>
          <c:symbol val="none"/>
        </c:marker>
        <c:dLbl>
          <c:idx val="0"/>
          <c:delete val="1"/>
          <c:extLst>
            <c:ext xmlns:c15="http://schemas.microsoft.com/office/drawing/2012/chart" uri="{CE6537A1-D6FC-4f65-9D91-7224C49458BB}"/>
          </c:extLst>
        </c:dLbl>
      </c:pivotFmt>
      <c:pivotFmt>
        <c:idx val="44"/>
        <c:marker>
          <c:symbol val="none"/>
        </c:marker>
        <c:dLbl>
          <c:idx val="0"/>
          <c:delete val="1"/>
          <c:extLst>
            <c:ext xmlns:c15="http://schemas.microsoft.com/office/drawing/2012/chart" uri="{CE6537A1-D6FC-4f65-9D91-7224C49458BB}"/>
          </c:extLst>
        </c:dLbl>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dLbl>
          <c:idx val="0"/>
          <c:delete val="1"/>
          <c:extLst>
            <c:ext xmlns:c15="http://schemas.microsoft.com/office/drawing/2012/chart" uri="{CE6537A1-D6FC-4f65-9D91-7224C49458BB}"/>
          </c:extLst>
        </c:dLbl>
      </c:pivotFmt>
      <c:pivotFmt>
        <c:idx val="51"/>
        <c:marker>
          <c:symbol val="none"/>
        </c:marker>
        <c:dLbl>
          <c:idx val="0"/>
          <c:delete val="1"/>
          <c:extLst>
            <c:ext xmlns:c15="http://schemas.microsoft.com/office/drawing/2012/chart" uri="{CE6537A1-D6FC-4f65-9D91-7224C49458BB}"/>
          </c:extLst>
        </c:dLbl>
      </c:pivotFmt>
      <c:pivotFmt>
        <c:idx val="52"/>
        <c:marker>
          <c:symbol val="none"/>
        </c:marker>
        <c:dLbl>
          <c:idx val="0"/>
          <c:delete val="1"/>
          <c:extLst>
            <c:ext xmlns:c15="http://schemas.microsoft.com/office/drawing/2012/chart" uri="{CE6537A1-D6FC-4f65-9D91-7224C49458BB}"/>
          </c:extLst>
        </c:dLbl>
      </c:pivotFmt>
      <c:pivotFmt>
        <c:idx val="53"/>
        <c:marker>
          <c:symbol val="none"/>
        </c:marker>
        <c:dLbl>
          <c:idx val="0"/>
          <c:delete val="1"/>
          <c:extLst>
            <c:ext xmlns:c15="http://schemas.microsoft.com/office/drawing/2012/chart" uri="{CE6537A1-D6FC-4f65-9D91-7224C49458BB}"/>
          </c:extLst>
        </c:dLbl>
      </c:pivotFmt>
      <c:pivotFmt>
        <c:idx val="54"/>
        <c:marker>
          <c:symbol val="none"/>
        </c:marker>
        <c:dLbl>
          <c:idx val="0"/>
          <c:delete val="1"/>
          <c:extLst>
            <c:ext xmlns:c15="http://schemas.microsoft.com/office/drawing/2012/chart" uri="{CE6537A1-D6FC-4f65-9D91-7224C49458BB}"/>
          </c:extLst>
        </c:dLbl>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dLbl>
          <c:idx val="0"/>
          <c:delete val="1"/>
          <c:extLst>
            <c:ext xmlns:c15="http://schemas.microsoft.com/office/drawing/2012/chart" uri="{CE6537A1-D6FC-4f65-9D91-7224C49458BB}"/>
          </c:extLst>
        </c:dLbl>
      </c:pivotFmt>
      <c:pivotFmt>
        <c:idx val="71"/>
        <c:marker>
          <c:symbol val="none"/>
        </c:marker>
        <c:dLbl>
          <c:idx val="0"/>
          <c:delete val="1"/>
          <c:extLst>
            <c:ext xmlns:c15="http://schemas.microsoft.com/office/drawing/2012/chart" uri="{CE6537A1-D6FC-4f65-9D91-7224C49458BB}"/>
          </c:extLst>
        </c:dLbl>
      </c:pivotFmt>
      <c:pivotFmt>
        <c:idx val="72"/>
        <c:marker>
          <c:symbol val="none"/>
        </c:marker>
        <c:dLbl>
          <c:idx val="0"/>
          <c:delete val="1"/>
          <c:extLst>
            <c:ext xmlns:c15="http://schemas.microsoft.com/office/drawing/2012/chart" uri="{CE6537A1-D6FC-4f65-9D91-7224C49458BB}"/>
          </c:extLst>
        </c:dLbl>
      </c:pivotFmt>
      <c:pivotFmt>
        <c:idx val="73"/>
        <c:marker>
          <c:symbol val="none"/>
        </c:marker>
        <c:dLbl>
          <c:idx val="0"/>
          <c:delete val="1"/>
          <c:extLst>
            <c:ext xmlns:c15="http://schemas.microsoft.com/office/drawing/2012/chart" uri="{CE6537A1-D6FC-4f65-9D91-7224C49458BB}"/>
          </c:extLst>
        </c:dLbl>
      </c:pivotFmt>
      <c:pivotFmt>
        <c:idx val="74"/>
        <c:marker>
          <c:symbol val="none"/>
        </c:marker>
        <c:dLbl>
          <c:idx val="0"/>
          <c:delete val="1"/>
          <c:extLst>
            <c:ext xmlns:c15="http://schemas.microsoft.com/office/drawing/2012/chart" uri="{CE6537A1-D6FC-4f65-9D91-7224C49458BB}"/>
          </c:extLst>
        </c:dLbl>
      </c:pivotFmt>
      <c:pivotFmt>
        <c:idx val="75"/>
        <c:marker>
          <c:symbol val="none"/>
        </c:marker>
        <c:dLbl>
          <c:idx val="0"/>
          <c:delete val="1"/>
          <c:extLst>
            <c:ext xmlns:c15="http://schemas.microsoft.com/office/drawing/2012/chart" uri="{CE6537A1-D6FC-4f65-9D91-7224C49458BB}"/>
          </c:extLst>
        </c:dLbl>
      </c:pivotFmt>
      <c:pivotFmt>
        <c:idx val="76"/>
        <c:marker>
          <c:symbol val="none"/>
        </c:marker>
        <c:dLbl>
          <c:idx val="0"/>
          <c:delete val="1"/>
          <c:extLst>
            <c:ext xmlns:c15="http://schemas.microsoft.com/office/drawing/2012/chart" uri="{CE6537A1-D6FC-4f65-9D91-7224C49458BB}"/>
          </c:extLst>
        </c:dLbl>
      </c:pivotFmt>
      <c:pivotFmt>
        <c:idx val="77"/>
        <c:marker>
          <c:symbol val="none"/>
        </c:marker>
        <c:dLbl>
          <c:idx val="0"/>
          <c:delete val="1"/>
          <c:extLst>
            <c:ext xmlns:c15="http://schemas.microsoft.com/office/drawing/2012/chart" uri="{CE6537A1-D6FC-4f65-9D91-7224C49458BB}"/>
          </c:extLst>
        </c:dLbl>
      </c:pivotFmt>
      <c:pivotFmt>
        <c:idx val="78"/>
        <c:marker>
          <c:symbol val="none"/>
        </c:marker>
        <c:dLbl>
          <c:idx val="0"/>
          <c:delete val="1"/>
          <c:extLst>
            <c:ext xmlns:c15="http://schemas.microsoft.com/office/drawing/2012/chart" uri="{CE6537A1-D6FC-4f65-9D91-7224C49458BB}"/>
          </c:extLst>
        </c:dLbl>
      </c:pivotFmt>
      <c:pivotFmt>
        <c:idx val="79"/>
        <c:marker>
          <c:symbol val="none"/>
        </c:marker>
        <c:dLbl>
          <c:idx val="0"/>
          <c:delete val="1"/>
          <c:extLst>
            <c:ext xmlns:c15="http://schemas.microsoft.com/office/drawing/2012/chart" uri="{CE6537A1-D6FC-4f65-9D91-7224C49458BB}"/>
          </c:extLst>
        </c:dLbl>
      </c:pivotFmt>
      <c:pivotFmt>
        <c:idx val="80"/>
        <c:marker>
          <c:symbol val="none"/>
        </c:marker>
        <c:dLbl>
          <c:idx val="0"/>
          <c:delete val="1"/>
          <c:extLst>
            <c:ext xmlns:c15="http://schemas.microsoft.com/office/drawing/2012/chart" uri="{CE6537A1-D6FC-4f65-9D91-7224C49458BB}"/>
          </c:extLst>
        </c:dLbl>
      </c:pivotFmt>
      <c:pivotFmt>
        <c:idx val="81"/>
        <c:marker>
          <c:symbol val="none"/>
        </c:marker>
        <c:dLbl>
          <c:idx val="0"/>
          <c:delete val="1"/>
          <c:extLst>
            <c:ext xmlns:c15="http://schemas.microsoft.com/office/drawing/2012/chart" uri="{CE6537A1-D6FC-4f65-9D91-7224C49458BB}"/>
          </c:extLst>
        </c:dLbl>
      </c:pivotFmt>
      <c:pivotFmt>
        <c:idx val="82"/>
        <c:marker>
          <c:symbol val="none"/>
        </c:marker>
        <c:dLbl>
          <c:idx val="0"/>
          <c:delete val="1"/>
          <c:extLst>
            <c:ext xmlns:c15="http://schemas.microsoft.com/office/drawing/2012/chart" uri="{CE6537A1-D6FC-4f65-9D91-7224C49458BB}"/>
          </c:extLst>
        </c:dLbl>
      </c:pivotFmt>
      <c:pivotFmt>
        <c:idx val="83"/>
        <c:marker>
          <c:symbol val="none"/>
        </c:marker>
        <c:dLbl>
          <c:idx val="0"/>
          <c:delete val="1"/>
          <c:extLst>
            <c:ext xmlns:c15="http://schemas.microsoft.com/office/drawing/2012/chart" uri="{CE6537A1-D6FC-4f65-9D91-7224C49458BB}"/>
          </c:extLst>
        </c:dLbl>
      </c:pivotFmt>
      <c:pivotFmt>
        <c:idx val="84"/>
        <c:marker>
          <c:symbol val="none"/>
        </c:marker>
        <c:dLbl>
          <c:idx val="0"/>
          <c:delete val="1"/>
          <c:extLst>
            <c:ext xmlns:c15="http://schemas.microsoft.com/office/drawing/2012/chart" uri="{CE6537A1-D6FC-4f65-9D91-7224C49458BB}"/>
          </c:extLst>
        </c:dLbl>
      </c:pivotFmt>
      <c:pivotFmt>
        <c:idx val="85"/>
        <c:marker>
          <c:symbol val="none"/>
        </c:marker>
        <c:dLbl>
          <c:idx val="0"/>
          <c:delete val="1"/>
          <c:extLst>
            <c:ext xmlns:c15="http://schemas.microsoft.com/office/drawing/2012/chart" uri="{CE6537A1-D6FC-4f65-9D91-7224C49458BB}"/>
          </c:extLst>
        </c:dLbl>
      </c:pivotFmt>
      <c:pivotFmt>
        <c:idx val="86"/>
        <c:marker>
          <c:symbol val="none"/>
        </c:marker>
        <c:dLbl>
          <c:idx val="0"/>
          <c:delete val="1"/>
          <c:extLst>
            <c:ext xmlns:c15="http://schemas.microsoft.com/office/drawing/2012/chart" uri="{CE6537A1-D6FC-4f65-9D91-7224C49458BB}"/>
          </c:extLst>
        </c:dLbl>
      </c:pivotFmt>
      <c:pivotFmt>
        <c:idx val="87"/>
        <c:marker>
          <c:symbol val="none"/>
        </c:marker>
        <c:dLbl>
          <c:idx val="0"/>
          <c:delete val="1"/>
          <c:extLst>
            <c:ext xmlns:c15="http://schemas.microsoft.com/office/drawing/2012/chart" uri="{CE6537A1-D6FC-4f65-9D91-7224C49458BB}"/>
          </c:extLst>
        </c:dLbl>
      </c:pivotFmt>
      <c:pivotFmt>
        <c:idx val="88"/>
        <c:marker>
          <c:symbol val="none"/>
        </c:marker>
        <c:dLbl>
          <c:idx val="0"/>
          <c:delete val="1"/>
          <c:extLst>
            <c:ext xmlns:c15="http://schemas.microsoft.com/office/drawing/2012/chart" uri="{CE6537A1-D6FC-4f65-9D91-7224C49458BB}"/>
          </c:extLst>
        </c:dLbl>
      </c:pivotFmt>
      <c:pivotFmt>
        <c:idx val="89"/>
        <c:marker>
          <c:symbol val="none"/>
        </c:marker>
        <c:dLbl>
          <c:idx val="0"/>
          <c:delete val="1"/>
          <c:extLst>
            <c:ext xmlns:c15="http://schemas.microsoft.com/office/drawing/2012/chart" uri="{CE6537A1-D6FC-4f65-9D91-7224C49458BB}"/>
          </c:extLst>
        </c:dLbl>
      </c:pivotFmt>
      <c:pivotFmt>
        <c:idx val="90"/>
        <c:marker>
          <c:symbol val="none"/>
        </c:marker>
        <c:dLbl>
          <c:idx val="0"/>
          <c:delete val="1"/>
          <c:extLst>
            <c:ext xmlns:c15="http://schemas.microsoft.com/office/drawing/2012/chart" uri="{CE6537A1-D6FC-4f65-9D91-7224C49458BB}"/>
          </c:extLst>
        </c:dLbl>
      </c:pivotFmt>
      <c:pivotFmt>
        <c:idx val="91"/>
        <c:marker>
          <c:symbol val="none"/>
        </c:marker>
        <c:dLbl>
          <c:idx val="0"/>
          <c:delete val="1"/>
          <c:extLst>
            <c:ext xmlns:c15="http://schemas.microsoft.com/office/drawing/2012/chart" uri="{CE6537A1-D6FC-4f65-9D91-7224C49458BB}"/>
          </c:extLst>
        </c:dLbl>
      </c:pivotFmt>
      <c:pivotFmt>
        <c:idx val="92"/>
        <c:marker>
          <c:symbol val="none"/>
        </c:marker>
        <c:dLbl>
          <c:idx val="0"/>
          <c:delete val="1"/>
          <c:extLst>
            <c:ext xmlns:c15="http://schemas.microsoft.com/office/drawing/2012/chart" uri="{CE6537A1-D6FC-4f65-9D91-7224C49458BB}"/>
          </c:extLst>
        </c:dLbl>
      </c:pivotFmt>
      <c:pivotFmt>
        <c:idx val="93"/>
        <c:marker>
          <c:symbol val="none"/>
        </c:marker>
        <c:dLbl>
          <c:idx val="0"/>
          <c:delete val="1"/>
          <c:extLst>
            <c:ext xmlns:c15="http://schemas.microsoft.com/office/drawing/2012/chart" uri="{CE6537A1-D6FC-4f65-9D91-7224C49458BB}"/>
          </c:extLst>
        </c:dLbl>
      </c:pivotFmt>
      <c:pivotFmt>
        <c:idx val="94"/>
        <c:marker>
          <c:symbol val="none"/>
        </c:marker>
        <c:dLbl>
          <c:idx val="0"/>
          <c:delete val="1"/>
          <c:extLst>
            <c:ext xmlns:c15="http://schemas.microsoft.com/office/drawing/2012/chart" uri="{CE6537A1-D6FC-4f65-9D91-7224C49458BB}"/>
          </c:extLst>
        </c:dLbl>
      </c:pivotFmt>
      <c:pivotFmt>
        <c:idx val="95"/>
        <c:marker>
          <c:symbol val="none"/>
        </c:marker>
      </c:pivotFmt>
      <c:pivotFmt>
        <c:idx val="96"/>
        <c:marker>
          <c:symbol val="none"/>
        </c:marker>
      </c:pivotFmt>
      <c:pivotFmt>
        <c:idx val="97"/>
        <c:marker>
          <c:symbol val="none"/>
        </c:marker>
      </c:pivotFmt>
      <c:pivotFmt>
        <c:idx val="98"/>
        <c:marker>
          <c:symbol val="none"/>
        </c:marker>
      </c:pivotFmt>
      <c:pivotFmt>
        <c:idx val="99"/>
        <c:marker>
          <c:symbol val="none"/>
        </c:marker>
      </c:pivotFmt>
      <c:pivotFmt>
        <c:idx val="100"/>
        <c:marker>
          <c:symbol val="none"/>
        </c:marker>
        <c:dLbl>
          <c:idx val="0"/>
          <c:delete val="1"/>
          <c:extLst>
            <c:ext xmlns:c15="http://schemas.microsoft.com/office/drawing/2012/chart" uri="{CE6537A1-D6FC-4f65-9D91-7224C49458BB}"/>
          </c:extLst>
        </c:dLbl>
      </c:pivotFmt>
      <c:pivotFmt>
        <c:idx val="101"/>
        <c:marker>
          <c:symbol val="none"/>
        </c:marker>
        <c:dLbl>
          <c:idx val="0"/>
          <c:delete val="1"/>
          <c:extLst>
            <c:ext xmlns:c15="http://schemas.microsoft.com/office/drawing/2012/chart" uri="{CE6537A1-D6FC-4f65-9D91-7224C49458BB}"/>
          </c:extLst>
        </c:dLbl>
      </c:pivotFmt>
      <c:pivotFmt>
        <c:idx val="102"/>
        <c:marker>
          <c:symbol val="none"/>
        </c:marker>
        <c:dLbl>
          <c:idx val="0"/>
          <c:delete val="1"/>
          <c:extLst>
            <c:ext xmlns:c15="http://schemas.microsoft.com/office/drawing/2012/chart" uri="{CE6537A1-D6FC-4f65-9D91-7224C49458BB}"/>
          </c:extLst>
        </c:dLbl>
      </c:pivotFmt>
      <c:pivotFmt>
        <c:idx val="103"/>
        <c:marker>
          <c:symbol val="none"/>
        </c:marker>
        <c:dLbl>
          <c:idx val="0"/>
          <c:delete val="1"/>
          <c:extLst>
            <c:ext xmlns:c15="http://schemas.microsoft.com/office/drawing/2012/chart" uri="{CE6537A1-D6FC-4f65-9D91-7224C49458BB}"/>
          </c:extLst>
        </c:dLbl>
      </c:pivotFmt>
      <c:pivotFmt>
        <c:idx val="104"/>
        <c:marker>
          <c:symbol val="none"/>
        </c:marker>
        <c:dLbl>
          <c:idx val="0"/>
          <c:delete val="1"/>
          <c:extLst>
            <c:ext xmlns:c15="http://schemas.microsoft.com/office/drawing/2012/chart" uri="{CE6537A1-D6FC-4f65-9D91-7224C49458BB}"/>
          </c:extLst>
        </c:dLbl>
      </c:pivotFmt>
      <c:pivotFmt>
        <c:idx val="105"/>
        <c:marker>
          <c:symbol val="none"/>
        </c:marker>
        <c:dLbl>
          <c:idx val="0"/>
          <c:delete val="1"/>
          <c:extLst>
            <c:ext xmlns:c15="http://schemas.microsoft.com/office/drawing/2012/chart" uri="{CE6537A1-D6FC-4f65-9D91-7224C49458BB}"/>
          </c:extLst>
        </c:dLbl>
      </c:pivotFmt>
      <c:pivotFmt>
        <c:idx val="106"/>
        <c:marker>
          <c:symbol val="none"/>
        </c:marker>
        <c:dLbl>
          <c:idx val="0"/>
          <c:delete val="1"/>
          <c:extLst>
            <c:ext xmlns:c15="http://schemas.microsoft.com/office/drawing/2012/chart" uri="{CE6537A1-D6FC-4f65-9D91-7224C49458BB}"/>
          </c:extLst>
        </c:dLbl>
      </c:pivotFmt>
      <c:pivotFmt>
        <c:idx val="107"/>
        <c:marker>
          <c:symbol val="none"/>
        </c:marker>
        <c:dLbl>
          <c:idx val="0"/>
          <c:delete val="1"/>
          <c:extLst>
            <c:ext xmlns:c15="http://schemas.microsoft.com/office/drawing/2012/chart" uri="{CE6537A1-D6FC-4f65-9D91-7224C49458BB}"/>
          </c:extLst>
        </c:dLbl>
      </c:pivotFmt>
      <c:pivotFmt>
        <c:idx val="108"/>
        <c:marker>
          <c:symbol val="none"/>
        </c:marker>
        <c:dLbl>
          <c:idx val="0"/>
          <c:delete val="1"/>
          <c:extLst>
            <c:ext xmlns:c15="http://schemas.microsoft.com/office/drawing/2012/chart" uri="{CE6537A1-D6FC-4f65-9D91-7224C49458BB}"/>
          </c:extLst>
        </c:dLbl>
      </c:pivotFmt>
      <c:pivotFmt>
        <c:idx val="109"/>
        <c:marker>
          <c:symbol val="none"/>
        </c:marker>
        <c:dLbl>
          <c:idx val="0"/>
          <c:delete val="1"/>
          <c:extLst>
            <c:ext xmlns:c15="http://schemas.microsoft.com/office/drawing/2012/chart" uri="{CE6537A1-D6FC-4f65-9D91-7224C49458BB}"/>
          </c:extLst>
        </c:dLbl>
      </c:pivotFmt>
      <c:pivotFmt>
        <c:idx val="110"/>
        <c:marker>
          <c:symbol val="none"/>
        </c:marker>
      </c:pivotFmt>
      <c:pivotFmt>
        <c:idx val="111"/>
        <c:marker>
          <c:symbol val="none"/>
        </c:marker>
      </c:pivotFmt>
      <c:pivotFmt>
        <c:idx val="112"/>
        <c:marker>
          <c:symbol val="none"/>
        </c:marker>
      </c:pivotFmt>
      <c:pivotFmt>
        <c:idx val="113"/>
        <c:marker>
          <c:symbol val="none"/>
        </c:marker>
      </c:pivotFmt>
      <c:pivotFmt>
        <c:idx val="114"/>
        <c:marker>
          <c:symbol val="none"/>
        </c:marker>
      </c:pivotFmt>
      <c:pivotFmt>
        <c:idx val="115"/>
        <c:marker>
          <c:symbol val="none"/>
        </c:marker>
      </c:pivotFmt>
      <c:pivotFmt>
        <c:idx val="116"/>
        <c:marker>
          <c:symbol val="none"/>
        </c:marker>
      </c:pivotFmt>
      <c:pivotFmt>
        <c:idx val="117"/>
        <c:marker>
          <c:symbol val="none"/>
        </c:marker>
      </c:pivotFmt>
      <c:pivotFmt>
        <c:idx val="118"/>
        <c:marker>
          <c:symbol val="none"/>
        </c:marker>
      </c:pivotFmt>
      <c:pivotFmt>
        <c:idx val="119"/>
        <c:marker>
          <c:symbol val="none"/>
        </c:marker>
      </c:pivotFmt>
      <c:pivotFmt>
        <c:idx val="120"/>
        <c:marker>
          <c:symbol val="none"/>
        </c:marker>
      </c:pivotFmt>
      <c:pivotFmt>
        <c:idx val="121"/>
        <c:marker>
          <c:symbol val="none"/>
        </c:marker>
      </c:pivotFmt>
      <c:pivotFmt>
        <c:idx val="122"/>
        <c:marker>
          <c:symbol val="none"/>
        </c:marker>
      </c:pivotFmt>
      <c:pivotFmt>
        <c:idx val="123"/>
        <c:marker>
          <c:symbol val="none"/>
        </c:marker>
      </c:pivotFmt>
      <c:pivotFmt>
        <c:idx val="124"/>
        <c:marker>
          <c:symbol val="none"/>
        </c:marker>
      </c:pivotFmt>
      <c:pivotFmt>
        <c:idx val="125"/>
        <c:marker>
          <c:symbol val="none"/>
        </c:marker>
      </c:pivotFmt>
      <c:pivotFmt>
        <c:idx val="126"/>
        <c:marker>
          <c:symbol val="none"/>
        </c:marker>
      </c:pivotFmt>
      <c:pivotFmt>
        <c:idx val="127"/>
        <c:marker>
          <c:symbol val="none"/>
        </c:marker>
      </c:pivotFmt>
      <c:pivotFmt>
        <c:idx val="128"/>
        <c:marker>
          <c:symbol val="none"/>
        </c:marker>
      </c:pivotFmt>
      <c:pivotFmt>
        <c:idx val="129"/>
        <c:marker>
          <c:symbol val="none"/>
        </c:marker>
      </c:pivotFmt>
      <c:pivotFmt>
        <c:idx val="130"/>
        <c:marker>
          <c:symbol val="none"/>
        </c:marker>
      </c:pivotFmt>
      <c:pivotFmt>
        <c:idx val="131"/>
        <c:marker>
          <c:symbol val="none"/>
        </c:marker>
      </c:pivotFmt>
      <c:pivotFmt>
        <c:idx val="132"/>
        <c:marker>
          <c:symbol val="none"/>
        </c:marker>
      </c:pivotFmt>
      <c:pivotFmt>
        <c:idx val="133"/>
        <c:marker>
          <c:symbol val="none"/>
        </c:marker>
      </c:pivotFmt>
      <c:pivotFmt>
        <c:idx val="134"/>
        <c:marker>
          <c:symbol val="none"/>
        </c:marker>
      </c:pivotFmt>
      <c:pivotFmt>
        <c:idx val="135"/>
        <c:marker>
          <c:symbol val="none"/>
        </c:marker>
      </c:pivotFmt>
      <c:pivotFmt>
        <c:idx val="136"/>
        <c:marker>
          <c:symbol val="none"/>
        </c:marker>
      </c:pivotFmt>
      <c:pivotFmt>
        <c:idx val="137"/>
        <c:marker>
          <c:symbol val="none"/>
        </c:marker>
      </c:pivotFmt>
      <c:pivotFmt>
        <c:idx val="138"/>
        <c:marker>
          <c:symbol val="none"/>
        </c:marker>
      </c:pivotFmt>
      <c:pivotFmt>
        <c:idx val="139"/>
        <c:marker>
          <c:symbol val="none"/>
        </c:marker>
      </c:pivotFmt>
      <c:pivotFmt>
        <c:idx val="140"/>
        <c:marker>
          <c:symbol val="none"/>
        </c:marker>
      </c:pivotFmt>
      <c:pivotFmt>
        <c:idx val="141"/>
        <c:marker>
          <c:symbol val="none"/>
        </c:marker>
      </c:pivotFmt>
      <c:pivotFmt>
        <c:idx val="142"/>
        <c:marker>
          <c:symbol val="none"/>
        </c:marker>
      </c:pivotFmt>
      <c:pivotFmt>
        <c:idx val="143"/>
        <c:marker>
          <c:symbol val="none"/>
        </c:marker>
      </c:pivotFmt>
      <c:pivotFmt>
        <c:idx val="144"/>
        <c:marker>
          <c:symbol val="none"/>
        </c:marker>
      </c:pivotFmt>
      <c:pivotFmt>
        <c:idx val="145"/>
        <c:marker>
          <c:symbol val="none"/>
        </c:marker>
      </c:pivotFmt>
      <c:pivotFmt>
        <c:idx val="146"/>
        <c:marker>
          <c:symbol val="none"/>
        </c:marker>
      </c:pivotFmt>
      <c:pivotFmt>
        <c:idx val="147"/>
        <c:marker>
          <c:symbol val="none"/>
        </c:marker>
      </c:pivotFmt>
      <c:pivotFmt>
        <c:idx val="148"/>
        <c:marker>
          <c:symbol val="none"/>
        </c:marker>
      </c:pivotFmt>
      <c:pivotFmt>
        <c:idx val="149"/>
        <c:marker>
          <c:symbol val="none"/>
        </c:marker>
      </c:pivotFmt>
      <c:pivotFmt>
        <c:idx val="150"/>
        <c:marker>
          <c:symbol val="none"/>
        </c:marker>
      </c:pivotFmt>
      <c:pivotFmt>
        <c:idx val="151"/>
        <c:marker>
          <c:symbol val="none"/>
        </c:marker>
      </c:pivotFmt>
      <c:pivotFmt>
        <c:idx val="152"/>
        <c:marker>
          <c:symbol val="none"/>
        </c:marker>
      </c:pivotFmt>
      <c:pivotFmt>
        <c:idx val="153"/>
        <c:marker>
          <c:symbol val="none"/>
        </c:marker>
      </c:pivotFmt>
      <c:pivotFmt>
        <c:idx val="154"/>
        <c:marker>
          <c:symbol val="none"/>
        </c:marker>
      </c:pivotFmt>
      <c:pivotFmt>
        <c:idx val="155"/>
        <c:marker>
          <c:symbol val="none"/>
        </c:marker>
      </c:pivotFmt>
      <c:pivotFmt>
        <c:idx val="156"/>
        <c:marker>
          <c:symbol val="none"/>
        </c:marker>
      </c:pivotFmt>
      <c:pivotFmt>
        <c:idx val="157"/>
        <c:marker>
          <c:symbol val="none"/>
        </c:marker>
      </c:pivotFmt>
      <c:pivotFmt>
        <c:idx val="158"/>
        <c:marker>
          <c:symbol val="none"/>
        </c:marker>
      </c:pivotFmt>
      <c:pivotFmt>
        <c:idx val="159"/>
        <c:marker>
          <c:symbol val="none"/>
        </c:marker>
      </c:pivotFmt>
      <c:pivotFmt>
        <c:idx val="160"/>
        <c:marker>
          <c:symbol val="none"/>
        </c:marker>
      </c:pivotFmt>
      <c:pivotFmt>
        <c:idx val="161"/>
        <c:marker>
          <c:symbol val="none"/>
        </c:marker>
      </c:pivotFmt>
      <c:pivotFmt>
        <c:idx val="162"/>
        <c:marker>
          <c:symbol val="none"/>
        </c:marker>
      </c:pivotFmt>
      <c:pivotFmt>
        <c:idx val="163"/>
        <c:marker>
          <c:symbol val="none"/>
        </c:marker>
      </c:pivotFmt>
      <c:pivotFmt>
        <c:idx val="164"/>
        <c:marker>
          <c:symbol val="none"/>
        </c:marker>
      </c:pivotFmt>
      <c:pivotFmt>
        <c:idx val="165"/>
        <c:marker>
          <c:symbol val="none"/>
        </c:marker>
      </c:pivotFmt>
      <c:pivotFmt>
        <c:idx val="166"/>
        <c:marker>
          <c:symbol val="none"/>
        </c:marker>
      </c:pivotFmt>
      <c:pivotFmt>
        <c:idx val="167"/>
        <c:marker>
          <c:symbol val="none"/>
        </c:marker>
      </c:pivotFmt>
      <c:pivotFmt>
        <c:idx val="168"/>
        <c:marker>
          <c:symbol val="none"/>
        </c:marker>
      </c:pivotFmt>
      <c:pivotFmt>
        <c:idx val="169"/>
        <c:marker>
          <c:symbol val="none"/>
        </c:marker>
      </c:pivotFmt>
      <c:pivotFmt>
        <c:idx val="170"/>
        <c:marker>
          <c:symbol val="none"/>
        </c:marker>
      </c:pivotFmt>
      <c:pivotFmt>
        <c:idx val="171"/>
        <c:marker>
          <c:symbol val="none"/>
        </c:marker>
      </c:pivotFmt>
      <c:pivotFmt>
        <c:idx val="172"/>
        <c:marker>
          <c:symbol val="none"/>
        </c:marker>
      </c:pivotFmt>
      <c:pivotFmt>
        <c:idx val="173"/>
        <c:marker>
          <c:symbol val="none"/>
        </c:marker>
      </c:pivotFmt>
      <c:pivotFmt>
        <c:idx val="174"/>
        <c:marker>
          <c:symbol val="none"/>
        </c:marker>
      </c:pivotFmt>
      <c:pivotFmt>
        <c:idx val="175"/>
        <c:marker>
          <c:symbol val="none"/>
        </c:marker>
      </c:pivotFmt>
      <c:pivotFmt>
        <c:idx val="176"/>
        <c:marker>
          <c:symbol val="none"/>
        </c:marker>
      </c:pivotFmt>
      <c:pivotFmt>
        <c:idx val="177"/>
        <c:marker>
          <c:symbol val="none"/>
        </c:marker>
      </c:pivotFmt>
      <c:pivotFmt>
        <c:idx val="178"/>
        <c:marker>
          <c:symbol val="none"/>
        </c:marker>
      </c:pivotFmt>
      <c:pivotFmt>
        <c:idx val="179"/>
        <c:marker>
          <c:symbol val="none"/>
        </c:marker>
      </c:pivotFmt>
      <c:pivotFmt>
        <c:idx val="180"/>
        <c:marker>
          <c:symbol val="none"/>
        </c:marker>
      </c:pivotFmt>
      <c:pivotFmt>
        <c:idx val="181"/>
        <c:marker>
          <c:symbol val="none"/>
        </c:marker>
      </c:pivotFmt>
      <c:pivotFmt>
        <c:idx val="182"/>
        <c:marker>
          <c:symbol val="none"/>
        </c:marker>
      </c:pivotFmt>
      <c:pivotFmt>
        <c:idx val="183"/>
        <c:marker>
          <c:symbol val="none"/>
        </c:marker>
      </c:pivotFmt>
      <c:pivotFmt>
        <c:idx val="184"/>
        <c:marker>
          <c:symbol val="none"/>
        </c:marker>
      </c:pivotFmt>
      <c:pivotFmt>
        <c:idx val="185"/>
        <c:marker>
          <c:symbol val="none"/>
        </c:marker>
      </c:pivotFmt>
      <c:pivotFmt>
        <c:idx val="186"/>
        <c:marker>
          <c:symbol val="none"/>
        </c:marker>
      </c:pivotFmt>
      <c:pivotFmt>
        <c:idx val="187"/>
        <c:marker>
          <c:symbol val="none"/>
        </c:marker>
      </c:pivotFmt>
      <c:pivotFmt>
        <c:idx val="188"/>
        <c:marker>
          <c:symbol val="none"/>
        </c:marker>
      </c:pivotFmt>
      <c:pivotFmt>
        <c:idx val="189"/>
        <c:marker>
          <c:symbol val="none"/>
        </c:marker>
      </c:pivotFmt>
      <c:pivotFmt>
        <c:idx val="190"/>
        <c:marker>
          <c:symbol val="none"/>
        </c:marker>
      </c:pivotFmt>
      <c:pivotFmt>
        <c:idx val="191"/>
        <c:marker>
          <c:symbol val="none"/>
        </c:marker>
      </c:pivotFmt>
      <c:pivotFmt>
        <c:idx val="192"/>
        <c:marker>
          <c:symbol val="none"/>
        </c:marker>
      </c:pivotFmt>
      <c:pivotFmt>
        <c:idx val="193"/>
        <c:marker>
          <c:symbol val="none"/>
        </c:marker>
      </c:pivotFmt>
      <c:pivotFmt>
        <c:idx val="194"/>
        <c:marker>
          <c:symbol val="none"/>
        </c:marker>
      </c:pivotFmt>
      <c:pivotFmt>
        <c:idx val="195"/>
        <c:marker>
          <c:symbol val="none"/>
        </c:marker>
      </c:pivotFmt>
      <c:pivotFmt>
        <c:idx val="196"/>
        <c:marker>
          <c:symbol val="none"/>
        </c:marker>
      </c:pivotFmt>
      <c:pivotFmt>
        <c:idx val="197"/>
        <c:marker>
          <c:symbol val="none"/>
        </c:marker>
      </c:pivotFmt>
      <c:pivotFmt>
        <c:idx val="198"/>
        <c:marker>
          <c:symbol val="none"/>
        </c:marker>
      </c:pivotFmt>
      <c:pivotFmt>
        <c:idx val="199"/>
        <c:marker>
          <c:symbol val="none"/>
        </c:marker>
      </c:pivotFmt>
      <c:pivotFmt>
        <c:idx val="200"/>
        <c:marker>
          <c:symbol val="none"/>
        </c:marker>
      </c:pivotFmt>
      <c:pivotFmt>
        <c:idx val="201"/>
        <c:marker>
          <c:symbol val="none"/>
        </c:marker>
      </c:pivotFmt>
      <c:pivotFmt>
        <c:idx val="202"/>
        <c:marker>
          <c:symbol val="none"/>
        </c:marker>
      </c:pivotFmt>
      <c:pivotFmt>
        <c:idx val="203"/>
        <c:marker>
          <c:symbol val="none"/>
        </c:marker>
      </c:pivotFmt>
      <c:pivotFmt>
        <c:idx val="204"/>
        <c:marker>
          <c:symbol val="none"/>
        </c:marker>
      </c:pivotFmt>
      <c:pivotFmt>
        <c:idx val="205"/>
        <c:marker>
          <c:symbol val="none"/>
        </c:marker>
      </c:pivotFmt>
      <c:pivotFmt>
        <c:idx val="206"/>
        <c:marker>
          <c:symbol val="none"/>
        </c:marker>
      </c:pivotFmt>
      <c:pivotFmt>
        <c:idx val="207"/>
        <c:marker>
          <c:symbol val="none"/>
        </c:marker>
      </c:pivotFmt>
      <c:pivotFmt>
        <c:idx val="208"/>
        <c:marker>
          <c:symbol val="none"/>
        </c:marker>
      </c:pivotFmt>
      <c:pivotFmt>
        <c:idx val="209"/>
        <c:marker>
          <c:symbol val="none"/>
        </c:marker>
      </c:pivotFmt>
      <c:pivotFmt>
        <c:idx val="210"/>
        <c:marker>
          <c:symbol val="none"/>
        </c:marker>
      </c:pivotFmt>
      <c:pivotFmt>
        <c:idx val="211"/>
        <c:marker>
          <c:symbol val="none"/>
        </c:marker>
      </c:pivotFmt>
      <c:pivotFmt>
        <c:idx val="212"/>
        <c:marker>
          <c:symbol val="none"/>
        </c:marker>
      </c:pivotFmt>
      <c:pivotFmt>
        <c:idx val="213"/>
        <c:marker>
          <c:symbol val="none"/>
        </c:marker>
      </c:pivotFmt>
      <c:pivotFmt>
        <c:idx val="214"/>
        <c:marker>
          <c:symbol val="none"/>
        </c:marker>
      </c:pivotFmt>
      <c:pivotFmt>
        <c:idx val="215"/>
        <c:marker>
          <c:symbol val="none"/>
        </c:marker>
      </c:pivotFmt>
      <c:pivotFmt>
        <c:idx val="216"/>
        <c:marker>
          <c:symbol val="none"/>
        </c:marker>
      </c:pivotFmt>
      <c:pivotFmt>
        <c:idx val="217"/>
        <c:marker>
          <c:symbol val="none"/>
        </c:marker>
      </c:pivotFmt>
      <c:pivotFmt>
        <c:idx val="218"/>
        <c:marker>
          <c:symbol val="none"/>
        </c:marker>
      </c:pivotFmt>
      <c:pivotFmt>
        <c:idx val="219"/>
        <c:marker>
          <c:symbol val="none"/>
        </c:marker>
      </c:pivotFmt>
      <c:pivotFmt>
        <c:idx val="220"/>
        <c:marker>
          <c:symbol val="none"/>
        </c:marker>
      </c:pivotFmt>
      <c:pivotFmt>
        <c:idx val="221"/>
        <c:marker>
          <c:symbol val="none"/>
        </c:marker>
      </c:pivotFmt>
      <c:pivotFmt>
        <c:idx val="222"/>
        <c:marker>
          <c:symbol val="none"/>
        </c:marker>
      </c:pivotFmt>
      <c:pivotFmt>
        <c:idx val="223"/>
        <c:marker>
          <c:symbol val="none"/>
        </c:marker>
      </c:pivotFmt>
      <c:pivotFmt>
        <c:idx val="224"/>
        <c:marker>
          <c:symbol val="none"/>
        </c:marker>
      </c:pivotFmt>
      <c:pivotFmt>
        <c:idx val="225"/>
        <c:marker>
          <c:symbol val="none"/>
        </c:marker>
      </c:pivotFmt>
      <c:pivotFmt>
        <c:idx val="226"/>
        <c:marker>
          <c:symbol val="none"/>
        </c:marker>
      </c:pivotFmt>
      <c:pivotFmt>
        <c:idx val="227"/>
        <c:marker>
          <c:symbol val="none"/>
        </c:marker>
      </c:pivotFmt>
      <c:pivotFmt>
        <c:idx val="228"/>
        <c:marker>
          <c:symbol val="none"/>
        </c:marker>
      </c:pivotFmt>
      <c:pivotFmt>
        <c:idx val="229"/>
        <c:marker>
          <c:symbol val="none"/>
        </c:marker>
      </c:pivotFmt>
      <c:pivotFmt>
        <c:idx val="230"/>
        <c:marker>
          <c:symbol val="none"/>
        </c:marker>
      </c:pivotFmt>
      <c:pivotFmt>
        <c:idx val="231"/>
        <c:marker>
          <c:symbol val="none"/>
        </c:marker>
      </c:pivotFmt>
      <c:pivotFmt>
        <c:idx val="232"/>
        <c:marker>
          <c:symbol val="none"/>
        </c:marker>
      </c:pivotFmt>
      <c:pivotFmt>
        <c:idx val="233"/>
        <c:marker>
          <c:symbol val="none"/>
        </c:marker>
      </c:pivotFmt>
      <c:pivotFmt>
        <c:idx val="234"/>
        <c:marker>
          <c:symbol val="none"/>
        </c:marker>
      </c:pivotFmt>
      <c:pivotFmt>
        <c:idx val="235"/>
        <c:marker>
          <c:symbol val="none"/>
        </c:marker>
      </c:pivotFmt>
      <c:pivotFmt>
        <c:idx val="236"/>
        <c:marker>
          <c:symbol val="none"/>
        </c:marker>
      </c:pivotFmt>
      <c:pivotFmt>
        <c:idx val="237"/>
        <c:marker>
          <c:symbol val="none"/>
        </c:marker>
      </c:pivotFmt>
      <c:pivotFmt>
        <c:idx val="238"/>
        <c:marker>
          <c:symbol val="none"/>
        </c:marker>
      </c:pivotFmt>
      <c:pivotFmt>
        <c:idx val="239"/>
        <c:marker>
          <c:symbol val="none"/>
        </c:marker>
      </c:pivotFmt>
      <c:pivotFmt>
        <c:idx val="240"/>
        <c:marker>
          <c:symbol val="none"/>
        </c:marker>
      </c:pivotFmt>
      <c:pivotFmt>
        <c:idx val="241"/>
        <c:marker>
          <c:symbol val="none"/>
        </c:marker>
      </c:pivotFmt>
      <c:pivotFmt>
        <c:idx val="242"/>
        <c:marker>
          <c:symbol val="none"/>
        </c:marker>
      </c:pivotFmt>
      <c:pivotFmt>
        <c:idx val="243"/>
        <c:marker>
          <c:symbol val="none"/>
        </c:marker>
      </c:pivotFmt>
      <c:pivotFmt>
        <c:idx val="244"/>
        <c:marker>
          <c:symbol val="none"/>
        </c:marker>
      </c:pivotFmt>
      <c:pivotFmt>
        <c:idx val="245"/>
        <c:marker>
          <c:symbol val="none"/>
        </c:marker>
      </c:pivotFmt>
      <c:pivotFmt>
        <c:idx val="246"/>
        <c:marker>
          <c:symbol val="none"/>
        </c:marker>
      </c:pivotFmt>
      <c:pivotFmt>
        <c:idx val="247"/>
        <c:marker>
          <c:symbol val="none"/>
        </c:marker>
      </c:pivotFmt>
      <c:pivotFmt>
        <c:idx val="248"/>
        <c:marker>
          <c:symbol val="none"/>
        </c:marker>
      </c:pivotFmt>
      <c:pivotFmt>
        <c:idx val="249"/>
        <c:marker>
          <c:symbol val="none"/>
        </c:marker>
      </c:pivotFmt>
      <c:pivotFmt>
        <c:idx val="250"/>
        <c:marker>
          <c:symbol val="none"/>
        </c:marker>
      </c:pivotFmt>
      <c:pivotFmt>
        <c:idx val="251"/>
        <c:marker>
          <c:symbol val="none"/>
        </c:marker>
      </c:pivotFmt>
      <c:pivotFmt>
        <c:idx val="252"/>
        <c:marker>
          <c:symbol val="none"/>
        </c:marker>
      </c:pivotFmt>
      <c:pivotFmt>
        <c:idx val="253"/>
        <c:marker>
          <c:symbol val="none"/>
        </c:marker>
      </c:pivotFmt>
      <c:pivotFmt>
        <c:idx val="254"/>
        <c:marker>
          <c:symbol val="none"/>
        </c:marker>
      </c:pivotFmt>
      <c:pivotFmt>
        <c:idx val="255"/>
        <c:marker>
          <c:symbol val="none"/>
        </c:marker>
      </c:pivotFmt>
      <c:pivotFmt>
        <c:idx val="256"/>
        <c:marker>
          <c:symbol val="none"/>
        </c:marker>
      </c:pivotFmt>
      <c:pivotFmt>
        <c:idx val="257"/>
        <c:marker>
          <c:symbol val="none"/>
        </c:marker>
      </c:pivotFmt>
      <c:pivotFmt>
        <c:idx val="258"/>
        <c:marker>
          <c:symbol val="none"/>
        </c:marker>
      </c:pivotFmt>
      <c:pivotFmt>
        <c:idx val="259"/>
        <c:marker>
          <c:symbol val="none"/>
        </c:marker>
      </c:pivotFmt>
      <c:pivotFmt>
        <c:idx val="260"/>
        <c:marker>
          <c:symbol val="none"/>
        </c:marker>
      </c:pivotFmt>
      <c:pivotFmt>
        <c:idx val="261"/>
        <c:marker>
          <c:symbol val="none"/>
        </c:marker>
      </c:pivotFmt>
      <c:pivotFmt>
        <c:idx val="262"/>
        <c:marker>
          <c:symbol val="none"/>
        </c:marker>
      </c:pivotFmt>
      <c:pivotFmt>
        <c:idx val="263"/>
        <c:marker>
          <c:symbol val="none"/>
        </c:marker>
      </c:pivotFmt>
      <c:pivotFmt>
        <c:idx val="264"/>
        <c:marker>
          <c:symbol val="none"/>
        </c:marker>
      </c:pivotFmt>
      <c:pivotFmt>
        <c:idx val="265"/>
        <c:marker>
          <c:symbol val="none"/>
        </c:marker>
      </c:pivotFmt>
      <c:pivotFmt>
        <c:idx val="266"/>
        <c:marker>
          <c:symbol val="none"/>
        </c:marker>
      </c:pivotFmt>
      <c:pivotFmt>
        <c:idx val="267"/>
        <c:marker>
          <c:symbol val="none"/>
        </c:marker>
      </c:pivotFmt>
      <c:pivotFmt>
        <c:idx val="268"/>
        <c:marker>
          <c:symbol val="none"/>
        </c:marker>
      </c:pivotFmt>
      <c:pivotFmt>
        <c:idx val="269"/>
        <c:marker>
          <c:symbol val="none"/>
        </c:marker>
      </c:pivotFmt>
      <c:pivotFmt>
        <c:idx val="270"/>
        <c:marker>
          <c:symbol val="none"/>
        </c:marker>
      </c:pivotFmt>
      <c:pivotFmt>
        <c:idx val="271"/>
        <c:marker>
          <c:symbol val="none"/>
        </c:marker>
      </c:pivotFmt>
      <c:pivotFmt>
        <c:idx val="272"/>
        <c:marker>
          <c:symbol val="none"/>
        </c:marker>
      </c:pivotFmt>
      <c:pivotFmt>
        <c:idx val="273"/>
        <c:marker>
          <c:symbol val="none"/>
        </c:marker>
      </c:pivotFmt>
      <c:pivotFmt>
        <c:idx val="274"/>
        <c:marker>
          <c:symbol val="none"/>
        </c:marker>
      </c:pivotFmt>
      <c:pivotFmt>
        <c:idx val="275"/>
        <c:marker>
          <c:symbol val="none"/>
        </c:marker>
      </c:pivotFmt>
      <c:pivotFmt>
        <c:idx val="276"/>
        <c:marker>
          <c:symbol val="none"/>
        </c:marker>
      </c:pivotFmt>
      <c:pivotFmt>
        <c:idx val="277"/>
        <c:marker>
          <c:symbol val="none"/>
        </c:marker>
      </c:pivotFmt>
      <c:pivotFmt>
        <c:idx val="278"/>
        <c:marker>
          <c:symbol val="none"/>
        </c:marker>
      </c:pivotFmt>
      <c:pivotFmt>
        <c:idx val="279"/>
        <c:marker>
          <c:symbol val="none"/>
        </c:marker>
      </c:pivotFmt>
      <c:pivotFmt>
        <c:idx val="280"/>
        <c:marker>
          <c:symbol val="none"/>
        </c:marker>
      </c:pivotFmt>
      <c:pivotFmt>
        <c:idx val="281"/>
        <c:marker>
          <c:symbol val="none"/>
        </c:marker>
      </c:pivotFmt>
      <c:pivotFmt>
        <c:idx val="282"/>
        <c:marker>
          <c:symbol val="none"/>
        </c:marker>
      </c:pivotFmt>
      <c:pivotFmt>
        <c:idx val="283"/>
        <c:marker>
          <c:symbol val="none"/>
        </c:marker>
      </c:pivotFmt>
      <c:pivotFmt>
        <c:idx val="284"/>
        <c:marker>
          <c:symbol val="none"/>
        </c:marker>
      </c:pivotFmt>
      <c:pivotFmt>
        <c:idx val="285"/>
        <c:marker>
          <c:symbol val="none"/>
        </c:marker>
      </c:pivotFmt>
      <c:pivotFmt>
        <c:idx val="286"/>
        <c:marker>
          <c:symbol val="none"/>
        </c:marker>
      </c:pivotFmt>
      <c:pivotFmt>
        <c:idx val="287"/>
        <c:marker>
          <c:symbol val="none"/>
        </c:marker>
      </c:pivotFmt>
      <c:pivotFmt>
        <c:idx val="288"/>
        <c:marker>
          <c:symbol val="none"/>
        </c:marker>
      </c:pivotFmt>
      <c:pivotFmt>
        <c:idx val="289"/>
        <c:marker>
          <c:symbol val="none"/>
        </c:marker>
      </c:pivotFmt>
      <c:pivotFmt>
        <c:idx val="290"/>
        <c:marker>
          <c:symbol val="none"/>
        </c:marker>
      </c:pivotFmt>
      <c:pivotFmt>
        <c:idx val="291"/>
        <c:marker>
          <c:symbol val="none"/>
        </c:marker>
      </c:pivotFmt>
      <c:pivotFmt>
        <c:idx val="292"/>
        <c:marker>
          <c:symbol val="none"/>
        </c:marker>
      </c:pivotFmt>
      <c:pivotFmt>
        <c:idx val="293"/>
        <c:marker>
          <c:symbol val="none"/>
        </c:marker>
      </c:pivotFmt>
      <c:pivotFmt>
        <c:idx val="294"/>
        <c:marker>
          <c:symbol val="none"/>
        </c:marker>
      </c:pivotFmt>
      <c:pivotFmt>
        <c:idx val="295"/>
        <c:marker>
          <c:symbol val="none"/>
        </c:marker>
      </c:pivotFmt>
      <c:pivotFmt>
        <c:idx val="296"/>
        <c:marker>
          <c:symbol val="none"/>
        </c:marker>
      </c:pivotFmt>
      <c:pivotFmt>
        <c:idx val="297"/>
        <c:marker>
          <c:symbol val="none"/>
        </c:marker>
      </c:pivotFmt>
      <c:pivotFmt>
        <c:idx val="298"/>
        <c:marker>
          <c:symbol val="none"/>
        </c:marker>
      </c:pivotFmt>
      <c:pivotFmt>
        <c:idx val="299"/>
        <c:marker>
          <c:symbol val="none"/>
        </c:marker>
      </c:pivotFmt>
      <c:pivotFmt>
        <c:idx val="300"/>
        <c:marker>
          <c:symbol val="none"/>
        </c:marker>
      </c:pivotFmt>
      <c:pivotFmt>
        <c:idx val="301"/>
        <c:marker>
          <c:symbol val="none"/>
        </c:marker>
      </c:pivotFmt>
      <c:pivotFmt>
        <c:idx val="302"/>
        <c:marker>
          <c:symbol val="none"/>
        </c:marker>
      </c:pivotFmt>
      <c:pivotFmt>
        <c:idx val="303"/>
        <c:marker>
          <c:symbol val="none"/>
        </c:marker>
      </c:pivotFmt>
      <c:pivotFmt>
        <c:idx val="304"/>
        <c:marker>
          <c:symbol val="none"/>
        </c:marker>
      </c:pivotFmt>
      <c:pivotFmt>
        <c:idx val="305"/>
        <c:marker>
          <c:symbol val="none"/>
        </c:marker>
      </c:pivotFmt>
      <c:pivotFmt>
        <c:idx val="306"/>
        <c:marker>
          <c:symbol val="none"/>
        </c:marker>
      </c:pivotFmt>
      <c:pivotFmt>
        <c:idx val="307"/>
        <c:marker>
          <c:symbol val="none"/>
        </c:marker>
      </c:pivotFmt>
      <c:pivotFmt>
        <c:idx val="308"/>
        <c:marker>
          <c:symbol val="none"/>
        </c:marker>
      </c:pivotFmt>
      <c:pivotFmt>
        <c:idx val="309"/>
        <c:marker>
          <c:symbol val="none"/>
        </c:marker>
      </c:pivotFmt>
      <c:pivotFmt>
        <c:idx val="310"/>
        <c:marker>
          <c:symbol val="none"/>
        </c:marker>
      </c:pivotFmt>
      <c:pivotFmt>
        <c:idx val="311"/>
        <c:marker>
          <c:symbol val="none"/>
        </c:marker>
      </c:pivotFmt>
      <c:pivotFmt>
        <c:idx val="312"/>
        <c:marker>
          <c:symbol val="none"/>
        </c:marker>
      </c:pivotFmt>
      <c:pivotFmt>
        <c:idx val="313"/>
        <c:marker>
          <c:symbol val="none"/>
        </c:marker>
      </c:pivotFmt>
      <c:pivotFmt>
        <c:idx val="314"/>
        <c:marker>
          <c:symbol val="none"/>
        </c:marker>
      </c:pivotFmt>
      <c:pivotFmt>
        <c:idx val="315"/>
        <c:marker>
          <c:symbol val="none"/>
        </c:marker>
      </c:pivotFmt>
      <c:pivotFmt>
        <c:idx val="316"/>
        <c:marker>
          <c:symbol val="none"/>
        </c:marker>
      </c:pivotFmt>
      <c:pivotFmt>
        <c:idx val="317"/>
        <c:marker>
          <c:symbol val="none"/>
        </c:marker>
      </c:pivotFmt>
      <c:pivotFmt>
        <c:idx val="318"/>
        <c:marker>
          <c:symbol val="none"/>
        </c:marker>
      </c:pivotFmt>
      <c:pivotFmt>
        <c:idx val="319"/>
        <c:marker>
          <c:symbol val="none"/>
        </c:marker>
      </c:pivotFmt>
      <c:pivotFmt>
        <c:idx val="320"/>
        <c:marker>
          <c:symbol val="none"/>
        </c:marker>
      </c:pivotFmt>
      <c:pivotFmt>
        <c:idx val="321"/>
        <c:marker>
          <c:symbol val="none"/>
        </c:marker>
      </c:pivotFmt>
      <c:pivotFmt>
        <c:idx val="322"/>
        <c:marker>
          <c:symbol val="none"/>
        </c:marker>
      </c:pivotFmt>
      <c:pivotFmt>
        <c:idx val="323"/>
        <c:marker>
          <c:symbol val="none"/>
        </c:marker>
      </c:pivotFmt>
      <c:pivotFmt>
        <c:idx val="324"/>
        <c:marker>
          <c:symbol val="none"/>
        </c:marker>
      </c:pivotFmt>
      <c:pivotFmt>
        <c:idx val="325"/>
        <c:marker>
          <c:symbol val="none"/>
        </c:marker>
      </c:pivotFmt>
      <c:pivotFmt>
        <c:idx val="326"/>
        <c:marker>
          <c:symbol val="none"/>
        </c:marker>
      </c:pivotFmt>
      <c:pivotFmt>
        <c:idx val="327"/>
        <c:marker>
          <c:symbol val="none"/>
        </c:marker>
      </c:pivotFmt>
      <c:pivotFmt>
        <c:idx val="328"/>
        <c:marker>
          <c:symbol val="none"/>
        </c:marker>
      </c:pivotFmt>
      <c:pivotFmt>
        <c:idx val="329"/>
        <c:marker>
          <c:symbol val="none"/>
        </c:marker>
      </c:pivotFmt>
      <c:pivotFmt>
        <c:idx val="330"/>
        <c:marker>
          <c:symbol val="none"/>
        </c:marker>
      </c:pivotFmt>
      <c:pivotFmt>
        <c:idx val="331"/>
        <c:marker>
          <c:symbol val="none"/>
        </c:marker>
      </c:pivotFmt>
      <c:pivotFmt>
        <c:idx val="332"/>
        <c:marker>
          <c:symbol val="none"/>
        </c:marker>
      </c:pivotFmt>
      <c:pivotFmt>
        <c:idx val="333"/>
        <c:marker>
          <c:symbol val="none"/>
        </c:marker>
      </c:pivotFmt>
      <c:pivotFmt>
        <c:idx val="334"/>
        <c:marker>
          <c:symbol val="none"/>
        </c:marker>
      </c:pivotFmt>
      <c:pivotFmt>
        <c:idx val="335"/>
        <c:marker>
          <c:symbol val="none"/>
        </c:marker>
      </c:pivotFmt>
      <c:pivotFmt>
        <c:idx val="336"/>
        <c:marker>
          <c:symbol val="none"/>
        </c:marker>
      </c:pivotFmt>
      <c:pivotFmt>
        <c:idx val="337"/>
        <c:marker>
          <c:symbol val="none"/>
        </c:marker>
      </c:pivotFmt>
      <c:pivotFmt>
        <c:idx val="338"/>
        <c:marker>
          <c:symbol val="none"/>
        </c:marker>
      </c:pivotFmt>
      <c:pivotFmt>
        <c:idx val="339"/>
        <c:marker>
          <c:symbol val="none"/>
        </c:marker>
      </c:pivotFmt>
      <c:pivotFmt>
        <c:idx val="340"/>
        <c:marker>
          <c:symbol val="none"/>
        </c:marker>
      </c:pivotFmt>
      <c:pivotFmt>
        <c:idx val="341"/>
        <c:marker>
          <c:symbol val="none"/>
        </c:marker>
      </c:pivotFmt>
      <c:pivotFmt>
        <c:idx val="342"/>
        <c:marker>
          <c:symbol val="none"/>
        </c:marker>
      </c:pivotFmt>
      <c:pivotFmt>
        <c:idx val="343"/>
        <c:marker>
          <c:symbol val="none"/>
        </c:marker>
      </c:pivotFmt>
      <c:pivotFmt>
        <c:idx val="344"/>
        <c:marker>
          <c:symbol val="none"/>
        </c:marker>
      </c:pivotFmt>
      <c:pivotFmt>
        <c:idx val="345"/>
        <c:marker>
          <c:symbol val="none"/>
        </c:marker>
      </c:pivotFmt>
      <c:pivotFmt>
        <c:idx val="346"/>
        <c:marker>
          <c:symbol val="none"/>
        </c:marker>
      </c:pivotFmt>
      <c:pivotFmt>
        <c:idx val="347"/>
        <c:marker>
          <c:symbol val="none"/>
        </c:marker>
      </c:pivotFmt>
      <c:pivotFmt>
        <c:idx val="348"/>
        <c:marker>
          <c:symbol val="none"/>
        </c:marker>
      </c:pivotFmt>
      <c:pivotFmt>
        <c:idx val="349"/>
        <c:marker>
          <c:symbol val="none"/>
        </c:marker>
      </c:pivotFmt>
      <c:pivotFmt>
        <c:idx val="350"/>
        <c:marker>
          <c:symbol val="none"/>
        </c:marker>
      </c:pivotFmt>
      <c:pivotFmt>
        <c:idx val="351"/>
        <c:marker>
          <c:symbol val="none"/>
        </c:marker>
      </c:pivotFmt>
      <c:pivotFmt>
        <c:idx val="352"/>
        <c:marker>
          <c:symbol val="none"/>
        </c:marker>
      </c:pivotFmt>
      <c:pivotFmt>
        <c:idx val="353"/>
        <c:marker>
          <c:symbol val="none"/>
        </c:marker>
      </c:pivotFmt>
      <c:pivotFmt>
        <c:idx val="354"/>
        <c:marker>
          <c:symbol val="none"/>
        </c:marker>
      </c:pivotFmt>
      <c:pivotFmt>
        <c:idx val="355"/>
        <c:marker>
          <c:symbol val="none"/>
        </c:marker>
      </c:pivotFmt>
    </c:pivotFmts>
    <c:plotArea>
      <c:layout>
        <c:manualLayout>
          <c:layoutTarget val="inner"/>
          <c:xMode val="edge"/>
          <c:yMode val="edge"/>
          <c:x val="4.2826711579339836E-2"/>
          <c:y val="0.20058225154288145"/>
          <c:w val="0.72473158661208681"/>
          <c:h val="0.66951947222813368"/>
        </c:manualLayout>
      </c:layout>
      <c:lineChart>
        <c:grouping val="standard"/>
        <c:varyColors val="0"/>
        <c:ser>
          <c:idx val="0"/>
          <c:order val="0"/>
          <c:tx>
            <c:strRef>
              <c:f>'pivot chart'!$B$4:$B$6</c:f>
              <c:strCache>
                <c:ptCount val="1"/>
                <c:pt idx="0">
                  <c:v>C3 - Average of JSAT</c:v>
                </c:pt>
              </c:strCache>
            </c:strRef>
          </c:tx>
          <c:marker>
            <c:symbol val="none"/>
          </c:marker>
          <c:cat>
            <c:strRef>
              <c:f>'pivot chart'!$A$7:$A$17</c:f>
              <c:strCache>
                <c:ptCount val="10"/>
                <c:pt idx="0">
                  <c:v>-0.87</c:v>
                </c:pt>
                <c:pt idx="1">
                  <c:v>-0.85</c:v>
                </c:pt>
                <c:pt idx="2">
                  <c:v>-0.8</c:v>
                </c:pt>
                <c:pt idx="3">
                  <c:v>-0.7</c:v>
                </c:pt>
                <c:pt idx="4">
                  <c:v>-0.6</c:v>
                </c:pt>
                <c:pt idx="5">
                  <c:v>-0.5</c:v>
                </c:pt>
                <c:pt idx="6">
                  <c:v>-0.4</c:v>
                </c:pt>
                <c:pt idx="7">
                  <c:v>-0.3</c:v>
                </c:pt>
                <c:pt idx="8">
                  <c:v>-0.2</c:v>
                </c:pt>
                <c:pt idx="9">
                  <c:v>-0.1</c:v>
                </c:pt>
              </c:strCache>
            </c:strRef>
          </c:cat>
          <c:val>
            <c:numRef>
              <c:f>'pivot chart'!$B$7:$B$17</c:f>
              <c:numCache>
                <c:formatCode>0.00</c:formatCode>
                <c:ptCount val="10"/>
                <c:pt idx="0">
                  <c:v>28.555935073539715</c:v>
                </c:pt>
                <c:pt idx="1">
                  <c:v>112.94283398001899</c:v>
                </c:pt>
                <c:pt idx="2">
                  <c:v>213.2227710980807</c:v>
                </c:pt>
                <c:pt idx="3">
                  <c:v>209.81012663220548</c:v>
                </c:pt>
                <c:pt idx="4">
                  <c:v>207.03191382153301</c:v>
                </c:pt>
                <c:pt idx="5">
                  <c:v>205.39778968669657</c:v>
                </c:pt>
                <c:pt idx="6">
                  <c:v>204.35862358416202</c:v>
                </c:pt>
                <c:pt idx="7">
                  <c:v>203.63732821721914</c:v>
                </c:pt>
                <c:pt idx="8">
                  <c:v>203.12489047365494</c:v>
                </c:pt>
                <c:pt idx="9">
                  <c:v>202.67137156165612</c:v>
                </c:pt>
              </c:numCache>
            </c:numRef>
          </c:val>
          <c:smooth val="0"/>
          <c:extLst>
            <c:ext xmlns:c16="http://schemas.microsoft.com/office/drawing/2014/chart" uri="{C3380CC4-5D6E-409C-BE32-E72D297353CC}">
              <c16:uniqueId val="{00000000-A7E0-4C93-B83E-05C9CF85168D}"/>
            </c:ext>
          </c:extLst>
        </c:ser>
        <c:ser>
          <c:idx val="1"/>
          <c:order val="1"/>
          <c:tx>
            <c:strRef>
              <c:f>'pivot chart'!$C$4:$C$6</c:f>
              <c:strCache>
                <c:ptCount val="1"/>
                <c:pt idx="0">
                  <c:v>C3 - Average of Vcmax</c:v>
                </c:pt>
              </c:strCache>
            </c:strRef>
          </c:tx>
          <c:marker>
            <c:symbol val="none"/>
          </c:marker>
          <c:cat>
            <c:strRef>
              <c:f>'pivot chart'!$A$7:$A$17</c:f>
              <c:strCache>
                <c:ptCount val="10"/>
                <c:pt idx="0">
                  <c:v>-0.87</c:v>
                </c:pt>
                <c:pt idx="1">
                  <c:v>-0.85</c:v>
                </c:pt>
                <c:pt idx="2">
                  <c:v>-0.8</c:v>
                </c:pt>
                <c:pt idx="3">
                  <c:v>-0.7</c:v>
                </c:pt>
                <c:pt idx="4">
                  <c:v>-0.6</c:v>
                </c:pt>
                <c:pt idx="5">
                  <c:v>-0.5</c:v>
                </c:pt>
                <c:pt idx="6">
                  <c:v>-0.4</c:v>
                </c:pt>
                <c:pt idx="7">
                  <c:v>-0.3</c:v>
                </c:pt>
                <c:pt idx="8">
                  <c:v>-0.2</c:v>
                </c:pt>
                <c:pt idx="9">
                  <c:v>-0.1</c:v>
                </c:pt>
              </c:strCache>
            </c:strRef>
          </c:cat>
          <c:val>
            <c:numRef>
              <c:f>'pivot chart'!$C$7:$C$17</c:f>
              <c:numCache>
                <c:formatCode>0.00</c:formatCode>
                <c:ptCount val="10"/>
                <c:pt idx="0">
                  <c:v>14.678059041177441</c:v>
                </c:pt>
                <c:pt idx="1">
                  <c:v>65.38410494000199</c:v>
                </c:pt>
                <c:pt idx="2">
                  <c:v>116.15897086691552</c:v>
                </c:pt>
                <c:pt idx="3">
                  <c:v>106.11733202495098</c:v>
                </c:pt>
                <c:pt idx="4">
                  <c:v>100.25289210813001</c:v>
                </c:pt>
                <c:pt idx="5">
                  <c:v>96.709995553009762</c:v>
                </c:pt>
                <c:pt idx="6">
                  <c:v>94.384170844701515</c:v>
                </c:pt>
                <c:pt idx="7">
                  <c:v>92.816462461222002</c:v>
                </c:pt>
                <c:pt idx="8">
                  <c:v>91.61765414901808</c:v>
                </c:pt>
                <c:pt idx="9">
                  <c:v>90.692028570226086</c:v>
                </c:pt>
              </c:numCache>
            </c:numRef>
          </c:val>
          <c:smooth val="0"/>
          <c:extLst>
            <c:ext xmlns:c16="http://schemas.microsoft.com/office/drawing/2014/chart" uri="{C3380CC4-5D6E-409C-BE32-E72D297353CC}">
              <c16:uniqueId val="{00000001-A7E0-4C93-B83E-05C9CF85168D}"/>
            </c:ext>
          </c:extLst>
        </c:ser>
        <c:ser>
          <c:idx val="2"/>
          <c:order val="2"/>
          <c:tx>
            <c:strRef>
              <c:f>'pivot chart'!$D$4:$D$6</c:f>
              <c:strCache>
                <c:ptCount val="1"/>
                <c:pt idx="0">
                  <c:v>C3 - Average of Cr/Cl</c:v>
                </c:pt>
              </c:strCache>
            </c:strRef>
          </c:tx>
          <c:marker>
            <c:symbol val="none"/>
          </c:marker>
          <c:cat>
            <c:strRef>
              <c:f>'pivot chart'!$A$7:$A$17</c:f>
              <c:strCache>
                <c:ptCount val="10"/>
                <c:pt idx="0">
                  <c:v>-0.87</c:v>
                </c:pt>
                <c:pt idx="1">
                  <c:v>-0.85</c:v>
                </c:pt>
                <c:pt idx="2">
                  <c:v>-0.8</c:v>
                </c:pt>
                <c:pt idx="3">
                  <c:v>-0.7</c:v>
                </c:pt>
                <c:pt idx="4">
                  <c:v>-0.6</c:v>
                </c:pt>
                <c:pt idx="5">
                  <c:v>-0.5</c:v>
                </c:pt>
                <c:pt idx="6">
                  <c:v>-0.4</c:v>
                </c:pt>
                <c:pt idx="7">
                  <c:v>-0.3</c:v>
                </c:pt>
                <c:pt idx="8">
                  <c:v>-0.2</c:v>
                </c:pt>
                <c:pt idx="9">
                  <c:v>-0.1</c:v>
                </c:pt>
              </c:strCache>
            </c:strRef>
          </c:cat>
          <c:val>
            <c:numRef>
              <c:f>'pivot chart'!$D$7:$D$17</c:f>
              <c:numCache>
                <c:formatCode>0.00</c:formatCode>
                <c:ptCount val="10"/>
                <c:pt idx="0">
                  <c:v>0.60995996240128814</c:v>
                </c:pt>
                <c:pt idx="1">
                  <c:v>0.36799215990610651</c:v>
                </c:pt>
                <c:pt idx="2">
                  <c:v>0.10317320707181363</c:v>
                </c:pt>
                <c:pt idx="3">
                  <c:v>0.11893312440947716</c:v>
                </c:pt>
                <c:pt idx="4">
                  <c:v>0.12844800934888045</c:v>
                </c:pt>
                <c:pt idx="5">
                  <c:v>0.13410486807857019</c:v>
                </c:pt>
                <c:pt idx="6">
                  <c:v>0.1378101232170284</c:v>
                </c:pt>
                <c:pt idx="7">
                  <c:v>0.14043689907820106</c:v>
                </c:pt>
                <c:pt idx="8">
                  <c:v>0.1423639614702408</c:v>
                </c:pt>
                <c:pt idx="9">
                  <c:v>0.14381416477118691</c:v>
                </c:pt>
              </c:numCache>
            </c:numRef>
          </c:val>
          <c:smooth val="0"/>
          <c:extLst>
            <c:ext xmlns:c16="http://schemas.microsoft.com/office/drawing/2014/chart" uri="{C3380CC4-5D6E-409C-BE32-E72D297353CC}">
              <c16:uniqueId val="{00000002-A7E0-4C93-B83E-05C9CF85168D}"/>
            </c:ext>
          </c:extLst>
        </c:ser>
        <c:ser>
          <c:idx val="3"/>
          <c:order val="3"/>
          <c:tx>
            <c:strRef>
              <c:f>'pivot chart'!$E$4:$E$6</c:f>
              <c:strCache>
                <c:ptCount val="1"/>
                <c:pt idx="0">
                  <c:v>C3 - Average of N tot leaf</c:v>
                </c:pt>
              </c:strCache>
            </c:strRef>
          </c:tx>
          <c:marker>
            <c:symbol val="none"/>
          </c:marker>
          <c:cat>
            <c:strRef>
              <c:f>'pivot chart'!$A$7:$A$17</c:f>
              <c:strCache>
                <c:ptCount val="10"/>
                <c:pt idx="0">
                  <c:v>-0.87</c:v>
                </c:pt>
                <c:pt idx="1">
                  <c:v>-0.85</c:v>
                </c:pt>
                <c:pt idx="2">
                  <c:v>-0.8</c:v>
                </c:pt>
                <c:pt idx="3">
                  <c:v>-0.7</c:v>
                </c:pt>
                <c:pt idx="4">
                  <c:v>-0.6</c:v>
                </c:pt>
                <c:pt idx="5">
                  <c:v>-0.5</c:v>
                </c:pt>
                <c:pt idx="6">
                  <c:v>-0.4</c:v>
                </c:pt>
                <c:pt idx="7">
                  <c:v>-0.3</c:v>
                </c:pt>
                <c:pt idx="8">
                  <c:v>-0.2</c:v>
                </c:pt>
                <c:pt idx="9">
                  <c:v>-0.1</c:v>
                </c:pt>
              </c:strCache>
            </c:strRef>
          </c:cat>
          <c:val>
            <c:numRef>
              <c:f>'pivot chart'!$E$7:$E$17</c:f>
              <c:numCache>
                <c:formatCode>0.00</c:formatCode>
                <c:ptCount val="10"/>
                <c:pt idx="0">
                  <c:v>11976.630737423424</c:v>
                </c:pt>
                <c:pt idx="1">
                  <c:v>65660.121984311816</c:v>
                </c:pt>
                <c:pt idx="2">
                  <c:v>137664.94472238794</c:v>
                </c:pt>
                <c:pt idx="3">
                  <c:v>129324.52765108932</c:v>
                </c:pt>
                <c:pt idx="4">
                  <c:v>124171.3599582617</c:v>
                </c:pt>
                <c:pt idx="5">
                  <c:v>121087.01623839313</c:v>
                </c:pt>
                <c:pt idx="6">
                  <c:v>119080.30025809369</c:v>
                </c:pt>
                <c:pt idx="7">
                  <c:v>117721.83962150654</c:v>
                </c:pt>
                <c:pt idx="8">
                  <c:v>116699.55920270842</c:v>
                </c:pt>
                <c:pt idx="9">
                  <c:v>115888.48874640641</c:v>
                </c:pt>
              </c:numCache>
            </c:numRef>
          </c:val>
          <c:smooth val="0"/>
          <c:extLst>
            <c:ext xmlns:c16="http://schemas.microsoft.com/office/drawing/2014/chart" uri="{C3380CC4-5D6E-409C-BE32-E72D297353CC}">
              <c16:uniqueId val="{00000003-A7E0-4C93-B83E-05C9CF85168D}"/>
            </c:ext>
          </c:extLst>
        </c:ser>
        <c:ser>
          <c:idx val="4"/>
          <c:order val="4"/>
          <c:tx>
            <c:strRef>
              <c:f>'pivot chart'!$F$4:$F$6</c:f>
              <c:strCache>
                <c:ptCount val="1"/>
                <c:pt idx="0">
                  <c:v>C4 - Average of JSAT</c:v>
                </c:pt>
              </c:strCache>
            </c:strRef>
          </c:tx>
          <c:marker>
            <c:symbol val="none"/>
          </c:marker>
          <c:cat>
            <c:strRef>
              <c:f>'pivot chart'!$A$7:$A$17</c:f>
              <c:strCache>
                <c:ptCount val="10"/>
                <c:pt idx="0">
                  <c:v>-0.87</c:v>
                </c:pt>
                <c:pt idx="1">
                  <c:v>-0.85</c:v>
                </c:pt>
                <c:pt idx="2">
                  <c:v>-0.8</c:v>
                </c:pt>
                <c:pt idx="3">
                  <c:v>-0.7</c:v>
                </c:pt>
                <c:pt idx="4">
                  <c:v>-0.6</c:v>
                </c:pt>
                <c:pt idx="5">
                  <c:v>-0.5</c:v>
                </c:pt>
                <c:pt idx="6">
                  <c:v>-0.4</c:v>
                </c:pt>
                <c:pt idx="7">
                  <c:v>-0.3</c:v>
                </c:pt>
                <c:pt idx="8">
                  <c:v>-0.2</c:v>
                </c:pt>
                <c:pt idx="9">
                  <c:v>-0.1</c:v>
                </c:pt>
              </c:strCache>
            </c:strRef>
          </c:cat>
          <c:val>
            <c:numRef>
              <c:f>'pivot chart'!$F$7:$F$17</c:f>
              <c:numCache>
                <c:formatCode>0.00</c:formatCode>
                <c:ptCount val="10"/>
                <c:pt idx="0">
                  <c:v>35.931846150365381</c:v>
                </c:pt>
                <c:pt idx="1">
                  <c:v>134.53282116865424</c:v>
                </c:pt>
                <c:pt idx="2">
                  <c:v>254.85873941036144</c:v>
                </c:pt>
                <c:pt idx="3">
                  <c:v>205.7102829201778</c:v>
                </c:pt>
                <c:pt idx="4">
                  <c:v>204.53967521082302</c:v>
                </c:pt>
                <c:pt idx="5">
                  <c:v>204.11940006494362</c:v>
                </c:pt>
                <c:pt idx="6">
                  <c:v>203.8873790494215</c:v>
                </c:pt>
                <c:pt idx="7">
                  <c:v>203.73660414828544</c:v>
                </c:pt>
                <c:pt idx="8">
                  <c:v>203.62948588749745</c:v>
                </c:pt>
                <c:pt idx="9">
                  <c:v>203.54999400863682</c:v>
                </c:pt>
              </c:numCache>
            </c:numRef>
          </c:val>
          <c:smooth val="0"/>
          <c:extLst>
            <c:ext xmlns:c16="http://schemas.microsoft.com/office/drawing/2014/chart" uri="{C3380CC4-5D6E-409C-BE32-E72D297353CC}">
              <c16:uniqueId val="{00000004-A7E0-4C93-B83E-05C9CF85168D}"/>
            </c:ext>
          </c:extLst>
        </c:ser>
        <c:ser>
          <c:idx val="5"/>
          <c:order val="5"/>
          <c:tx>
            <c:strRef>
              <c:f>'pivot chart'!$G$4:$G$6</c:f>
              <c:strCache>
                <c:ptCount val="1"/>
                <c:pt idx="0">
                  <c:v>C4 - Average of Vcmax</c:v>
                </c:pt>
              </c:strCache>
            </c:strRef>
          </c:tx>
          <c:marker>
            <c:symbol val="none"/>
          </c:marker>
          <c:cat>
            <c:strRef>
              <c:f>'pivot chart'!$A$7:$A$17</c:f>
              <c:strCache>
                <c:ptCount val="10"/>
                <c:pt idx="0">
                  <c:v>-0.87</c:v>
                </c:pt>
                <c:pt idx="1">
                  <c:v>-0.85</c:v>
                </c:pt>
                <c:pt idx="2">
                  <c:v>-0.8</c:v>
                </c:pt>
                <c:pt idx="3">
                  <c:v>-0.7</c:v>
                </c:pt>
                <c:pt idx="4">
                  <c:v>-0.6</c:v>
                </c:pt>
                <c:pt idx="5">
                  <c:v>-0.5</c:v>
                </c:pt>
                <c:pt idx="6">
                  <c:v>-0.4</c:v>
                </c:pt>
                <c:pt idx="7">
                  <c:v>-0.3</c:v>
                </c:pt>
                <c:pt idx="8">
                  <c:v>-0.2</c:v>
                </c:pt>
                <c:pt idx="9">
                  <c:v>-0.1</c:v>
                </c:pt>
              </c:strCache>
            </c:strRef>
          </c:cat>
          <c:val>
            <c:numRef>
              <c:f>'pivot chart'!$G$7:$G$17</c:f>
              <c:numCache>
                <c:formatCode>0.00</c:formatCode>
                <c:ptCount val="10"/>
                <c:pt idx="0">
                  <c:v>8.8582875565179773</c:v>
                </c:pt>
                <c:pt idx="1">
                  <c:v>24.583305804870779</c:v>
                </c:pt>
                <c:pt idx="2">
                  <c:v>39.193399735284807</c:v>
                </c:pt>
                <c:pt idx="3">
                  <c:v>35.455607709854277</c:v>
                </c:pt>
                <c:pt idx="4">
                  <c:v>35.295971969550941</c:v>
                </c:pt>
                <c:pt idx="5">
                  <c:v>35.251275923081096</c:v>
                </c:pt>
                <c:pt idx="6">
                  <c:v>35.231405230032721</c:v>
                </c:pt>
                <c:pt idx="7">
                  <c:v>35.220460792462056</c:v>
                </c:pt>
                <c:pt idx="8">
                  <c:v>35.21363495879001</c:v>
                </c:pt>
                <c:pt idx="9">
                  <c:v>35.209035120619106</c:v>
                </c:pt>
              </c:numCache>
            </c:numRef>
          </c:val>
          <c:smooth val="0"/>
          <c:extLst>
            <c:ext xmlns:c16="http://schemas.microsoft.com/office/drawing/2014/chart" uri="{C3380CC4-5D6E-409C-BE32-E72D297353CC}">
              <c16:uniqueId val="{00000005-A7E0-4C93-B83E-05C9CF85168D}"/>
            </c:ext>
          </c:extLst>
        </c:ser>
        <c:ser>
          <c:idx val="6"/>
          <c:order val="6"/>
          <c:tx>
            <c:strRef>
              <c:f>'pivot chart'!$H$4:$H$6</c:f>
              <c:strCache>
                <c:ptCount val="1"/>
                <c:pt idx="0">
                  <c:v>C4 - Average of Cr/Cl</c:v>
                </c:pt>
              </c:strCache>
            </c:strRef>
          </c:tx>
          <c:marker>
            <c:symbol val="none"/>
          </c:marker>
          <c:cat>
            <c:strRef>
              <c:f>'pivot chart'!$A$7:$A$17</c:f>
              <c:strCache>
                <c:ptCount val="10"/>
                <c:pt idx="0">
                  <c:v>-0.87</c:v>
                </c:pt>
                <c:pt idx="1">
                  <c:v>-0.85</c:v>
                </c:pt>
                <c:pt idx="2">
                  <c:v>-0.8</c:v>
                </c:pt>
                <c:pt idx="3">
                  <c:v>-0.7</c:v>
                </c:pt>
                <c:pt idx="4">
                  <c:v>-0.6</c:v>
                </c:pt>
                <c:pt idx="5">
                  <c:v>-0.5</c:v>
                </c:pt>
                <c:pt idx="6">
                  <c:v>-0.4</c:v>
                </c:pt>
                <c:pt idx="7">
                  <c:v>-0.3</c:v>
                </c:pt>
                <c:pt idx="8">
                  <c:v>-0.2</c:v>
                </c:pt>
                <c:pt idx="9">
                  <c:v>-0.1</c:v>
                </c:pt>
              </c:strCache>
            </c:strRef>
          </c:cat>
          <c:val>
            <c:numRef>
              <c:f>'pivot chart'!$H$7:$H$17</c:f>
              <c:numCache>
                <c:formatCode>0.00</c:formatCode>
                <c:ptCount val="10"/>
                <c:pt idx="0">
                  <c:v>0.67595525665722078</c:v>
                </c:pt>
                <c:pt idx="1">
                  <c:v>0.36659535074691574</c:v>
                </c:pt>
                <c:pt idx="2">
                  <c:v>0.18120234874847735</c:v>
                </c:pt>
                <c:pt idx="3">
                  <c:v>0.16023114317482978</c:v>
                </c:pt>
                <c:pt idx="4">
                  <c:v>0.15998663932050355</c:v>
                </c:pt>
                <c:pt idx="5">
                  <c:v>0.15993957250973942</c:v>
                </c:pt>
                <c:pt idx="6">
                  <c:v>0.15992422398968462</c:v>
                </c:pt>
                <c:pt idx="7">
                  <c:v>0.15991788516402891</c:v>
                </c:pt>
                <c:pt idx="8">
                  <c:v>0.15991477739181556</c:v>
                </c:pt>
                <c:pt idx="9">
                  <c:v>0.15991379013128632</c:v>
                </c:pt>
              </c:numCache>
            </c:numRef>
          </c:val>
          <c:smooth val="0"/>
          <c:extLst>
            <c:ext xmlns:c16="http://schemas.microsoft.com/office/drawing/2014/chart" uri="{C3380CC4-5D6E-409C-BE32-E72D297353CC}">
              <c16:uniqueId val="{00000006-A7E0-4C93-B83E-05C9CF85168D}"/>
            </c:ext>
          </c:extLst>
        </c:ser>
        <c:ser>
          <c:idx val="7"/>
          <c:order val="7"/>
          <c:tx>
            <c:strRef>
              <c:f>'pivot chart'!$I$4:$I$6</c:f>
              <c:strCache>
                <c:ptCount val="1"/>
                <c:pt idx="0">
                  <c:v>C4 - Average of N tot leaf</c:v>
                </c:pt>
              </c:strCache>
            </c:strRef>
          </c:tx>
          <c:marker>
            <c:symbol val="none"/>
          </c:marker>
          <c:cat>
            <c:strRef>
              <c:f>'pivot chart'!$A$7:$A$17</c:f>
              <c:strCache>
                <c:ptCount val="10"/>
                <c:pt idx="0">
                  <c:v>-0.87</c:v>
                </c:pt>
                <c:pt idx="1">
                  <c:v>-0.85</c:v>
                </c:pt>
                <c:pt idx="2">
                  <c:v>-0.8</c:v>
                </c:pt>
                <c:pt idx="3">
                  <c:v>-0.7</c:v>
                </c:pt>
                <c:pt idx="4">
                  <c:v>-0.6</c:v>
                </c:pt>
                <c:pt idx="5">
                  <c:v>-0.5</c:v>
                </c:pt>
                <c:pt idx="6">
                  <c:v>-0.4</c:v>
                </c:pt>
                <c:pt idx="7">
                  <c:v>-0.3</c:v>
                </c:pt>
                <c:pt idx="8">
                  <c:v>-0.2</c:v>
                </c:pt>
                <c:pt idx="9">
                  <c:v>-0.1</c:v>
                </c:pt>
              </c:strCache>
            </c:strRef>
          </c:cat>
          <c:val>
            <c:numRef>
              <c:f>'pivot chart'!$I$7:$I$17</c:f>
              <c:numCache>
                <c:formatCode>0.00</c:formatCode>
                <c:ptCount val="10"/>
                <c:pt idx="0">
                  <c:v>12608.265294789453</c:v>
                </c:pt>
                <c:pt idx="1">
                  <c:v>55186.15665183634</c:v>
                </c:pt>
                <c:pt idx="2">
                  <c:v>115828.69059612649</c:v>
                </c:pt>
                <c:pt idx="3">
                  <c:v>91649.302975118786</c:v>
                </c:pt>
                <c:pt idx="4">
                  <c:v>91037.181887752959</c:v>
                </c:pt>
                <c:pt idx="5">
                  <c:v>90825.926466330129</c:v>
                </c:pt>
                <c:pt idx="6">
                  <c:v>90712.5116851153</c:v>
                </c:pt>
                <c:pt idx="7">
                  <c:v>90640.125372478826</c:v>
                </c:pt>
                <c:pt idx="8">
                  <c:v>90589.332281918585</c:v>
                </c:pt>
                <c:pt idx="9">
                  <c:v>90551.949939571496</c:v>
                </c:pt>
              </c:numCache>
            </c:numRef>
          </c:val>
          <c:smooth val="0"/>
          <c:extLst>
            <c:ext xmlns:c16="http://schemas.microsoft.com/office/drawing/2014/chart" uri="{C3380CC4-5D6E-409C-BE32-E72D297353CC}">
              <c16:uniqueId val="{00000007-A7E0-4C93-B83E-05C9CF85168D}"/>
            </c:ext>
          </c:extLst>
        </c:ser>
        <c:dLbls>
          <c:showLegendKey val="0"/>
          <c:showVal val="0"/>
          <c:showCatName val="0"/>
          <c:showSerName val="0"/>
          <c:showPercent val="0"/>
          <c:showBubbleSize val="0"/>
        </c:dLbls>
        <c:smooth val="0"/>
        <c:axId val="455346432"/>
        <c:axId val="455346992"/>
      </c:lineChart>
      <c:catAx>
        <c:axId val="455346432"/>
        <c:scaling>
          <c:orientation val="minMax"/>
        </c:scaling>
        <c:delete val="0"/>
        <c:axPos val="b"/>
        <c:numFmt formatCode="General" sourceLinked="0"/>
        <c:majorTickMark val="out"/>
        <c:minorTickMark val="none"/>
        <c:tickLblPos val="nextTo"/>
        <c:crossAx val="455346992"/>
        <c:crosses val="autoZero"/>
        <c:auto val="1"/>
        <c:lblAlgn val="ctr"/>
        <c:lblOffset val="100"/>
        <c:noMultiLvlLbl val="0"/>
      </c:catAx>
      <c:valAx>
        <c:axId val="455346992"/>
        <c:scaling>
          <c:orientation val="minMax"/>
        </c:scaling>
        <c:delete val="0"/>
        <c:axPos val="l"/>
        <c:majorGridlines/>
        <c:numFmt formatCode="0.00" sourceLinked="1"/>
        <c:majorTickMark val="out"/>
        <c:minorTickMark val="none"/>
        <c:tickLblPos val="nextTo"/>
        <c:crossAx val="455346432"/>
        <c:crosses val="autoZero"/>
        <c:crossBetween val="between"/>
      </c:valAx>
    </c:plotArea>
    <c:legend>
      <c:legendPos val="r"/>
      <c:layout>
        <c:manualLayout>
          <c:xMode val="edge"/>
          <c:yMode val="edge"/>
          <c:x val="0.85911452381894582"/>
          <c:y val="0.21622302617578207"/>
          <c:w val="0.1408902029370222"/>
          <c:h val="0.5581601759239555"/>
        </c:manualLayout>
      </c:layout>
      <c:overlay val="0"/>
      <c:txPr>
        <a:bodyPr/>
        <a:lstStyle/>
        <a:p>
          <a:pPr rtl="0">
            <a:defRPr/>
          </a:pPr>
          <a:endParaRPr lang="en-US"/>
        </a:p>
      </c:txPr>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emf"/></Relationships>
</file>

<file path=xl/drawings/_rels/drawing9.xml.rels><?xml version="1.0" encoding="UTF-8" standalone="yes"?>
<Relationships xmlns="http://schemas.openxmlformats.org/package/2006/relationships"><Relationship Id="rId1" Type="http://schemas.openxmlformats.org/officeDocument/2006/relationships/chart" Target="../charts/chart23.xml"/></Relationships>
</file>

<file path=xl/drawings/drawing1.xml><?xml version="1.0" encoding="utf-8"?>
<xdr:wsDr xmlns:xdr="http://schemas.openxmlformats.org/drawingml/2006/spreadsheetDrawing" xmlns:a="http://schemas.openxmlformats.org/drawingml/2006/main">
  <xdr:twoCellAnchor>
    <xdr:from>
      <xdr:col>14</xdr:col>
      <xdr:colOff>142875</xdr:colOff>
      <xdr:row>8</xdr:row>
      <xdr:rowOff>109536</xdr:rowOff>
    </xdr:from>
    <xdr:to>
      <xdr:col>17</xdr:col>
      <xdr:colOff>590550</xdr:colOff>
      <xdr:row>17</xdr:row>
      <xdr:rowOff>95249</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85725</xdr:colOff>
      <xdr:row>8</xdr:row>
      <xdr:rowOff>128586</xdr:rowOff>
    </xdr:from>
    <xdr:to>
      <xdr:col>21</xdr:col>
      <xdr:colOff>533400</xdr:colOff>
      <xdr:row>17</xdr:row>
      <xdr:rowOff>114299</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57150</xdr:colOff>
      <xdr:row>8</xdr:row>
      <xdr:rowOff>138111</xdr:rowOff>
    </xdr:from>
    <xdr:to>
      <xdr:col>25</xdr:col>
      <xdr:colOff>504825</xdr:colOff>
      <xdr:row>17</xdr:row>
      <xdr:rowOff>123824</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47625</xdr:colOff>
      <xdr:row>8</xdr:row>
      <xdr:rowOff>128586</xdr:rowOff>
    </xdr:from>
    <xdr:to>
      <xdr:col>29</xdr:col>
      <xdr:colOff>495300</xdr:colOff>
      <xdr:row>17</xdr:row>
      <xdr:rowOff>114299</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30</xdr:col>
      <xdr:colOff>76200</xdr:colOff>
      <xdr:row>8</xdr:row>
      <xdr:rowOff>119061</xdr:rowOff>
    </xdr:from>
    <xdr:to>
      <xdr:col>33</xdr:col>
      <xdr:colOff>523875</xdr:colOff>
      <xdr:row>17</xdr:row>
      <xdr:rowOff>104774</xdr:rowOff>
    </xdr:to>
    <xdr:graphicFrame macro="">
      <xdr:nvGraphicFramePr>
        <xdr:cNvPr id="6" name="Chart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34</xdr:col>
      <xdr:colOff>76200</xdr:colOff>
      <xdr:row>8</xdr:row>
      <xdr:rowOff>119061</xdr:rowOff>
    </xdr:from>
    <xdr:to>
      <xdr:col>37</xdr:col>
      <xdr:colOff>523875</xdr:colOff>
      <xdr:row>17</xdr:row>
      <xdr:rowOff>104774</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38</xdr:col>
      <xdr:colOff>76200</xdr:colOff>
      <xdr:row>8</xdr:row>
      <xdr:rowOff>119061</xdr:rowOff>
    </xdr:from>
    <xdr:to>
      <xdr:col>41</xdr:col>
      <xdr:colOff>523875</xdr:colOff>
      <xdr:row>17</xdr:row>
      <xdr:rowOff>104774</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42</xdr:col>
      <xdr:colOff>76200</xdr:colOff>
      <xdr:row>8</xdr:row>
      <xdr:rowOff>119061</xdr:rowOff>
    </xdr:from>
    <xdr:to>
      <xdr:col>45</xdr:col>
      <xdr:colOff>523875</xdr:colOff>
      <xdr:row>17</xdr:row>
      <xdr:rowOff>104774</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46</xdr:col>
      <xdr:colOff>76200</xdr:colOff>
      <xdr:row>8</xdr:row>
      <xdr:rowOff>119061</xdr:rowOff>
    </xdr:from>
    <xdr:to>
      <xdr:col>49</xdr:col>
      <xdr:colOff>523875</xdr:colOff>
      <xdr:row>17</xdr:row>
      <xdr:rowOff>104774</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50</xdr:col>
      <xdr:colOff>76200</xdr:colOff>
      <xdr:row>8</xdr:row>
      <xdr:rowOff>119061</xdr:rowOff>
    </xdr:from>
    <xdr:to>
      <xdr:col>53</xdr:col>
      <xdr:colOff>523875</xdr:colOff>
      <xdr:row>17</xdr:row>
      <xdr:rowOff>104774</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54</xdr:col>
      <xdr:colOff>76200</xdr:colOff>
      <xdr:row>8</xdr:row>
      <xdr:rowOff>119061</xdr:rowOff>
    </xdr:from>
    <xdr:to>
      <xdr:col>57</xdr:col>
      <xdr:colOff>523875</xdr:colOff>
      <xdr:row>17</xdr:row>
      <xdr:rowOff>104774</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58</xdr:col>
      <xdr:colOff>76200</xdr:colOff>
      <xdr:row>8</xdr:row>
      <xdr:rowOff>119061</xdr:rowOff>
    </xdr:from>
    <xdr:to>
      <xdr:col>61</xdr:col>
      <xdr:colOff>523875</xdr:colOff>
      <xdr:row>17</xdr:row>
      <xdr:rowOff>104774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61</xdr:col>
      <xdr:colOff>561975</xdr:colOff>
      <xdr:row>72</xdr:row>
      <xdr:rowOff>52387</xdr:rowOff>
    </xdr:from>
    <xdr:to>
      <xdr:col>69</xdr:col>
      <xdr:colOff>257175</xdr:colOff>
      <xdr:row>86</xdr:row>
      <xdr:rowOff>128587</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1643</xdr:colOff>
      <xdr:row>34</xdr:row>
      <xdr:rowOff>38101</xdr:rowOff>
    </xdr:from>
    <xdr:to>
      <xdr:col>15</xdr:col>
      <xdr:colOff>9525</xdr:colOff>
      <xdr:row>42</xdr:row>
      <xdr:rowOff>152401</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820793" y="7543801"/>
          <a:ext cx="11933182"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Arial" panose="020B0604020202020204" pitchFamily="34" charset="0"/>
              <a:ea typeface="+mn-ea"/>
              <a:cs typeface="Arial" panose="020B0604020202020204" pitchFamily="34" charset="0"/>
            </a:rPr>
            <a:t>This is</a:t>
          </a:r>
          <a:r>
            <a:rPr lang="en-US" sz="1100" baseline="0">
              <a:solidFill>
                <a:schemeClr val="dk1"/>
              </a:solidFill>
              <a:effectLst/>
              <a:latin typeface="Arial" panose="020B0604020202020204" pitchFamily="34" charset="0"/>
              <a:ea typeface="+mn-ea"/>
              <a:cs typeface="Arial" panose="020B0604020202020204" pitchFamily="34" charset="0"/>
            </a:rPr>
            <a:t> a generalised model to study C3, C2, C3-C4 and C4 photosynthesis. It calculates</a:t>
          </a:r>
          <a:r>
            <a:rPr lang="en-US" sz="1100">
              <a:solidFill>
                <a:schemeClr val="dk1"/>
              </a:solidFill>
              <a:effectLst/>
              <a:latin typeface="Arial" panose="020B0604020202020204" pitchFamily="34" charset="0"/>
              <a:ea typeface="+mn-ea"/>
              <a:cs typeface="Arial" panose="020B0604020202020204" pitchFamily="34" charset="0"/>
            </a:rPr>
            <a:t> metabolic</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quantities such</a:t>
          </a:r>
          <a:r>
            <a:rPr lang="en-US" sz="1100" baseline="0">
              <a:solidFill>
                <a:schemeClr val="dk1"/>
              </a:solidFill>
              <a:effectLst/>
              <a:latin typeface="Arial" panose="020B0604020202020204" pitchFamily="34" charset="0"/>
              <a:ea typeface="+mn-ea"/>
              <a:cs typeface="Arial" panose="020B0604020202020204" pitchFamily="34" charset="0"/>
            </a:rPr>
            <a:t> as the rate of carbohydrate synthesis, the transamination rate, ATP and NADPH demand. Metabolic processes are partitioned between M and BS and the corresponding fluxes.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model is particularly suitable for formulating hypothetic scenarios which can be explored using the' what if analysis' and 'data table' (https://support.office.com/en-ca/article/Introduction-to-what-if-analysis-22bffa5f-e891-4acc-bf7a-e4645c446fb4). Results can be visualised in the next sheet.</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Values inserted in cells C5:C7</a:t>
          </a:r>
          <a:r>
            <a:rPr lang="en-US" sz="1100" baseline="0">
              <a:solidFill>
                <a:schemeClr val="dk1"/>
              </a:solidFill>
              <a:effectLst/>
              <a:latin typeface="Arial" panose="020B0604020202020204" pitchFamily="34" charset="0"/>
              <a:ea typeface="+mn-ea"/>
              <a:cs typeface="Arial" panose="020B0604020202020204" pitchFamily="34" charset="0"/>
            </a:rPr>
            <a:t> will specify the metabolic state of the leaf. Values inserted in Cells C11 and C12 will determine the engagement of an active CCM. Values inserted in cells C22:C24 and C26:C28 will determine the relative engagement of BS in assimilation. Values in C11, C12 and C26:C28 can be dynamically regulated in response to transient environmental inputs, while values in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C22:C24 represent adaptive or long-term responses</a:t>
          </a:r>
          <a:r>
            <a:rPr lang="en-US" sz="1100" baseline="0">
              <a:solidFill>
                <a:schemeClr val="dk1"/>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Additional output is shown by unhiding columns Q and R.</a:t>
          </a:r>
        </a:p>
        <a:p>
          <a:endParaRPr lang="en-US" sz="110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61</xdr:col>
      <xdr:colOff>561975</xdr:colOff>
      <xdr:row>72</xdr:row>
      <xdr:rowOff>52387</xdr:rowOff>
    </xdr:from>
    <xdr:to>
      <xdr:col>69</xdr:col>
      <xdr:colOff>257175</xdr:colOff>
      <xdr:row>86</xdr:row>
      <xdr:rowOff>128587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1643</xdr:colOff>
      <xdr:row>34</xdr:row>
      <xdr:rowOff>38101</xdr:rowOff>
    </xdr:from>
    <xdr:to>
      <xdr:col>15</xdr:col>
      <xdr:colOff>9525</xdr:colOff>
      <xdr:row>42</xdr:row>
      <xdr:rowOff>152401</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20793" y="7543801"/>
          <a:ext cx="11933182"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Arial" panose="020B0604020202020204" pitchFamily="34" charset="0"/>
              <a:ea typeface="+mn-ea"/>
              <a:cs typeface="Arial" panose="020B0604020202020204" pitchFamily="34" charset="0"/>
            </a:rPr>
            <a:t>This is</a:t>
          </a:r>
          <a:r>
            <a:rPr lang="en-US" sz="1100" baseline="0">
              <a:solidFill>
                <a:schemeClr val="dk1"/>
              </a:solidFill>
              <a:effectLst/>
              <a:latin typeface="Arial" panose="020B0604020202020204" pitchFamily="34" charset="0"/>
              <a:ea typeface="+mn-ea"/>
              <a:cs typeface="Arial" panose="020B0604020202020204" pitchFamily="34" charset="0"/>
            </a:rPr>
            <a:t> a generalised model to study C3, C2, C3-C4 and C4 photosynthesis. It calculates</a:t>
          </a:r>
          <a:r>
            <a:rPr lang="en-US" sz="1100">
              <a:solidFill>
                <a:schemeClr val="dk1"/>
              </a:solidFill>
              <a:effectLst/>
              <a:latin typeface="Arial" panose="020B0604020202020204" pitchFamily="34" charset="0"/>
              <a:ea typeface="+mn-ea"/>
              <a:cs typeface="Arial" panose="020B0604020202020204" pitchFamily="34" charset="0"/>
            </a:rPr>
            <a:t> metabolic</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quantities such</a:t>
          </a:r>
          <a:r>
            <a:rPr lang="en-US" sz="1100" baseline="0">
              <a:solidFill>
                <a:schemeClr val="dk1"/>
              </a:solidFill>
              <a:effectLst/>
              <a:latin typeface="Arial" panose="020B0604020202020204" pitchFamily="34" charset="0"/>
              <a:ea typeface="+mn-ea"/>
              <a:cs typeface="Arial" panose="020B0604020202020204" pitchFamily="34" charset="0"/>
            </a:rPr>
            <a:t> as the rate of carbohydrate synthesis, the transamination rate, ATP and NADPH demand. Metabolic processes are partitioned between M and BS and the corresponding fluxes.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model is particularly suitable for formulating hypothetic scenarios which can be explored using the' what if analysis' and 'data table' (https://support.office.com/en-ca/article/Introduction-to-what-if-analysis-22bffa5f-e891-4acc-bf7a-e4645c446fb4). Results can be visualised in the next sheet.</a:t>
          </a:r>
          <a:endParaRPr lang="en-US" sz="11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Additional output is shown by unhiding columns Q and R.</a:t>
          </a:r>
        </a:p>
        <a:p>
          <a:endParaRPr lang="en-US" sz="110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23</xdr:col>
      <xdr:colOff>561975</xdr:colOff>
      <xdr:row>0</xdr:row>
      <xdr:rowOff>109537</xdr:rowOff>
    </xdr:from>
    <xdr:to>
      <xdr:col>31</xdr:col>
      <xdr:colOff>257175</xdr:colOff>
      <xdr:row>16</xdr:row>
      <xdr:rowOff>85725</xdr:rowOff>
    </xdr:to>
    <xdr:graphicFrame macro="">
      <xdr:nvGraphicFramePr>
        <xdr:cNvPr id="14" name="Chart 13">
          <a:extLst>
            <a:ext uri="{FF2B5EF4-FFF2-40B4-BE49-F238E27FC236}">
              <a16:creationId xmlns:a16="http://schemas.microsoft.com/office/drawing/2014/main" id="{00000000-0008-0000-02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566737</xdr:colOff>
      <xdr:row>17</xdr:row>
      <xdr:rowOff>171450</xdr:rowOff>
    </xdr:from>
    <xdr:to>
      <xdr:col>31</xdr:col>
      <xdr:colOff>261937</xdr:colOff>
      <xdr:row>33</xdr:row>
      <xdr:rowOff>19050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547687</xdr:colOff>
      <xdr:row>34</xdr:row>
      <xdr:rowOff>28575</xdr:rowOff>
    </xdr:from>
    <xdr:to>
      <xdr:col>31</xdr:col>
      <xdr:colOff>242887</xdr:colOff>
      <xdr:row>49</xdr:row>
      <xdr:rowOff>57150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319087</xdr:colOff>
      <xdr:row>33</xdr:row>
      <xdr:rowOff>100012</xdr:rowOff>
    </xdr:from>
    <xdr:to>
      <xdr:col>13</xdr:col>
      <xdr:colOff>14287</xdr:colOff>
      <xdr:row>48</xdr:row>
      <xdr:rowOff>128587</xdr:rowOff>
    </xdr:to>
    <xdr:graphicFrame macro="">
      <xdr:nvGraphicFramePr>
        <xdr:cNvPr id="4" name="Chart 3">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61</xdr:col>
      <xdr:colOff>561975</xdr:colOff>
      <xdr:row>72</xdr:row>
      <xdr:rowOff>52387</xdr:rowOff>
    </xdr:from>
    <xdr:to>
      <xdr:col>69</xdr:col>
      <xdr:colOff>257175</xdr:colOff>
      <xdr:row>86</xdr:row>
      <xdr:rowOff>128587</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1643</xdr:colOff>
      <xdr:row>34</xdr:row>
      <xdr:rowOff>38101</xdr:rowOff>
    </xdr:from>
    <xdr:to>
      <xdr:col>15</xdr:col>
      <xdr:colOff>9525</xdr:colOff>
      <xdr:row>42</xdr:row>
      <xdr:rowOff>152401</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820793" y="7448551"/>
          <a:ext cx="11933182"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Arial" panose="020B0604020202020204" pitchFamily="34" charset="0"/>
              <a:ea typeface="+mn-ea"/>
              <a:cs typeface="Arial" panose="020B0604020202020204" pitchFamily="34" charset="0"/>
            </a:rPr>
            <a:t>This is</a:t>
          </a:r>
          <a:r>
            <a:rPr lang="en-US" sz="1100" baseline="0">
              <a:solidFill>
                <a:schemeClr val="dk1"/>
              </a:solidFill>
              <a:effectLst/>
              <a:latin typeface="Arial" panose="020B0604020202020204" pitchFamily="34" charset="0"/>
              <a:ea typeface="+mn-ea"/>
              <a:cs typeface="Arial" panose="020B0604020202020204" pitchFamily="34" charset="0"/>
            </a:rPr>
            <a:t> a generalised model to study C3, C2, C3-C4 and C4 photosynthesis. It calculates</a:t>
          </a:r>
          <a:r>
            <a:rPr lang="en-US" sz="1100">
              <a:solidFill>
                <a:schemeClr val="dk1"/>
              </a:solidFill>
              <a:effectLst/>
              <a:latin typeface="Arial" panose="020B0604020202020204" pitchFamily="34" charset="0"/>
              <a:ea typeface="+mn-ea"/>
              <a:cs typeface="Arial" panose="020B0604020202020204" pitchFamily="34" charset="0"/>
            </a:rPr>
            <a:t> metabolic</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quantities such</a:t>
          </a:r>
          <a:r>
            <a:rPr lang="en-US" sz="1100" baseline="0">
              <a:solidFill>
                <a:schemeClr val="dk1"/>
              </a:solidFill>
              <a:effectLst/>
              <a:latin typeface="Arial" panose="020B0604020202020204" pitchFamily="34" charset="0"/>
              <a:ea typeface="+mn-ea"/>
              <a:cs typeface="Arial" panose="020B0604020202020204" pitchFamily="34" charset="0"/>
            </a:rPr>
            <a:t> as the rate of carbohydrate synthesis, the transamination rate, ATP and NADPH demand. Metabolic processes are partitioned between M and BS and the corresponding fluxes.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model is particularly suitable for formulating hypothetic scenarios which can be explored using the' what if analysis' and 'data table' (https://support.office.com/en-ca/article/Introduction-to-what-if-analysis-22bffa5f-e891-4acc-bf7a-e4645c446fb4). Results can be visualised in the next sheet.</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Values inserted in cells C5:C7</a:t>
          </a:r>
          <a:r>
            <a:rPr lang="en-US" sz="1100" baseline="0">
              <a:solidFill>
                <a:schemeClr val="dk1"/>
              </a:solidFill>
              <a:effectLst/>
              <a:latin typeface="Arial" panose="020B0604020202020204" pitchFamily="34" charset="0"/>
              <a:ea typeface="+mn-ea"/>
              <a:cs typeface="Arial" panose="020B0604020202020204" pitchFamily="34" charset="0"/>
            </a:rPr>
            <a:t> will specify the metabolic state of the leaf. Values inserted in Cells C11 and C12 will determine the engagement of an active CCM. Values inserted in cells C22:C24 and C26:C28 will determine the relative engagement of BS in assimilation. Values in C11, C12 and C26:C28 can be dynamically regulated in response to transient environmental inputs, while values in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C22:C24 represent adaptive or long-term responses</a:t>
          </a:r>
          <a:r>
            <a:rPr lang="en-US" sz="1100" baseline="0">
              <a:solidFill>
                <a:schemeClr val="dk1"/>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Additional output is shown by unhiding columns Q and R.</a:t>
          </a:r>
        </a:p>
        <a:p>
          <a:endParaRPr lang="en-US" sz="110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61</xdr:col>
      <xdr:colOff>561975</xdr:colOff>
      <xdr:row>72</xdr:row>
      <xdr:rowOff>52387</xdr:rowOff>
    </xdr:from>
    <xdr:to>
      <xdr:col>69</xdr:col>
      <xdr:colOff>257175</xdr:colOff>
      <xdr:row>86</xdr:row>
      <xdr:rowOff>128587</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1643</xdr:colOff>
      <xdr:row>34</xdr:row>
      <xdr:rowOff>38101</xdr:rowOff>
    </xdr:from>
    <xdr:to>
      <xdr:col>15</xdr:col>
      <xdr:colOff>9525</xdr:colOff>
      <xdr:row>42</xdr:row>
      <xdr:rowOff>152401</xdr:rowOff>
    </xdr:to>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820793" y="7448551"/>
          <a:ext cx="11933182"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Arial" panose="020B0604020202020204" pitchFamily="34" charset="0"/>
              <a:ea typeface="+mn-ea"/>
              <a:cs typeface="Arial" panose="020B0604020202020204" pitchFamily="34" charset="0"/>
            </a:rPr>
            <a:t>This is</a:t>
          </a:r>
          <a:r>
            <a:rPr lang="en-US" sz="1100" baseline="0">
              <a:solidFill>
                <a:schemeClr val="dk1"/>
              </a:solidFill>
              <a:effectLst/>
              <a:latin typeface="Arial" panose="020B0604020202020204" pitchFamily="34" charset="0"/>
              <a:ea typeface="+mn-ea"/>
              <a:cs typeface="Arial" panose="020B0604020202020204" pitchFamily="34" charset="0"/>
            </a:rPr>
            <a:t> a generalised light limited model to study C3, C2, C3-C4 and C4 photosynthesis. It calculates</a:t>
          </a:r>
          <a:r>
            <a:rPr lang="en-US" sz="1100">
              <a:solidFill>
                <a:schemeClr val="dk1"/>
              </a:solidFill>
              <a:effectLst/>
              <a:latin typeface="Arial" panose="020B0604020202020204" pitchFamily="34" charset="0"/>
              <a:ea typeface="+mn-ea"/>
              <a:cs typeface="Arial" panose="020B0604020202020204" pitchFamily="34" charset="0"/>
            </a:rPr>
            <a:t> metabolic</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quantities such</a:t>
          </a:r>
          <a:r>
            <a:rPr lang="en-US" sz="1100" baseline="0">
              <a:solidFill>
                <a:schemeClr val="dk1"/>
              </a:solidFill>
              <a:effectLst/>
              <a:latin typeface="Arial" panose="020B0604020202020204" pitchFamily="34" charset="0"/>
              <a:ea typeface="+mn-ea"/>
              <a:cs typeface="Arial" panose="020B0604020202020204" pitchFamily="34" charset="0"/>
            </a:rPr>
            <a:t> as the rate of carbohydrate synthesis, the transamination rate, ATP and NADPH demand. Metabolic processes are partitioned between M and BS and the corresponding fluxes.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model is particularly suitable for formulating hypothetic scenarios which can be explored using the' what if analysis' and 'data table' (https://support.office.com/en-ca/article/Introduction-to-what-if-analysis-22bffa5f-e891-4acc-bf7a-e4645c446fb4). Results can be visualised in the next sheet.</a:t>
          </a:r>
          <a:endParaRPr lang="en-US" sz="11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Additional output is shown by unhiding columns Q and R.</a:t>
          </a:r>
        </a:p>
        <a:p>
          <a:endParaRPr lang="en-US" sz="110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61</xdr:col>
      <xdr:colOff>561975</xdr:colOff>
      <xdr:row>72</xdr:row>
      <xdr:rowOff>52387</xdr:rowOff>
    </xdr:from>
    <xdr:to>
      <xdr:col>69</xdr:col>
      <xdr:colOff>257175</xdr:colOff>
      <xdr:row>86</xdr:row>
      <xdr:rowOff>128587</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1643</xdr:colOff>
      <xdr:row>34</xdr:row>
      <xdr:rowOff>38101</xdr:rowOff>
    </xdr:from>
    <xdr:to>
      <xdr:col>15</xdr:col>
      <xdr:colOff>9525</xdr:colOff>
      <xdr:row>42</xdr:row>
      <xdr:rowOff>152401</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820793" y="6572251"/>
          <a:ext cx="11933182"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Arial" panose="020B0604020202020204" pitchFamily="34" charset="0"/>
              <a:ea typeface="+mn-ea"/>
              <a:cs typeface="Arial" panose="020B0604020202020204" pitchFamily="34" charset="0"/>
            </a:rPr>
            <a:t>This is</a:t>
          </a:r>
          <a:r>
            <a:rPr lang="en-US" sz="1100" baseline="0">
              <a:solidFill>
                <a:schemeClr val="dk1"/>
              </a:solidFill>
              <a:effectLst/>
              <a:latin typeface="Arial" panose="020B0604020202020204" pitchFamily="34" charset="0"/>
              <a:ea typeface="+mn-ea"/>
              <a:cs typeface="Arial" panose="020B0604020202020204" pitchFamily="34" charset="0"/>
            </a:rPr>
            <a:t> a generalised model to study C3, C2, C3-C4 and C4 photosynthesis. It calculates</a:t>
          </a:r>
          <a:r>
            <a:rPr lang="en-US" sz="1100">
              <a:solidFill>
                <a:schemeClr val="dk1"/>
              </a:solidFill>
              <a:effectLst/>
              <a:latin typeface="Arial" panose="020B0604020202020204" pitchFamily="34" charset="0"/>
              <a:ea typeface="+mn-ea"/>
              <a:cs typeface="Arial" panose="020B0604020202020204" pitchFamily="34" charset="0"/>
            </a:rPr>
            <a:t> metabolic</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quantities such</a:t>
          </a:r>
          <a:r>
            <a:rPr lang="en-US" sz="1100" baseline="0">
              <a:solidFill>
                <a:schemeClr val="dk1"/>
              </a:solidFill>
              <a:effectLst/>
              <a:latin typeface="Arial" panose="020B0604020202020204" pitchFamily="34" charset="0"/>
              <a:ea typeface="+mn-ea"/>
              <a:cs typeface="Arial" panose="020B0604020202020204" pitchFamily="34" charset="0"/>
            </a:rPr>
            <a:t> as the rate of carbohydrate synthesis, the transamination rate, ATP and NADPH demand. Metabolic processes are partitioned between M and BS and the corresponding fluxes.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model is particularly suitable for formulating hypothetic scenarios which can be explored using the' what if analysis' and 'data table' (https://support.office.com/en-ca/article/Introduction-to-what-if-analysis-22bffa5f-e891-4acc-bf7a-e4645c446fb4). Results can be visualised in the next sheet.</a:t>
          </a:r>
          <a:endParaRPr lang="en-US" sz="1100">
            <a:solidFill>
              <a:schemeClr val="dk1"/>
            </a:solidFill>
            <a:effectLst/>
            <a:latin typeface="Arial" panose="020B0604020202020204" pitchFamily="34" charset="0"/>
            <a:ea typeface="+mn-ea"/>
            <a:cs typeface="Arial" panose="020B0604020202020204" pitchFamily="34" charset="0"/>
          </a:endParaRPr>
        </a:p>
        <a:p>
          <a:r>
            <a:rPr lang="en-US" sz="1100">
              <a:solidFill>
                <a:schemeClr val="dk1"/>
              </a:solidFill>
              <a:effectLst/>
              <a:latin typeface="Arial" panose="020B0604020202020204" pitchFamily="34" charset="0"/>
              <a:ea typeface="+mn-ea"/>
              <a:cs typeface="Arial" panose="020B0604020202020204" pitchFamily="34" charset="0"/>
            </a:rPr>
            <a:t>Values inserted in cells C5:C7</a:t>
          </a:r>
          <a:r>
            <a:rPr lang="en-US" sz="1100" baseline="0">
              <a:solidFill>
                <a:schemeClr val="dk1"/>
              </a:solidFill>
              <a:effectLst/>
              <a:latin typeface="Arial" panose="020B0604020202020204" pitchFamily="34" charset="0"/>
              <a:ea typeface="+mn-ea"/>
              <a:cs typeface="Arial" panose="020B0604020202020204" pitchFamily="34" charset="0"/>
            </a:rPr>
            <a:t> will specify the metabolic state of the leaf. Values inserted in Cells C11 and C12 will determine the engagement of an active CCM. Values inserted in cells C22:C24 and C26:C28 will determine the relative engagement of BS in assimilation. Values in C11, C12 and C26:C28 can be dynamically regulated in response to transient environmental inputs, while values in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C22:C24 represent adaptive or long-term responses</a:t>
          </a:r>
          <a:r>
            <a:rPr lang="en-US" sz="1100" baseline="0">
              <a:solidFill>
                <a:schemeClr val="dk1"/>
              </a:solidFill>
              <a:effectLst/>
              <a:latin typeface="Arial" panose="020B0604020202020204" pitchFamily="34" charset="0"/>
              <a:ea typeface="+mn-ea"/>
              <a:cs typeface="Arial" panose="020B0604020202020204" pitchFamily="34" charset="0"/>
            </a:rPr>
            <a:t>.</a:t>
          </a: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Additional output is shown by unhiding columns Q and R.</a:t>
          </a:r>
        </a:p>
        <a:p>
          <a:endParaRPr lang="en-US" sz="110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twoCellAnchor>
    <xdr:from>
      <xdr:col>61</xdr:col>
      <xdr:colOff>561975</xdr:colOff>
      <xdr:row>72</xdr:row>
      <xdr:rowOff>52387</xdr:rowOff>
    </xdr:from>
    <xdr:to>
      <xdr:col>69</xdr:col>
      <xdr:colOff>257175</xdr:colOff>
      <xdr:row>86</xdr:row>
      <xdr:rowOff>128587</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1643</xdr:colOff>
      <xdr:row>34</xdr:row>
      <xdr:rowOff>38101</xdr:rowOff>
    </xdr:from>
    <xdr:to>
      <xdr:col>15</xdr:col>
      <xdr:colOff>9525</xdr:colOff>
      <xdr:row>42</xdr:row>
      <xdr:rowOff>152401</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820793" y="7305676"/>
          <a:ext cx="11933182"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Arial" panose="020B0604020202020204" pitchFamily="34" charset="0"/>
              <a:ea typeface="+mn-ea"/>
              <a:cs typeface="Arial" panose="020B0604020202020204" pitchFamily="34" charset="0"/>
            </a:rPr>
            <a:t>This is</a:t>
          </a:r>
          <a:r>
            <a:rPr lang="en-US" sz="1100" baseline="0">
              <a:solidFill>
                <a:schemeClr val="dk1"/>
              </a:solidFill>
              <a:effectLst/>
              <a:latin typeface="Arial" panose="020B0604020202020204" pitchFamily="34" charset="0"/>
              <a:ea typeface="+mn-ea"/>
              <a:cs typeface="Arial" panose="020B0604020202020204" pitchFamily="34" charset="0"/>
            </a:rPr>
            <a:t> a generalised light limited model to study C3, C2, C3-C4 and C4 photosynthesis. It calculates</a:t>
          </a:r>
          <a:r>
            <a:rPr lang="en-US" sz="1100">
              <a:solidFill>
                <a:schemeClr val="dk1"/>
              </a:solidFill>
              <a:effectLst/>
              <a:latin typeface="Arial" panose="020B0604020202020204" pitchFamily="34" charset="0"/>
              <a:ea typeface="+mn-ea"/>
              <a:cs typeface="Arial" panose="020B0604020202020204" pitchFamily="34" charset="0"/>
            </a:rPr>
            <a:t> metabolic</a:t>
          </a:r>
          <a:r>
            <a:rPr lang="en-US" sz="1100" baseline="0">
              <a:solidFill>
                <a:schemeClr val="dk1"/>
              </a:solidFill>
              <a:effectLst/>
              <a:latin typeface="Arial" panose="020B0604020202020204" pitchFamily="34" charset="0"/>
              <a:ea typeface="+mn-ea"/>
              <a:cs typeface="Arial" panose="020B0604020202020204" pitchFamily="34" charset="0"/>
            </a:rPr>
            <a:t> </a:t>
          </a:r>
          <a:r>
            <a:rPr lang="en-US" sz="1100">
              <a:solidFill>
                <a:schemeClr val="dk1"/>
              </a:solidFill>
              <a:effectLst/>
              <a:latin typeface="Arial" panose="020B0604020202020204" pitchFamily="34" charset="0"/>
              <a:ea typeface="+mn-ea"/>
              <a:cs typeface="Arial" panose="020B0604020202020204" pitchFamily="34" charset="0"/>
            </a:rPr>
            <a:t>quantities such</a:t>
          </a:r>
          <a:r>
            <a:rPr lang="en-US" sz="1100" baseline="0">
              <a:solidFill>
                <a:schemeClr val="dk1"/>
              </a:solidFill>
              <a:effectLst/>
              <a:latin typeface="Arial" panose="020B0604020202020204" pitchFamily="34" charset="0"/>
              <a:ea typeface="+mn-ea"/>
              <a:cs typeface="Arial" panose="020B0604020202020204" pitchFamily="34" charset="0"/>
            </a:rPr>
            <a:t> as the rate of carbohydrate synthesis, the transamination rate, ATP and NADPH demand. Metabolic processes are partitioned between M and BS and the corresponding fluxes. </a:t>
          </a:r>
          <a:r>
            <a:rPr kumimoji="0" lang="en-US"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This model is particularly suitable for formulating hypothetic scenarios which can be explored using the' what if analysis' and 'data table' (https://support.office.com/en-ca/article/Introduction-to-what-if-analysis-22bffa5f-e891-4acc-bf7a-e4645c446fb4). Results can be visualised in the next sheet.</a:t>
          </a:r>
          <a:endParaRPr lang="en-US" sz="1100">
            <a:solidFill>
              <a:schemeClr val="dk1"/>
            </a:solidFill>
            <a:effectLst/>
            <a:latin typeface="Arial" panose="020B0604020202020204" pitchFamily="34" charset="0"/>
            <a:ea typeface="+mn-ea"/>
            <a:cs typeface="Arial" panose="020B0604020202020204" pitchFamily="34"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n-GB" sz="1100" b="0" i="0" u="none" strike="noStrike" kern="0" cap="none" spc="0" normalizeH="0" baseline="0" noProof="0">
              <a:ln>
                <a:noFill/>
              </a:ln>
              <a:solidFill>
                <a:prstClr val="black"/>
              </a:solidFill>
              <a:effectLst/>
              <a:uLnTx/>
              <a:uFillTx/>
              <a:latin typeface="Arial" panose="020B0604020202020204" pitchFamily="34" charset="0"/>
              <a:ea typeface="+mn-ea"/>
              <a:cs typeface="Arial" panose="020B0604020202020204" pitchFamily="34" charset="0"/>
            </a:rPr>
            <a:t>Additional output is shown by unhiding columns Q and R.</a:t>
          </a:r>
        </a:p>
        <a:p>
          <a:endParaRPr lang="en-US" sz="1100">
            <a:latin typeface="Arial" panose="020B0604020202020204" pitchFamily="34" charset="0"/>
            <a:cs typeface="Arial" panose="020B0604020202020204" pitchFamily="34" charset="0"/>
          </a:endParaRPr>
        </a:p>
        <a:p>
          <a:endParaRPr lang="en-US" sz="1100">
            <a:latin typeface="Arial" panose="020B0604020202020204" pitchFamily="34" charset="0"/>
            <a:cs typeface="Arial" panose="020B060402020202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132513</xdr:colOff>
      <xdr:row>0</xdr:row>
      <xdr:rowOff>66260</xdr:rowOff>
    </xdr:from>
    <xdr:to>
      <xdr:col>31</xdr:col>
      <xdr:colOff>74543</xdr:colOff>
      <xdr:row>53</xdr:row>
      <xdr:rowOff>32477</xdr:rowOff>
    </xdr:to>
    <xdr:pic>
      <xdr:nvPicPr>
        <xdr:cNvPr id="3" name="Picture 2">
          <a:extLst>
            <a:ext uri="{FF2B5EF4-FFF2-40B4-BE49-F238E27FC236}">
              <a16:creationId xmlns:a16="http://schemas.microsoft.com/office/drawing/2014/main" id="{00000000-0008-0000-0500-000003000000}"/>
            </a:ext>
          </a:extLst>
        </xdr:cNvPr>
        <xdr:cNvPicPr>
          <a:picLocks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2513" y="66260"/>
          <a:ext cx="7868487" cy="435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594360</xdr:colOff>
          <xdr:row>1</xdr:row>
          <xdr:rowOff>160020</xdr:rowOff>
        </xdr:from>
        <xdr:to>
          <xdr:col>10</xdr:col>
          <xdr:colOff>144780</xdr:colOff>
          <xdr:row>3</xdr:row>
          <xdr:rowOff>45720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reset</a:t>
              </a:r>
            </a:p>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35</xdr:col>
      <xdr:colOff>571500</xdr:colOff>
      <xdr:row>9</xdr:row>
      <xdr:rowOff>85725</xdr:rowOff>
    </xdr:from>
    <xdr:ext cx="5848350" cy="4695825"/>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27098625" y="1714500"/>
          <a:ext cx="5848350" cy="46958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1" i="0" u="none" strike="noStrike">
              <a:solidFill>
                <a:schemeClr val="tx1"/>
              </a:solidFill>
              <a:effectLst/>
              <a:latin typeface="+mn-lt"/>
              <a:ea typeface="+mn-ea"/>
              <a:cs typeface="+mn-cs"/>
            </a:rPr>
            <a:t>About Quartic</a:t>
          </a:r>
          <a:r>
            <a:rPr lang="en-GB"/>
            <a:t> </a:t>
          </a:r>
          <a:r>
            <a:rPr lang="en-GB" sz="1100" b="1" i="0" u="none" strike="noStrike">
              <a:solidFill>
                <a:schemeClr val="tx1"/>
              </a:solidFill>
              <a:effectLst/>
              <a:latin typeface="+mn-lt"/>
              <a:ea typeface="+mn-ea"/>
              <a:cs typeface="+mn-cs"/>
            </a:rPr>
            <a:t> </a:t>
          </a:r>
          <a:r>
            <a:rPr lang="en-GB"/>
            <a:t> </a:t>
          </a:r>
          <a:r>
            <a:rPr lang="en-GB" sz="1100" b="1" i="0" u="none" strike="noStrike">
              <a:solidFill>
                <a:schemeClr val="tx1"/>
              </a:solidFill>
              <a:effectLst/>
              <a:latin typeface="+mn-lt"/>
              <a:ea typeface="+mn-ea"/>
              <a:cs typeface="+mn-cs"/>
            </a:rPr>
            <a:t> </a:t>
          </a:r>
          <a:r>
            <a:rPr lang="en-GB"/>
            <a:t> </a:t>
          </a:r>
          <a:r>
            <a:rPr lang="en-GB" sz="1100" b="1" i="0" u="sng" strike="noStrike">
              <a:solidFill>
                <a:schemeClr val="tx1"/>
              </a:solidFill>
              <a:effectLst/>
              <a:latin typeface="+mn-lt"/>
              <a:ea typeface="+mn-ea"/>
              <a:cs typeface="+mn-cs"/>
              <a:hlinkClick xmlns:r="http://schemas.openxmlformats.org/officeDocument/2006/relationships" r:id=""/>
            </a:rPr>
            <a:t>Home</a:t>
          </a:r>
          <a:r>
            <a:rPr lang="en-GB"/>
            <a:t> </a:t>
          </a:r>
          <a:r>
            <a:rPr lang="en-GB" sz="1100" b="1" i="0" u="none" strike="noStrike">
              <a:solidFill>
                <a:schemeClr val="tx1"/>
              </a:solidFill>
              <a:effectLst/>
              <a:latin typeface="+mn-lt"/>
              <a:ea typeface="+mn-ea"/>
              <a:cs typeface="+mn-cs"/>
            </a:rPr>
            <a:t>Disclaimer</a:t>
          </a:r>
          <a:r>
            <a:rPr lang="en-GB"/>
            <a:t> </a:t>
          </a:r>
          <a:r>
            <a:rPr lang="en-GB" sz="1100" b="1" i="0" u="none" strike="noStrike">
              <a:solidFill>
                <a:schemeClr val="tx1"/>
              </a:solidFill>
              <a:effectLst/>
              <a:latin typeface="+mn-lt"/>
              <a:ea typeface="+mn-ea"/>
              <a:cs typeface="+mn-cs"/>
            </a:rPr>
            <a:t>This program is free software; you can redistribute it and/or</a:t>
          </a:r>
          <a:r>
            <a:rPr lang="en-GB"/>
            <a:t> </a:t>
          </a:r>
          <a:r>
            <a:rPr lang="en-GB" sz="1100" b="1" i="0" u="none" strike="noStrike">
              <a:solidFill>
                <a:schemeClr val="tx1"/>
              </a:solidFill>
              <a:effectLst/>
              <a:latin typeface="+mn-lt"/>
              <a:ea typeface="+mn-ea"/>
              <a:cs typeface="+mn-cs"/>
            </a:rPr>
            <a:t>modify it under the terms of the GNU General Public License</a:t>
          </a:r>
          <a:r>
            <a:rPr lang="en-GB"/>
            <a:t> </a:t>
          </a:r>
          <a:r>
            <a:rPr lang="en-GB" sz="1100" b="1" i="0" u="none" strike="noStrike">
              <a:solidFill>
                <a:schemeClr val="tx1"/>
              </a:solidFill>
              <a:effectLst/>
              <a:latin typeface="+mn-lt"/>
              <a:ea typeface="+mn-ea"/>
              <a:cs typeface="+mn-cs"/>
            </a:rPr>
            <a:t>as published by the Free Software Foundation; either version 2</a:t>
          </a:r>
          <a:r>
            <a:rPr lang="en-GB"/>
            <a:t> </a:t>
          </a:r>
          <a:r>
            <a:rPr lang="en-GB" sz="1100" b="1" i="0" u="none" strike="noStrike">
              <a:solidFill>
                <a:schemeClr val="tx1"/>
              </a:solidFill>
              <a:effectLst/>
              <a:latin typeface="+mn-lt"/>
              <a:ea typeface="+mn-ea"/>
              <a:cs typeface="+mn-cs"/>
            </a:rPr>
            <a:t>of the License, or (at your option) any later version.</a:t>
          </a:r>
          <a:r>
            <a:rPr lang="en-GB"/>
            <a:t> </a:t>
          </a:r>
          <a:r>
            <a:rPr lang="en-GB" sz="1100" b="1" i="0" u="none" strike="noStrike">
              <a:solidFill>
                <a:schemeClr val="tx1"/>
              </a:solidFill>
              <a:effectLst/>
              <a:latin typeface="+mn-lt"/>
              <a:ea typeface="+mn-ea"/>
              <a:cs typeface="+mn-cs"/>
            </a:rPr>
            <a:t>This program is distributed in the hope that it will be useful,</a:t>
          </a:r>
          <a:r>
            <a:rPr lang="en-GB"/>
            <a:t> </a:t>
          </a:r>
          <a:r>
            <a:rPr lang="en-GB" sz="1100" b="1" i="0" u="none" strike="noStrike">
              <a:solidFill>
                <a:schemeClr val="tx1"/>
              </a:solidFill>
              <a:effectLst/>
              <a:latin typeface="+mn-lt"/>
              <a:ea typeface="+mn-ea"/>
              <a:cs typeface="+mn-cs"/>
            </a:rPr>
            <a:t>but WITHOUT ANY WARRANTY; without even the implied warranty of</a:t>
          </a:r>
          <a:r>
            <a:rPr lang="en-GB"/>
            <a:t> </a:t>
          </a:r>
          <a:r>
            <a:rPr lang="en-GB" sz="1100" b="1" i="0" u="none" strike="noStrike">
              <a:solidFill>
                <a:schemeClr val="tx1"/>
              </a:solidFill>
              <a:effectLst/>
              <a:latin typeface="+mn-lt"/>
              <a:ea typeface="+mn-ea"/>
              <a:cs typeface="+mn-cs"/>
            </a:rPr>
            <a:t>MERCHANTABILITY or FITNESS FOR A PARTICULAR PURPOSE.  </a:t>
          </a:r>
          <a:r>
            <a:rPr lang="en-GB"/>
            <a:t> </a:t>
          </a:r>
          <a:r>
            <a:rPr lang="en-GB" sz="1100" b="0" i="0" u="none" strike="noStrike">
              <a:solidFill>
                <a:schemeClr val="tx1"/>
              </a:solidFill>
              <a:effectLst/>
              <a:latin typeface="+mn-lt"/>
              <a:ea typeface="+mn-ea"/>
              <a:cs typeface="+mn-cs"/>
            </a:rPr>
            <a:t> </a:t>
          </a:r>
          <a:r>
            <a:rPr lang="en-GB"/>
            <a:t> </a:t>
          </a:r>
          <a:r>
            <a:rPr lang="en-GB" sz="1100" b="0" i="0" u="sng" strike="noStrike">
              <a:solidFill>
                <a:schemeClr val="tx1"/>
              </a:solidFill>
              <a:effectLst/>
              <a:latin typeface="+mn-lt"/>
              <a:ea typeface="+mn-ea"/>
              <a:cs typeface="+mn-cs"/>
              <a:hlinkClick xmlns:r="http://schemas.openxmlformats.org/officeDocument/2006/relationships" r:id=""/>
            </a:rPr>
            <a:t>dougjenkins@interactiveds.com.au</a:t>
          </a:r>
          <a:r>
            <a:rPr lang="en-GB"/>
            <a:t> </a:t>
          </a:r>
          <a:r>
            <a:rPr lang="en-GB" sz="1100" b="0" i="0" u="sng" strike="noStrike">
              <a:solidFill>
                <a:schemeClr val="tx1"/>
              </a:solidFill>
              <a:effectLst/>
              <a:latin typeface="+mn-lt"/>
              <a:ea typeface="+mn-ea"/>
              <a:cs typeface="+mn-cs"/>
              <a:hlinkClick xmlns:r="http://schemas.openxmlformats.org/officeDocument/2006/relationships" r:id=""/>
            </a:rPr>
            <a:t>www.interactiveds.com.au</a:t>
          </a:r>
          <a:r>
            <a:rPr lang="en-GB"/>
            <a:t> </a:t>
          </a:r>
          <a:r>
            <a:rPr lang="en-GB" sz="1100" b="0" i="0" u="none" strike="noStrike">
              <a:solidFill>
                <a:schemeClr val="tx1"/>
              </a:solidFill>
              <a:effectLst/>
              <a:latin typeface="+mn-lt"/>
              <a:ea typeface="+mn-ea"/>
              <a:cs typeface="+mn-cs"/>
            </a:rPr>
            <a:t>ã</a:t>
          </a:r>
          <a:r>
            <a:rPr lang="en-GB"/>
            <a:t> </a:t>
          </a:r>
          <a:r>
            <a:rPr lang="en-GB" sz="1100" b="0" i="0" u="none" strike="noStrike">
              <a:solidFill>
                <a:schemeClr val="tx1"/>
              </a:solidFill>
              <a:effectLst/>
              <a:latin typeface="+mn-lt"/>
              <a:ea typeface="+mn-ea"/>
              <a:cs typeface="+mn-cs"/>
            </a:rPr>
            <a:t> Copyright  2014 Interactive Design Services Pty Ltd.  all rights reserved</a:t>
          </a:r>
          <a:r>
            <a:rPr lang="en-GB"/>
            <a:t> </a:t>
          </a:r>
          <a:r>
            <a:rPr lang="en-GB" sz="1100" b="0" i="0" u="none" strike="noStrike">
              <a:solidFill>
                <a:schemeClr val="tx1"/>
              </a:solidFill>
              <a:effectLst/>
              <a:latin typeface="+mn-lt"/>
              <a:ea typeface="+mn-ea"/>
              <a:cs typeface="+mn-cs"/>
            </a:rPr>
            <a:t>Revision History</a:t>
          </a:r>
          <a:r>
            <a:rPr lang="en-GB"/>
            <a:t> </a:t>
          </a:r>
          <a:r>
            <a:rPr lang="en-GB" sz="1100" b="0" i="0" u="none" strike="noStrike">
              <a:solidFill>
                <a:schemeClr val="tx1"/>
              </a:solidFill>
              <a:effectLst/>
              <a:latin typeface="+mn-lt"/>
              <a:ea typeface="+mn-ea"/>
              <a:cs typeface="+mn-cs"/>
            </a:rPr>
            <a:t>Current Version</a:t>
          </a:r>
          <a:r>
            <a:rPr lang="en-GB"/>
            <a:t> </a:t>
          </a:r>
          <a:r>
            <a:rPr lang="en-GB" sz="1100" b="0" i="0" u="none" strike="noStrike">
              <a:solidFill>
                <a:schemeClr val="tx1"/>
              </a:solidFill>
              <a:effectLst/>
              <a:latin typeface="+mn-lt"/>
              <a:ea typeface="+mn-ea"/>
              <a:cs typeface="+mn-cs"/>
            </a:rPr>
            <a:t>1.06</a:t>
          </a:r>
          <a:r>
            <a:rPr lang="en-GB"/>
            <a:t> </a:t>
          </a:r>
          <a:r>
            <a:rPr lang="en-GB" sz="1100" b="0" i="0" u="none" strike="noStrike">
              <a:solidFill>
                <a:schemeClr val="tx1"/>
              </a:solidFill>
              <a:effectLst/>
              <a:latin typeface="+mn-lt"/>
              <a:ea typeface="+mn-ea"/>
              <a:cs typeface="+mn-cs"/>
            </a:rPr>
            <a:t>12-Aug-14</a:t>
          </a:r>
          <a:r>
            <a:rPr lang="en-GB"/>
            <a:t> </a:t>
          </a:r>
          <a:r>
            <a:rPr lang="en-GB" sz="1100" b="0" i="0" u="none" strike="noStrike">
              <a:solidFill>
                <a:schemeClr val="tx1"/>
              </a:solidFill>
              <a:effectLst/>
              <a:latin typeface="+mn-lt"/>
              <a:ea typeface="+mn-ea"/>
              <a:cs typeface="+mn-cs"/>
            </a:rPr>
            <a:t>Rev</a:t>
          </a:r>
          <a:r>
            <a:rPr lang="en-GB"/>
            <a:t> </a:t>
          </a:r>
          <a:r>
            <a:rPr lang="en-GB" sz="1100" b="0" i="0" u="none" strike="noStrike">
              <a:solidFill>
                <a:schemeClr val="tx1"/>
              </a:solidFill>
              <a:effectLst/>
              <a:latin typeface="+mn-lt"/>
              <a:ea typeface="+mn-ea"/>
              <a:cs typeface="+mn-cs"/>
            </a:rPr>
            <a:t>Date</a:t>
          </a:r>
          <a:r>
            <a:rPr lang="en-GB"/>
            <a:t> </a:t>
          </a:r>
          <a:r>
            <a:rPr lang="en-GB" sz="1100" b="0" i="0" u="none" strike="noStrike">
              <a:solidFill>
                <a:schemeClr val="tx1"/>
              </a:solidFill>
              <a:effectLst/>
              <a:latin typeface="+mn-lt"/>
              <a:ea typeface="+mn-ea"/>
              <a:cs typeface="+mn-cs"/>
            </a:rPr>
            <a:t>By</a:t>
          </a:r>
          <a:r>
            <a:rPr lang="en-GB"/>
            <a:t> </a:t>
          </a:r>
          <a:r>
            <a:rPr lang="en-GB" sz="1100" b="0" i="0" u="none" strike="noStrike">
              <a:solidFill>
                <a:schemeClr val="tx1"/>
              </a:solidFill>
              <a:effectLst/>
              <a:latin typeface="+mn-lt"/>
              <a:ea typeface="+mn-ea"/>
              <a:cs typeface="+mn-cs"/>
            </a:rPr>
            <a:t>Description</a:t>
          </a:r>
          <a:r>
            <a:rPr lang="en-GB"/>
            <a:t> </a:t>
          </a:r>
          <a:r>
            <a:rPr lang="en-GB" sz="1100" b="0" i="0" u="none" strike="noStrike">
              <a:solidFill>
                <a:schemeClr val="tx1"/>
              </a:solidFill>
              <a:effectLst/>
              <a:latin typeface="+mn-lt"/>
              <a:ea typeface="+mn-ea"/>
              <a:cs typeface="+mn-cs"/>
            </a:rPr>
            <a:t>1.00</a:t>
          </a:r>
          <a:r>
            <a:rPr lang="en-GB"/>
            <a:t> </a:t>
          </a:r>
          <a:r>
            <a:rPr lang="en-GB" sz="1100" b="0" i="0" u="none" strike="noStrike">
              <a:solidFill>
                <a:schemeClr val="tx1"/>
              </a:solidFill>
              <a:effectLst/>
              <a:latin typeface="+mn-lt"/>
              <a:ea typeface="+mn-ea"/>
              <a:cs typeface="+mn-cs"/>
            </a:rPr>
            <a:t>27-Nov-06</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First release</a:t>
          </a:r>
          <a:r>
            <a:rPr lang="en-GB"/>
            <a:t> </a:t>
          </a:r>
          <a:r>
            <a:rPr lang="en-GB" sz="1100" b="0" i="0" u="none" strike="noStrike">
              <a:solidFill>
                <a:schemeClr val="tx1"/>
              </a:solidFill>
              <a:effectLst/>
              <a:latin typeface="+mn-lt"/>
              <a:ea typeface="+mn-ea"/>
              <a:cs typeface="+mn-cs"/>
            </a:rPr>
            <a:t>1.01</a:t>
          </a:r>
          <a:r>
            <a:rPr lang="en-GB"/>
            <a:t> </a:t>
          </a:r>
          <a:r>
            <a:rPr lang="en-GB" sz="1100" b="0" i="0" u="none" strike="noStrike">
              <a:solidFill>
                <a:schemeClr val="tx1"/>
              </a:solidFill>
              <a:effectLst/>
              <a:latin typeface="+mn-lt"/>
              <a:ea typeface="+mn-ea"/>
              <a:cs typeface="+mn-cs"/>
            </a:rPr>
            <a:t>12-Dec-06</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Complex solutions added</a:t>
          </a:r>
          <a:r>
            <a:rPr lang="en-GB"/>
            <a:t> </a:t>
          </a:r>
          <a:r>
            <a:rPr lang="en-GB" sz="1100" b="0" i="0" u="none" strike="noStrike">
              <a:solidFill>
                <a:schemeClr val="tx1"/>
              </a:solidFill>
              <a:effectLst/>
              <a:latin typeface="+mn-lt"/>
              <a:ea typeface="+mn-ea"/>
              <a:cs typeface="+mn-cs"/>
            </a:rPr>
            <a:t>1.01.1</a:t>
          </a:r>
          <a:r>
            <a:rPr lang="en-GB"/>
            <a:t> </a:t>
          </a:r>
          <a:r>
            <a:rPr lang="en-GB" sz="1100" b="0" i="0" u="none" strike="noStrike">
              <a:solidFill>
                <a:schemeClr val="tx1"/>
              </a:solidFill>
              <a:effectLst/>
              <a:latin typeface="+mn-lt"/>
              <a:ea typeface="+mn-ea"/>
              <a:cs typeface="+mn-cs"/>
            </a:rPr>
            <a:t>11-Mar-07</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Quartic fixed for four equal roots</a:t>
          </a:r>
          <a:r>
            <a:rPr lang="en-GB"/>
            <a:t> </a:t>
          </a:r>
          <a:r>
            <a:rPr lang="en-GB" sz="1100" b="0" i="0" u="none" strike="noStrike">
              <a:solidFill>
                <a:schemeClr val="tx1"/>
              </a:solidFill>
              <a:effectLst/>
              <a:latin typeface="+mn-lt"/>
              <a:ea typeface="+mn-ea"/>
              <a:cs typeface="+mn-cs"/>
            </a:rPr>
            <a:t>1.02</a:t>
          </a:r>
          <a:r>
            <a:rPr lang="en-GB"/>
            <a:t> </a:t>
          </a:r>
          <a:r>
            <a:rPr lang="en-GB" sz="1100" b="0" i="0" u="none" strike="noStrike">
              <a:solidFill>
                <a:schemeClr val="tx1"/>
              </a:solidFill>
              <a:effectLst/>
              <a:latin typeface="+mn-lt"/>
              <a:ea typeface="+mn-ea"/>
              <a:cs typeface="+mn-cs"/>
            </a:rPr>
            <a:t>12-Apr-10</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Correction to Cubicc for case of two equal roots</a:t>
          </a:r>
          <a:r>
            <a:rPr lang="en-GB"/>
            <a:t> </a:t>
          </a:r>
          <a:r>
            <a:rPr lang="en-GB" sz="1100" b="0" i="0" u="none" strike="noStrike">
              <a:solidFill>
                <a:schemeClr val="tx1"/>
              </a:solidFill>
              <a:effectLst/>
              <a:latin typeface="+mn-lt"/>
              <a:ea typeface="+mn-ea"/>
              <a:cs typeface="+mn-cs"/>
            </a:rPr>
            <a:t>1.03</a:t>
          </a:r>
          <a:r>
            <a:rPr lang="en-GB"/>
            <a:t> </a:t>
          </a:r>
          <a:r>
            <a:rPr lang="en-GB" sz="1100" b="0" i="0" u="none" strike="noStrike">
              <a:solidFill>
                <a:schemeClr val="tx1"/>
              </a:solidFill>
              <a:effectLst/>
              <a:latin typeface="+mn-lt"/>
              <a:ea typeface="+mn-ea"/>
              <a:cs typeface="+mn-cs"/>
            </a:rPr>
            <a:t>04-Aug-10</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Input changed to array format</a:t>
          </a:r>
          <a:r>
            <a:rPr lang="en-GB"/>
            <a:t> </a:t>
          </a:r>
          <a:r>
            <a:rPr lang="en-GB" sz="1100" b="0" i="0" u="none" strike="noStrike">
              <a:solidFill>
                <a:schemeClr val="tx1"/>
              </a:solidFill>
              <a:effectLst/>
              <a:latin typeface="+mn-lt"/>
              <a:ea typeface="+mn-ea"/>
              <a:cs typeface="+mn-cs"/>
            </a:rPr>
            <a:t>1.04</a:t>
          </a:r>
          <a:r>
            <a:rPr lang="en-GB"/>
            <a:t> </a:t>
          </a:r>
          <a:r>
            <a:rPr lang="en-GB" sz="1100" b="0" i="0" u="none" strike="noStrike">
              <a:solidFill>
                <a:schemeClr val="tx1"/>
              </a:solidFill>
              <a:effectLst/>
              <a:latin typeface="+mn-lt"/>
              <a:ea typeface="+mn-ea"/>
              <a:cs typeface="+mn-cs"/>
            </a:rPr>
            <a:t>19-Sep-10</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Corrected for case of Q = 0 and one real negative root. EvalPoly1C function added. Error value check added to Quartic and CubicC</a:t>
          </a:r>
          <a:r>
            <a:rPr lang="en-GB"/>
            <a:t> </a:t>
          </a:r>
          <a:r>
            <a:rPr lang="en-GB" sz="1100" b="0" i="0" u="none" strike="noStrike">
              <a:solidFill>
                <a:schemeClr val="tx1"/>
              </a:solidFill>
              <a:effectLst/>
              <a:latin typeface="+mn-lt"/>
              <a:ea typeface="+mn-ea"/>
              <a:cs typeface="+mn-cs"/>
            </a:rPr>
            <a:t>1.05</a:t>
          </a:r>
          <a:r>
            <a:rPr lang="en-GB"/>
            <a:t> </a:t>
          </a:r>
          <a:r>
            <a:rPr lang="en-GB" sz="1100" b="0" i="0" u="none" strike="noStrike">
              <a:solidFill>
                <a:schemeClr val="tx1"/>
              </a:solidFill>
              <a:effectLst/>
              <a:latin typeface="+mn-lt"/>
              <a:ea typeface="+mn-ea"/>
              <a:cs typeface="+mn-cs"/>
            </a:rPr>
            <a:t>22-Sep-10</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More corrections to Quartic.  CubicC amended to always return real roots first.</a:t>
          </a:r>
          <a:r>
            <a:rPr lang="en-GB"/>
            <a:t> </a:t>
          </a:r>
          <a:r>
            <a:rPr lang="en-GB" sz="1100" b="0" i="0" u="none" strike="noStrike">
              <a:solidFill>
                <a:schemeClr val="tx1"/>
              </a:solidFill>
              <a:effectLst/>
              <a:latin typeface="+mn-lt"/>
              <a:ea typeface="+mn-ea"/>
              <a:cs typeface="+mn-cs"/>
            </a:rPr>
            <a:t>Renamed Polynomial</a:t>
          </a:r>
          <a:r>
            <a:rPr lang="en-GB"/>
            <a:t> </a:t>
          </a:r>
          <a:r>
            <a:rPr lang="en-GB" sz="1100" b="0" i="0" u="none" strike="noStrike">
              <a:solidFill>
                <a:schemeClr val="tx1"/>
              </a:solidFill>
              <a:effectLst/>
              <a:latin typeface="+mn-lt"/>
              <a:ea typeface="+mn-ea"/>
              <a:cs typeface="+mn-cs"/>
            </a:rPr>
            <a:t>1.00</a:t>
          </a:r>
          <a:r>
            <a:rPr lang="en-GB"/>
            <a:t> </a:t>
          </a:r>
          <a:r>
            <a:rPr lang="en-GB" sz="1100" b="0" i="0" u="none" strike="noStrike">
              <a:solidFill>
                <a:schemeClr val="tx1"/>
              </a:solidFill>
              <a:effectLst/>
              <a:latin typeface="+mn-lt"/>
              <a:ea typeface="+mn-ea"/>
              <a:cs typeface="+mn-cs"/>
            </a:rPr>
            <a:t>12-Jan-11</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Jenkins-Traub function (RPolyJT) added.</a:t>
          </a:r>
          <a:r>
            <a:rPr lang="en-GB"/>
            <a:t> </a:t>
          </a:r>
          <a:r>
            <a:rPr lang="en-GB" sz="1100" b="0" i="0" u="none" strike="noStrike">
              <a:solidFill>
                <a:schemeClr val="tx1"/>
              </a:solidFill>
              <a:effectLst/>
              <a:latin typeface="+mn-lt"/>
              <a:ea typeface="+mn-ea"/>
              <a:cs typeface="+mn-cs"/>
            </a:rPr>
            <a:t>1.01</a:t>
          </a:r>
          <a:r>
            <a:rPr lang="en-GB"/>
            <a:t> </a:t>
          </a:r>
          <a:r>
            <a:rPr lang="en-GB" sz="1100" b="0" i="0" u="none" strike="noStrike">
              <a:solidFill>
                <a:schemeClr val="tx1"/>
              </a:solidFill>
              <a:effectLst/>
              <a:latin typeface="+mn-lt"/>
              <a:ea typeface="+mn-ea"/>
              <a:cs typeface="+mn-cs"/>
            </a:rPr>
            <a:t>16-Jan-11</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Quadratic solution modified; evaluation by synthetic division added</a:t>
          </a:r>
          <a:r>
            <a:rPr lang="en-GB"/>
            <a:t> </a:t>
          </a:r>
          <a:r>
            <a:rPr lang="en-GB" sz="1100" b="0" i="0" u="none" strike="noStrike">
              <a:solidFill>
                <a:schemeClr val="tx1"/>
              </a:solidFill>
              <a:effectLst/>
              <a:latin typeface="+mn-lt"/>
              <a:ea typeface="+mn-ea"/>
              <a:cs typeface="+mn-cs"/>
            </a:rPr>
            <a:t>1.02</a:t>
          </a:r>
          <a:r>
            <a:rPr lang="en-GB"/>
            <a:t> </a:t>
          </a:r>
          <a:r>
            <a:rPr lang="en-GB" sz="1100" b="0" i="0" u="none" strike="noStrike">
              <a:solidFill>
                <a:schemeClr val="tx1"/>
              </a:solidFill>
              <a:effectLst/>
              <a:latin typeface="+mn-lt"/>
              <a:ea typeface="+mn-ea"/>
              <a:cs typeface="+mn-cs"/>
            </a:rPr>
            <a:t>21-Oct-12</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Correction to CubicC to set sgnR = 1 if R = 0; Cubic and Cubicc fixed for case where R2 = Q3 and R &gt; 0</a:t>
          </a:r>
          <a:r>
            <a:rPr lang="en-GB"/>
            <a:t> </a:t>
          </a:r>
          <a:r>
            <a:rPr lang="en-GB" sz="1100" b="0" i="0" u="none" strike="noStrike">
              <a:solidFill>
                <a:schemeClr val="tx1"/>
              </a:solidFill>
              <a:effectLst/>
              <a:latin typeface="+mn-lt"/>
              <a:ea typeface="+mn-ea"/>
              <a:cs typeface="+mn-cs"/>
            </a:rPr>
            <a:t>1.03</a:t>
          </a:r>
          <a:r>
            <a:rPr lang="en-GB"/>
            <a:t> </a:t>
          </a:r>
          <a:r>
            <a:rPr lang="en-GB" sz="1100" b="0" i="0" u="none" strike="noStrike">
              <a:solidFill>
                <a:schemeClr val="tx1"/>
              </a:solidFill>
              <a:effectLst/>
              <a:latin typeface="+mn-lt"/>
              <a:ea typeface="+mn-ea"/>
              <a:cs typeface="+mn-cs"/>
            </a:rPr>
            <a:t>22-Oct-12</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Quartic corrected for A=0, Quadratic corrected to output number of roots for linear equation.</a:t>
          </a:r>
          <a:r>
            <a:rPr lang="en-GB"/>
            <a:t> </a:t>
          </a:r>
          <a:r>
            <a:rPr lang="en-GB" sz="1100" b="0" i="0" u="none" strike="noStrike">
              <a:solidFill>
                <a:schemeClr val="tx1"/>
              </a:solidFill>
              <a:effectLst/>
              <a:latin typeface="+mn-lt"/>
              <a:ea typeface="+mn-ea"/>
              <a:cs typeface="+mn-cs"/>
            </a:rPr>
            <a:t>1.04</a:t>
          </a:r>
          <a:r>
            <a:rPr lang="en-GB"/>
            <a:t> </a:t>
          </a:r>
          <a:r>
            <a:rPr lang="en-GB" sz="1100" b="0" i="0" u="none" strike="noStrike">
              <a:solidFill>
                <a:schemeClr val="tx1"/>
              </a:solidFill>
              <a:effectLst/>
              <a:latin typeface="+mn-lt"/>
              <a:ea typeface="+mn-ea"/>
              <a:cs typeface="+mn-cs"/>
            </a:rPr>
            <a:t>08-Oct-13</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Examples of Python Quadratic, Cubic, PolyRoots, PolyRootsC, PolyVal and PolyFromRoots functions added; py_Polynomial version only</a:t>
          </a:r>
          <a:r>
            <a:rPr lang="en-GB"/>
            <a:t> </a:t>
          </a:r>
          <a:r>
            <a:rPr lang="en-GB" sz="1100" b="0" i="0" u="none" strike="noStrike">
              <a:solidFill>
                <a:schemeClr val="tx1"/>
              </a:solidFill>
              <a:effectLst/>
              <a:latin typeface="+mn-lt"/>
              <a:ea typeface="+mn-ea"/>
              <a:cs typeface="+mn-cs"/>
            </a:rPr>
            <a:t>1.05</a:t>
          </a:r>
          <a:r>
            <a:rPr lang="en-GB"/>
            <a:t> </a:t>
          </a:r>
          <a:r>
            <a:rPr lang="en-GB" sz="1100" b="0" i="0" u="none" strike="noStrike">
              <a:solidFill>
                <a:schemeClr val="tx1"/>
              </a:solidFill>
              <a:effectLst/>
              <a:latin typeface="+mn-lt"/>
              <a:ea typeface="+mn-ea"/>
              <a:cs typeface="+mn-cs"/>
            </a:rPr>
            <a:t>14-Jan-14</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Quadratic corrected to return second real root when constant term = 0; Minor ammendments to EvalPoly1 and EvalPolyHC to allow greater flexibility in input.  No change to results.</a:t>
          </a:r>
          <a:r>
            <a:rPr lang="en-GB"/>
            <a:t> </a:t>
          </a:r>
          <a:r>
            <a:rPr lang="en-GB" sz="1100" b="0" i="0" u="none" strike="noStrike">
              <a:solidFill>
                <a:schemeClr val="tx1"/>
              </a:solidFill>
              <a:effectLst/>
              <a:latin typeface="+mn-lt"/>
              <a:ea typeface="+mn-ea"/>
              <a:cs typeface="+mn-cs"/>
            </a:rPr>
            <a:t>1.06</a:t>
          </a:r>
          <a:r>
            <a:rPr lang="en-GB"/>
            <a:t> </a:t>
          </a:r>
          <a:r>
            <a:rPr lang="en-GB" sz="1100" b="0" i="0" u="none" strike="noStrike">
              <a:solidFill>
                <a:schemeClr val="tx1"/>
              </a:solidFill>
              <a:effectLst/>
              <a:latin typeface="+mn-lt"/>
              <a:ea typeface="+mn-ea"/>
              <a:cs typeface="+mn-cs"/>
            </a:rPr>
            <a:t>12-Aug-14</a:t>
          </a:r>
          <a:r>
            <a:rPr lang="en-GB"/>
            <a:t> </a:t>
          </a:r>
          <a:r>
            <a:rPr lang="en-GB" sz="1100" b="0" i="0" u="none" strike="noStrike">
              <a:solidFill>
                <a:schemeClr val="tx1"/>
              </a:solidFill>
              <a:effectLst/>
              <a:latin typeface="+mn-lt"/>
              <a:ea typeface="+mn-ea"/>
              <a:cs typeface="+mn-cs"/>
            </a:rPr>
            <a:t>DAJ</a:t>
          </a:r>
          <a:r>
            <a:rPr lang="en-GB"/>
            <a:t> </a:t>
          </a:r>
          <a:r>
            <a:rPr lang="en-GB" sz="1100" b="0" i="0" u="none" strike="noStrike">
              <a:solidFill>
                <a:schemeClr val="tx1"/>
              </a:solidFill>
              <a:effectLst/>
              <a:latin typeface="+mn-lt"/>
              <a:ea typeface="+mn-ea"/>
              <a:cs typeface="+mn-cs"/>
            </a:rPr>
            <a:t>SolvePoly function added</a:t>
          </a:r>
          <a:r>
            <a:rPr lang="en-GB"/>
            <a:t> </a:t>
          </a:r>
        </a:p>
        <a:p>
          <a:endParaRPr lang="en-GB" sz="1100"/>
        </a:p>
        <a:p>
          <a:endParaRPr lang="en-GB" sz="1100"/>
        </a:p>
        <a:p>
          <a:endParaRPr lang="en-GB" sz="1100"/>
        </a:p>
        <a:p>
          <a:r>
            <a:rPr lang="en-GB" sz="1100"/>
            <a:t>https://newtonexcelbach.wordpress.com/2014/01/14/solving-quadratic-cubic-quartic-and-higher-order-equations-examples/</a:t>
          </a: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1</xdr:col>
      <xdr:colOff>14907</xdr:colOff>
      <xdr:row>18</xdr:row>
      <xdr:rowOff>125482</xdr:rowOff>
    </xdr:from>
    <xdr:to>
      <xdr:col>13</xdr:col>
      <xdr:colOff>390524</xdr:colOff>
      <xdr:row>37</xdr:row>
      <xdr:rowOff>30232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63</xdr:col>
      <xdr:colOff>180975</xdr:colOff>
      <xdr:row>1</xdr:row>
      <xdr:rowOff>9525</xdr:rowOff>
    </xdr:from>
    <xdr:to>
      <xdr:col>77</xdr:col>
      <xdr:colOff>361950</xdr:colOff>
      <xdr:row>12</xdr:row>
      <xdr:rowOff>19050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24784050" y="200025"/>
          <a:ext cx="8715375" cy="2152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 simulations are meant to capture long term acclimation to PPFD, Ca, N and psisoil in six photosynthetic types.</a:t>
          </a:r>
        </a:p>
        <a:p>
          <a:r>
            <a:rPr lang="en-GB" sz="1100"/>
            <a:t>The Electron transport chain and Rubisco</a:t>
          </a:r>
          <a:r>
            <a:rPr lang="en-GB" sz="1100" baseline="0"/>
            <a:t> Kc have been adjusted to give under a growth PPFD of 1000 and Nmax of 0.3 a ratio of circa 2.2, corresponding to the previous simulations.</a:t>
          </a:r>
          <a:endParaRPr lang="en-GB"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hysio" refreshedDate="43073.527696064812" createdVersion="5" refreshedVersion="4" minRefreshableVersion="3" recordCount="1600" xr:uid="{00000000-000A-0000-FFFF-FFFF01000000}">
  <cacheSource type="worksheet">
    <worksheetSource ref="A2:BJ1602" sheet="sheet2"/>
  </cacheSource>
  <cacheFields count="62">
    <cacheField name="ψ Soil" numFmtId="0">
      <sharedItems containsSemiMixedTypes="0" containsString="0" containsNumber="1" minValue="-0.87" maxValue="-0.1" count="10">
        <n v="-0.1"/>
        <n v="-0.2"/>
        <n v="-0.3"/>
        <n v="-0.4"/>
        <n v="-0.5"/>
        <n v="-0.6"/>
        <n v="-0.7"/>
        <n v="-0.8"/>
        <n v="-0.85"/>
        <n v="-0.87"/>
      </sharedItems>
    </cacheField>
    <cacheField name="PPFD" numFmtId="0">
      <sharedItems containsSemiMixedTypes="0" containsString="0" containsNumber="1" containsInteger="1" minValue="100" maxValue="1900"/>
    </cacheField>
    <cacheField name="t" numFmtId="0">
      <sharedItems containsSemiMixedTypes="0" containsString="0" containsNumber="1" containsInteger="1" minValue="25" maxValue="25"/>
    </cacheField>
    <cacheField name="Ca" numFmtId="0">
      <sharedItems containsSemiMixedTypes="0" containsString="0" containsNumber="1" containsInteger="1" minValue="200" maxValue="1100" count="10">
        <n v="400"/>
        <n v="200"/>
        <n v="300"/>
        <n v="500"/>
        <n v="600"/>
        <n v="700"/>
        <n v="800"/>
        <n v="900"/>
        <n v="1000"/>
        <n v="1100"/>
      </sharedItems>
    </cacheField>
    <cacheField name="A" numFmtId="2">
      <sharedItems containsSemiMixedTypes="0" containsString="0" containsNumber="1" minValue="3.1068708197041284" maxValue="25.922759889624523"/>
    </cacheField>
    <cacheField name="Vo" numFmtId="0">
      <sharedItems containsSemiMixedTypes="0" containsString="0" containsNumber="1" minValue="0.38526478946731763" maxValue="11.515025675634538"/>
    </cacheField>
    <cacheField name="VC" numFmtId="0">
      <sharedItems containsSemiMixedTypes="0" containsString="0" containsNumber="1" minValue="3.5038241288740308" maxValue="27.760748387344961"/>
    </cacheField>
    <cacheField name="Vp" numFmtId="0">
      <sharedItems containsSemiMixedTypes="0" containsString="0" containsNumber="1" minValue="0" maxValue="33.810200569553835"/>
    </cacheField>
    <cacheField name="X" numFmtId="0">
      <sharedItems containsNonDate="0" containsString="0" containsBlank="1"/>
    </cacheField>
    <cacheField name="χRubisco" numFmtId="0">
      <sharedItems containsSemiMixedTypes="0" containsString="0" containsNumber="1" minValue="9.9999993813135301E-9" maxValue="0.99999999945778961"/>
    </cacheField>
    <cacheField name="fcyc" numFmtId="0">
      <sharedItems containsSemiMixedTypes="0" containsString="0" containsNumber="1" minValue="1E-8" maxValue="0.36"/>
    </cacheField>
    <cacheField name="jatp" numFmtId="0">
      <sharedItems containsSemiMixedTypes="0" containsString="0" containsNumber="1" minValue="17.4533303066254" maxValue="173.26406408688231"/>
    </cacheField>
    <cacheField name="jnadph" numFmtId="0">
      <sharedItems containsSemiMixedTypes="0" containsString="0" containsNumber="1" minValue="7.9851569267768427" maxValue="84.897730587623386"/>
    </cacheField>
    <cacheField name="CO2 BS→M Leak rate L mass balance" numFmtId="0">
      <sharedItems containsSemiMixedTypes="0" containsString="0" containsNumber="1" minValue="-0.70731596657510776" maxValue="7.5471137505757504"/>
    </cacheField>
    <cacheField name="DHAP M→BS" numFmtId="0">
      <sharedItems containsNonDate="0" containsString="0" containsBlank="1"/>
    </cacheField>
    <cacheField name="PGA BS→M" numFmtId="0">
      <sharedItems containsNonDate="0" containsString="0" containsBlank="1"/>
    </cacheField>
    <cacheField name="MAL M→BS" numFmtId="0">
      <sharedItems containsNonDate="0" containsString="0" containsBlank="1"/>
    </cacheField>
    <cacheField name="PEP BS→M" numFmtId="0">
      <sharedItems containsNonDate="0" containsString="0" containsBlank="1"/>
    </cacheField>
    <cacheField name="ASP M→BS" numFmtId="0">
      <sharedItems containsNonDate="0" containsString="0" containsBlank="1"/>
    </cacheField>
    <cacheField name="GLY M→BS" numFmtId="0">
      <sharedItems containsNonDate="0" containsString="0" containsBlank="1"/>
    </cacheField>
    <cacheField name="SER BS→M =R" numFmtId="0">
      <sharedItems containsNonDate="0" containsString="0" containsBlank="1"/>
    </cacheField>
    <cacheField name="ALA BS→M" numFmtId="0">
      <sharedItems containsNonDate="0" containsString="0" containsBlank="1"/>
    </cacheField>
    <cacheField name="PYR BS→M" numFmtId="0">
      <sharedItems containsNonDate="0" containsString="0" containsBlank="1"/>
    </cacheField>
    <cacheField name="Total fluxes" numFmtId="0">
      <sharedItems containsNonDate="0" containsString="0" containsBlank="1"/>
    </cacheField>
    <cacheField name="ATPTOT/GA" numFmtId="0">
      <sharedItems containsNonDate="0" containsString="0" containsBlank="1"/>
    </cacheField>
    <cacheField name="Leakiness φ" numFmtId="0">
      <sharedItems containsMixedTypes="1" containsNumber="1" minValue="5.8682149982530858E-2" maxValue="0.52049181889709317"/>
    </cacheField>
    <cacheField name="ATPTOT/NADPHTOT" numFmtId="0">
      <sharedItems containsNonDate="0" containsString="0" containsBlank="1"/>
    </cacheField>
    <cacheField name="NADPHBS/NADPHTOT" numFmtId="0">
      <sharedItems containsNonDate="0" containsString="0" containsBlank="1"/>
    </cacheField>
    <cacheField name="NADPHBS/NADPHM" numFmtId="0">
      <sharedItems containsNonDate="0" containsString="0" containsBlank="1"/>
    </cacheField>
    <cacheField name="ATPBS/ATPM" numFmtId="0">
      <sharedItems containsNonDate="0" containsString="0" containsBlank="1"/>
    </cacheField>
    <cacheField name="ATPBS/ATPTOT" numFmtId="0">
      <sharedItems containsNonDate="0" containsString="0" containsBlank="1"/>
    </cacheField>
    <cacheField name="Photo-prod.  ATPBS/NADPHBS" numFmtId="0">
      <sharedItems containsNonDate="0" containsString="0" containsBlank="1"/>
    </cacheField>
    <cacheField name="Photo-prod. ATPM/NADPHM" numFmtId="0">
      <sharedItems containsNonDate="0" containsString="0" containsBlank="1"/>
    </cacheField>
    <cacheField name="ASP/MAL decarboxilation" numFmtId="0">
      <sharedItems containsNonDate="0" containsString="0" containsBlank="1"/>
    </cacheField>
    <cacheField name="T/VP" numFmtId="0">
      <sharedItems containsNonDate="0" containsString="0" containsBlank="1"/>
    </cacheField>
    <cacheField name="GDCBS/GDCTOT" numFmtId="0">
      <sharedItems containsNonDate="0" containsString="0" containsBlank="1"/>
    </cacheField>
    <cacheField name="(ATPTOT+NADPHTOT)/GA" numFmtId="0">
      <sharedItems containsNonDate="0" containsString="0" containsBlank="1"/>
    </cacheField>
    <cacheField name="Cbs" numFmtId="0">
      <sharedItems containsSemiMixedTypes="0" containsString="0" containsNumber="1" minValue="135.24328594700873" maxValue="4484.5606550769426"/>
    </cacheField>
    <cacheField name="Vo/Vc" numFmtId="0">
      <sharedItems containsSemiMixedTypes="0" containsString="0" containsNumber="1" minValue="4.3759367871424447E-2" maxValue="0.66125125683977282"/>
    </cacheField>
    <cacheField name="gsmod" numFmtId="0">
      <sharedItems containsSemiMixedTypes="0" containsString="0" containsNumber="1" minValue="3.5846930820925119E-2" maxValue="0.30873025348098088"/>
    </cacheField>
    <cacheField name="Ci" numFmtId="0">
      <sharedItems containsSemiMixedTypes="0" containsString="0" containsNumber="1" minValue="75.153308510839736" maxValue="1018.1340144082947"/>
    </cacheField>
    <cacheField name="CM" numFmtId="0">
      <sharedItems containsSemiMixedTypes="0" containsString="0" containsNumber="1" minValue="23.25849242962466" maxValue="967.93185365756426"/>
    </cacheField>
    <cacheField name="Type" numFmtId="0">
      <sharedItems count="10">
        <s v="C3"/>
        <s v="C2"/>
        <s v="C2+0.25C4"/>
        <s v="C4"/>
        <s v="C2+0.5C4"/>
        <s v="C2+0.75C4"/>
        <s v="C3+0.25C4"/>
        <s v="C4-C2"/>
        <s v="C3+0.5C4"/>
        <s v="C3+0.75C4"/>
      </sharedItems>
    </cacheField>
    <cacheField name="Vpmax" numFmtId="0">
      <sharedItems containsSemiMixedTypes="0" containsString="0" containsNumber="1" minValue="0" maxValue="19.525354503836514"/>
    </cacheField>
    <cacheField name="VP2" numFmtId="0">
      <sharedItems containsSemiMixedTypes="0" containsString="0" containsNumber="1" minValue="0" maxValue="5.3287291164862003"/>
    </cacheField>
    <cacheField name="fNDH" numFmtId="0">
      <sharedItems containsSemiMixedTypes="0" containsString="0" containsNumber="1" minValue="0" maxValue="0.4"/>
    </cacheField>
    <cacheField name="csiGDC" numFmtId="0">
      <sharedItems containsSemiMixedTypes="0" containsString="0" containsNumber="1" containsInteger="1" minValue="0" maxValue="1"/>
    </cacheField>
    <cacheField name="fRlight" numFmtId="0">
      <sharedItems containsSemiMixedTypes="0" containsString="0" containsNumber="1" minValue="0" maxValue="0.5"/>
    </cacheField>
    <cacheField name="Nmax" numFmtId="0">
      <sharedItems containsSemiMixedTypes="0" containsString="0" containsNumber="1" minValue="0.1" maxValue="3" count="10">
        <n v="3"/>
        <n v="2.5"/>
        <n v="1.5"/>
        <n v="1"/>
        <n v="0.8"/>
        <n v="0.6"/>
        <n v="0.4"/>
        <n v="0.3"/>
        <n v="0.2"/>
        <n v="0.1"/>
      </sharedItems>
    </cacheField>
    <cacheField name="Chi_Rubiscoc" numFmtId="0">
      <sharedItems containsSemiMixedTypes="0" containsString="0" containsNumber="1" minValue="9.9999999999812695E-9" maxValue="0.99999999900000014"/>
    </cacheField>
    <cacheField name="fcyc2" numFmtId="0">
      <sharedItems containsSemiMixedTypes="0" containsString="0" containsNumber="1" minValue="1E-8" maxValue="0.36"/>
    </cacheField>
    <cacheField name="CM2" numFmtId="1">
      <sharedItems containsSemiMixedTypes="0" containsString="0" containsNumber="1" minValue="23.25849242962466" maxValue="967.93185365756426"/>
    </cacheField>
    <cacheField name="chi rubisco" numFmtId="0">
      <sharedItems containsSemiMixedTypes="0" containsString="0" containsNumber="1" minValue="9.9999999999812695E-9" maxValue="0.99999999900000014"/>
    </cacheField>
    <cacheField name="VCMAXmin" numFmtId="2">
      <sharedItems containsSemiMixedTypes="0" containsString="0" containsNumber="1" minValue="6.0071602464545331" maxValue="97.57864181622277"/>
    </cacheField>
    <cacheField name="JSAT" numFmtId="166">
      <sharedItems containsSemiMixedTypes="0" containsString="0" containsNumber="1" minValue="28.554903953960128" maxValue="255.29501617213631"/>
    </cacheField>
    <cacheField name="N tot leaf" numFmtId="1">
      <sharedItems containsSemiMixedTypes="0" containsString="0" containsNumber="1" minValue="11976.571355814756" maxValue="147990.4188118203"/>
    </cacheField>
    <cacheField name="Vcmax" numFmtId="166">
      <sharedItems containsSemiMixedTypes="0" containsString="0" containsNumber="1" minValue="8.7889089933171647" maxValue="127.90022190798405"/>
    </cacheField>
    <cacheField name="CR" numFmtId="0">
      <sharedItems containsSemiMixedTypes="0" containsString="0" containsNumber="1" minValue="16555.762582313953" maxValue="897207.09517235169"/>
    </cacheField>
    <cacheField name="Plot" numFmtId="0">
      <sharedItems count="4">
        <s v="A/PPFD"/>
        <s v="A/Ca"/>
        <s v="A/N"/>
        <s v="A/Psisoil"/>
      </sharedItems>
    </cacheField>
    <cacheField name="gR" numFmtId="0">
      <sharedItems containsSemiMixedTypes="0" containsString="0" containsNumber="1" minValue="1.1699575225493774E-6" maxValue="9.0515125161623243E-6"/>
    </cacheField>
    <cacheField name="CL" numFmtId="0">
      <sharedItems containsSemiMixedTypes="0" containsString="0" containsNumber="1" minValue="1319765.7135581477" maxValue="2679904.1881182031"/>
    </cacheField>
    <cacheField name="Cr/Cl" numFmtId="0">
      <sharedItems containsSemiMixedTypes="0" containsString="0" containsNumber="1" minValue="1.1503595738753442E-2" maxValue="0.6765532801442207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00">
  <r>
    <x v="0"/>
    <n v="100"/>
    <n v="25"/>
    <x v="0"/>
    <n v="3.451811912449998"/>
    <n v="1.0235881302857013"/>
    <n v="4.2397505630487275"/>
    <n v="0"/>
    <m/>
    <n v="2.2469176158708918E-2"/>
    <n v="1E-8"/>
    <n v="18.035039849907889"/>
    <n v="10.821023825781213"/>
    <n v="-7.6924454219174848E-2"/>
    <m/>
    <m/>
    <m/>
    <m/>
    <m/>
    <m/>
    <m/>
    <m/>
    <m/>
    <m/>
    <m/>
    <s v="-"/>
    <m/>
    <m/>
    <m/>
    <m/>
    <m/>
    <m/>
    <m/>
    <m/>
    <m/>
    <m/>
    <m/>
    <n v="334.60334650716186"/>
    <n v="0.24142649787152989"/>
    <n v="0.18816002158594397"/>
    <n v="381.65491328415186"/>
    <n v="373.06557361674925"/>
    <x v="0"/>
    <n v="0"/>
    <n v="0"/>
    <n v="0"/>
    <n v="0"/>
    <n v="0"/>
    <x v="0"/>
    <n v="2.5000010000000003E-2"/>
    <n v="1E-8"/>
    <n v="373.06557361674925"/>
    <n v="2.5000010000000003E-2"/>
    <n v="11.365331395708402"/>
    <n v="83.560138139256509"/>
    <n v="33328.120017501278"/>
    <n v="26.897696043094967"/>
    <n v="24177.350637166353"/>
    <x v="0"/>
    <n v="2.0090662682645153E-6"/>
    <n v="1533281.2001750129"/>
    <n v="1.5768373494964058E-2"/>
  </r>
  <r>
    <x v="0"/>
    <n v="200"/>
    <n v="25"/>
    <x v="0"/>
    <n v="6.0307084646441993"/>
    <n v="1.8188142637725686"/>
    <n v="7.2788174816612763"/>
    <n v="0"/>
    <m/>
    <n v="3.4133695298236026E-4"/>
    <n v="1E-8"/>
    <n v="32.278678079038855"/>
    <n v="19.367206696789484"/>
    <n v="-2.1689135825175582E-3"/>
    <m/>
    <m/>
    <m/>
    <m/>
    <m/>
    <m/>
    <m/>
    <m/>
    <m/>
    <m/>
    <m/>
    <s v="-"/>
    <m/>
    <m/>
    <m/>
    <m/>
    <m/>
    <m/>
    <m/>
    <m/>
    <m/>
    <m/>
    <m/>
    <n v="358.46446376737356"/>
    <n v="0.24987771274042891"/>
    <n v="0.23701424979336749"/>
    <n v="374.555502591503"/>
    <n v="359.54892055863235"/>
    <x v="0"/>
    <n v="0"/>
    <n v="0"/>
    <n v="0"/>
    <n v="0"/>
    <n v="0"/>
    <x v="0"/>
    <n v="3.4180930660546497E-4"/>
    <n v="1E-8"/>
    <n v="359.54892055863235"/>
    <n v="3.4180930660546497E-4"/>
    <n v="19.940934414564449"/>
    <n v="101.42041474267647"/>
    <n v="42949.873871614909"/>
    <n v="34.060339309640653"/>
    <n v="52997.653262362568"/>
    <x v="0"/>
    <n v="3.3696814894161166E-6"/>
    <n v="1629498.7387161492"/>
    <n v="3.2523899530059408E-2"/>
  </r>
  <r>
    <x v="0"/>
    <n v="300"/>
    <n v="25"/>
    <x v="0"/>
    <n v="8.2809937858056522"/>
    <n v="2.5943481832590072"/>
    <n v="9.9992874944128367"/>
    <n v="0"/>
    <m/>
    <n v="2.7440444394957237E-4"/>
    <n v="1E-8"/>
    <n v="45.332477534289715"/>
    <n v="27.199486309022266"/>
    <n v="-2.3812633793363885E-3"/>
    <m/>
    <m/>
    <m/>
    <m/>
    <m/>
    <m/>
    <m/>
    <m/>
    <m/>
    <m/>
    <m/>
    <s v="-"/>
    <m/>
    <m/>
    <m/>
    <m/>
    <m/>
    <m/>
    <m/>
    <m/>
    <m/>
    <m/>
    <m/>
    <n v="345.08845668688906"/>
    <n v="0.25945330451880849"/>
    <n v="0.25006899636894397"/>
    <n v="366.88516407052663"/>
    <n v="346.27908837655724"/>
    <x v="0"/>
    <n v="0"/>
    <n v="0"/>
    <n v="0"/>
    <n v="0"/>
    <n v="0"/>
    <x v="0"/>
    <n v="2.7476694732853806E-4"/>
    <n v="1E-8"/>
    <n v="346.27908837655724"/>
    <n v="2.7476694732853806E-4"/>
    <n v="28.060472080157091"/>
    <n v="123.97093351086254"/>
    <n v="56634.07088334961"/>
    <n v="44.476913280209857"/>
    <n v="90902.106546432551"/>
    <x v="0"/>
    <n v="4.2359158288440164E-6"/>
    <n v="1766340.7088334961"/>
    <n v="5.1463517820672856E-2"/>
  </r>
  <r>
    <x v="0"/>
    <n v="400"/>
    <n v="25"/>
    <x v="0"/>
    <n v="10.201722114179102"/>
    <n v="3.308895491038236"/>
    <n v="12.344597154153576"/>
    <n v="0"/>
    <m/>
    <n v="2.3378772469072158E-4"/>
    <n v="1E-8"/>
    <n v="56.992725519263985"/>
    <n v="34.19563504559234"/>
    <n v="-2.4915974106314446E-3"/>
    <m/>
    <m/>
    <m/>
    <m/>
    <m/>
    <m/>
    <m/>
    <m/>
    <m/>
    <m/>
    <m/>
    <s v="-"/>
    <m/>
    <m/>
    <m/>
    <m/>
    <m/>
    <m/>
    <m/>
    <m/>
    <m/>
    <m/>
    <m/>
    <n v="333.93513736240453"/>
    <n v="0.26804402360954283"/>
    <n v="0.25870672722797272"/>
    <n v="360.56645985402099"/>
    <n v="335.18093606772032"/>
    <x v="0"/>
    <n v="0"/>
    <n v="0"/>
    <n v="0"/>
    <n v="0"/>
    <n v="0"/>
    <x v="0"/>
    <n v="2.3408377054564704E-4"/>
    <n v="1E-8"/>
    <n v="335.18093606772032"/>
    <n v="2.3408377054564704E-4"/>
    <n v="35.380276308221077"/>
    <n v="141.84135981052717"/>
    <n v="68501.86351085623"/>
    <n v="53.529557971614864"/>
    <n v="130084.7821036377"/>
    <x v="0"/>
    <n v="4.8325039379667933E-6"/>
    <n v="1885018.6351085622"/>
    <n v="6.9009812253737132E-2"/>
  </r>
  <r>
    <x v="0"/>
    <n v="600"/>
    <n v="25"/>
    <x v="0"/>
    <n v="13.303372425961829"/>
    <n v="4.5789344592556169"/>
    <n v="16.187104666829651"/>
    <n v="0"/>
    <m/>
    <n v="1.8660687668338213E-4"/>
    <n v="1E-8"/>
    <n v="76.941606543353458"/>
    <n v="46.164963566951243"/>
    <n v="-2.5844978804058895E-3"/>
    <m/>
    <m/>
    <m/>
    <m/>
    <m/>
    <m/>
    <m/>
    <m/>
    <m/>
    <m/>
    <m/>
    <s v="-"/>
    <m/>
    <m/>
    <m/>
    <m/>
    <m/>
    <m/>
    <m/>
    <m/>
    <m/>
    <m/>
    <m/>
    <n v="316.31480232958467"/>
    <n v="0.2828754464434084"/>
    <n v="0.26990330268944002"/>
    <n v="350.71059785708087"/>
    <n v="317.60705126978769"/>
    <x v="0"/>
    <n v="0"/>
    <n v="0"/>
    <n v="0"/>
    <n v="0"/>
    <n v="0"/>
    <x v="0"/>
    <n v="1.8682755753728441E-4"/>
    <n v="1E-8"/>
    <n v="317.60705126978769"/>
    <n v="1.8682755753728441E-4"/>
    <n v="48.06446847847625"/>
    <n v="168.98115255493838"/>
    <n v="88235.467403359813"/>
    <n v="68.724851941066959"/>
    <n v="206974.83565337915"/>
    <x v="0"/>
    <n v="5.5688437219023853E-6"/>
    <n v="2082354.674033598"/>
    <n v="9.9394612375259414E-2"/>
  </r>
  <r>
    <x v="0"/>
    <n v="800"/>
    <n v="25"/>
    <x v="0"/>
    <n v="15.666771938940043"/>
    <n v="5.6559851951047158"/>
    <n v="19.16822457143649"/>
    <n v="0"/>
    <m/>
    <n v="1.5935096870265826E-4"/>
    <n v="1E-8"/>
    <n v="93.199835575622274"/>
    <n v="55.919900910440795"/>
    <n v="-2.5942841171995891E-3"/>
    <m/>
    <m/>
    <m/>
    <m/>
    <m/>
    <m/>
    <m/>
    <m/>
    <m/>
    <m/>
    <m/>
    <s v="-"/>
    <m/>
    <m/>
    <m/>
    <m/>
    <m/>
    <m/>
    <m/>
    <m/>
    <m/>
    <m/>
    <m/>
    <n v="303.18300206172677"/>
    <n v="0.29507089579558538"/>
    <n v="0.2771160394461421"/>
    <n v="343.46493992100773"/>
    <n v="304.48014412032654"/>
    <x v="0"/>
    <n v="0"/>
    <n v="0"/>
    <n v="0"/>
    <n v="0"/>
    <n v="0"/>
    <x v="0"/>
    <n v="1.5952877710595777E-4"/>
    <n v="1E-8"/>
    <n v="304.48014412032654"/>
    <n v="1.5952877710595777E-4"/>
    <n v="58.543738623491322"/>
    <n v="188.46812606706447"/>
    <n v="103751.35924220887"/>
    <n v="80.915887910570461"/>
    <n v="277505.74640994036"/>
    <x v="0"/>
    <n v="5.9777931554584206E-6"/>
    <n v="2237513.5924220886"/>
    <n v="0.1240241611714827"/>
  </r>
  <r>
    <x v="0"/>
    <n v="1000"/>
    <n v="25"/>
    <x v="0"/>
    <n v="17.484486180906806"/>
    <n v="6.5568703761220695"/>
    <n v="21.496358784307962"/>
    <n v="0"/>
    <m/>
    <n v="1.4158055034851484E-4"/>
    <n v="1E-8"/>
    <n v="106.42928541020052"/>
    <n v="63.857570749450311"/>
    <n v="-2.5694627341751098E-3"/>
    <m/>
    <m/>
    <m/>
    <m/>
    <m/>
    <m/>
    <m/>
    <m/>
    <m/>
    <m/>
    <m/>
    <s v="-"/>
    <m/>
    <m/>
    <m/>
    <m/>
    <m/>
    <m/>
    <m/>
    <m/>
    <m/>
    <m/>
    <m/>
    <n v="293.26160675503814"/>
    <n v="0.30502237341277039"/>
    <n v="0.28225358867912637"/>
    <n v="338.05398095120893"/>
    <n v="294.54633812212575"/>
    <x v="0"/>
    <n v="0"/>
    <n v="0"/>
    <n v="0"/>
    <n v="0"/>
    <n v="0"/>
    <x v="0"/>
    <n v="1.417305905694025E-4"/>
    <n v="1E-8"/>
    <n v="294.54633812212575"/>
    <n v="1.417305905694025E-4"/>
    <n v="67.143603800744302"/>
    <n v="202.67365917888796"/>
    <n v="115895.7369734461"/>
    <n v="90.701306957160227"/>
    <n v="339265.36502599507"/>
    <x v="0"/>
    <n v="6.221323977700775E-6"/>
    <n v="2358957.369734461"/>
    <n v="0.14382004922123071"/>
  </r>
  <r>
    <x v="0"/>
    <n v="1300"/>
    <n v="25"/>
    <x v="0"/>
    <n v="19.471596950572533"/>
    <n v="7.6211630155149397"/>
    <n v="24.079674821300266"/>
    <n v="0"/>
    <m/>
    <n v="1.2429726247166207E-4"/>
    <n v="1E-8"/>
    <n v="121.73317605185218"/>
    <n v="73.039905063023141"/>
    <n v="-2.5094749452377664E-3"/>
    <m/>
    <m/>
    <m/>
    <m/>
    <m/>
    <m/>
    <m/>
    <m/>
    <m/>
    <m/>
    <m/>
    <s v="-"/>
    <m/>
    <m/>
    <m/>
    <m/>
    <m/>
    <m/>
    <m/>
    <m/>
    <m/>
    <m/>
    <m/>
    <n v="282.61210021006298"/>
    <n v="0.31649775472771141"/>
    <n v="0.28769716698403341"/>
    <n v="332.31912168376283"/>
    <n v="283.86683768268182"/>
    <x v="0"/>
    <n v="0"/>
    <n v="0"/>
    <n v="0"/>
    <n v="0"/>
    <n v="0"/>
    <x v="0"/>
    <n v="1.2442040461073522E-4"/>
    <n v="1E-8"/>
    <n v="283.86683768268182"/>
    <n v="1.2442040461073522E-4"/>
    <n v="77.13625151961007"/>
    <n v="217.17279074766361"/>
    <n v="129245.91170366916"/>
    <n v="101.82575444044255"/>
    <n v="414657.01184911287"/>
    <x v="0"/>
    <n v="6.4313451167262303E-6"/>
    <n v="2492459.1170366919"/>
    <n v="0.16636461918865994"/>
  </r>
  <r>
    <x v="0"/>
    <n v="1600"/>
    <n v="25"/>
    <x v="0"/>
    <n v="20.840369456016841"/>
    <n v="8.4053917091780903"/>
    <n v="25.883023244285447"/>
    <n v="0"/>
    <m/>
    <n v="1.1328919225536573E-4"/>
    <n v="1E-8"/>
    <n v="132.89005181288127"/>
    <n v="79.734030467575167"/>
    <n v="-2.4463535274353351E-3"/>
    <m/>
    <m/>
    <m/>
    <m/>
    <m/>
    <m/>
    <m/>
    <m/>
    <m/>
    <m/>
    <m/>
    <s v="-"/>
    <m/>
    <m/>
    <m/>
    <m/>
    <m/>
    <m/>
    <m/>
    <m/>
    <m/>
    <m/>
    <m/>
    <n v="275.43423924640689"/>
    <n v="0.32474536030229256"/>
    <n v="0.29153767530052299"/>
    <n v="328.51569034933766"/>
    <n v="276.65741601012456"/>
    <x v="0"/>
    <n v="0"/>
    <n v="0"/>
    <n v="0"/>
    <n v="0"/>
    <n v="0"/>
    <x v="0"/>
    <n v="1.133951390758425E-4"/>
    <n v="1E-8"/>
    <n v="276.65741601012456"/>
    <n v="1.133951390758425E-4"/>
    <n v="84.399198458872519"/>
    <n v="226.28148880306424"/>
    <n v="138331.09547878962"/>
    <n v="109.70168466875965"/>
    <n v="471420.16963794868"/>
    <x v="0"/>
    <n v="6.5503071586138987E-6"/>
    <n v="2583310.954787896"/>
    <n v="0.1824868077782974"/>
  </r>
  <r>
    <x v="0"/>
    <n v="1900"/>
    <n v="25"/>
    <x v="0"/>
    <n v="21.816352892461079"/>
    <n v="8.9929014351339571"/>
    <n v="27.182088499630041"/>
    <n v="0"/>
    <m/>
    <n v="1.0570870043205793E-4"/>
    <n v="1E-8"/>
    <n v="141.15517451225145"/>
    <n v="84.693104048626722"/>
    <n v="-2.3884721012336131E-3"/>
    <m/>
    <m/>
    <m/>
    <m/>
    <m/>
    <m/>
    <m/>
    <m/>
    <m/>
    <m/>
    <m/>
    <s v="-"/>
    <m/>
    <m/>
    <m/>
    <m/>
    <m/>
    <m/>
    <m/>
    <m/>
    <m/>
    <m/>
    <m/>
    <n v="270.36729197678136"/>
    <n v="0.33083923758310013"/>
    <n v="0.29421284125211611"/>
    <n v="325.8484000915301"/>
    <n v="271.5615280273982"/>
    <x v="0"/>
    <n v="0"/>
    <n v="0"/>
    <n v="0"/>
    <n v="0"/>
    <n v="0"/>
    <x v="0"/>
    <n v="1.0580312417341816E-4"/>
    <n v="1E-8"/>
    <n v="271.5615280273982"/>
    <n v="1.0580312417341816E-4"/>
    <n v="89.788355364510082"/>
    <n v="232.21437802081454"/>
    <n v="144748.31998427291"/>
    <n v="115.49957781997878"/>
    <n v="514436.28459731583"/>
    <x v="0"/>
    <n v="6.6237925514844925E-6"/>
    <n v="2647483.1998427291"/>
    <n v="0.19431144440420825"/>
  </r>
  <r>
    <x v="0"/>
    <n v="1000"/>
    <n v="25"/>
    <x v="1"/>
    <n v="10.789334568586261"/>
    <n v="11.511755620548849"/>
    <n v="17.410983268448149"/>
    <n v="0"/>
    <m/>
    <n v="1.0796951287400861E-4"/>
    <n v="1E-8"/>
    <n v="111.45800378433283"/>
    <n v="66.874801750462339"/>
    <n v="-1.250706230623286E-3"/>
    <m/>
    <m/>
    <m/>
    <m/>
    <m/>
    <m/>
    <m/>
    <m/>
    <m/>
    <m/>
    <m/>
    <s v="-"/>
    <m/>
    <m/>
    <m/>
    <m/>
    <m/>
    <m/>
    <m/>
    <m/>
    <m/>
    <m/>
    <m/>
    <n v="135.25823395500856"/>
    <n v="0.66117780041809771"/>
    <n v="0.28950282143064682"/>
    <n v="162.73150460065222"/>
    <n v="135.8835870703202"/>
    <x v="0"/>
    <n v="0"/>
    <n v="0"/>
    <n v="0"/>
    <n v="0"/>
    <n v="0"/>
    <x v="0"/>
    <n v="1.0809741824651307E-4"/>
    <n v="1E-8"/>
    <n v="135.8835870703202"/>
    <n v="1.0809741824651307E-4"/>
    <n v="97.552865413985728"/>
    <n v="218.47553865370713"/>
    <n v="147933.98876243163"/>
    <n v="127.83281718127856"/>
    <n v="220031.1482145928"/>
    <x v="1"/>
    <n v="3.4858522879580415E-6"/>
    <n v="2679339.8876243164"/>
    <n v="8.2121402077765984E-2"/>
  </r>
  <r>
    <x v="0"/>
    <n v="1000"/>
    <n v="25"/>
    <x v="2"/>
    <n v="14.896004635222193"/>
    <n v="8.495650660686902"/>
    <n v="19.930439124147174"/>
    <n v="0"/>
    <m/>
    <n v="1.2354614317383635E-4"/>
    <n v="1E-8"/>
    <n v="108.59097264058825"/>
    <n v="65.154583077595078"/>
    <n v="-1.9283765158920772E-3"/>
    <m/>
    <m/>
    <m/>
    <m/>
    <m/>
    <m/>
    <m/>
    <m/>
    <m/>
    <m/>
    <m/>
    <s v="-"/>
    <m/>
    <m/>
    <m/>
    <m/>
    <m/>
    <m/>
    <m/>
    <m/>
    <m/>
    <m/>
    <m/>
    <n v="209.80422200017654"/>
    <n v="0.42626510172542081"/>
    <n v="0.28555552667169543"/>
    <n v="247.83499794648276"/>
    <n v="210.76841025812257"/>
    <x v="0"/>
    <n v="0"/>
    <n v="0"/>
    <n v="0"/>
    <n v="0"/>
    <n v="0"/>
    <x v="0"/>
    <n v="1.2368846707598265E-4"/>
    <n v="1E-8"/>
    <n v="210.76841025812257"/>
    <n v="1.2368846707598265E-4"/>
    <n v="79.074974012494479"/>
    <n v="209.32383209812448"/>
    <n v="128579.69295803025"/>
    <n v="105.31983133448773"/>
    <n v="298084.69644482696"/>
    <x v="1"/>
    <n v="5.1008354613906755E-6"/>
    <n v="2485796.9295803024"/>
    <n v="0.11991514387104624"/>
  </r>
  <r>
    <x v="0"/>
    <n v="1000"/>
    <n v="25"/>
    <x v="0"/>
    <n v="17.48501113075335"/>
    <n v="6.557225444730987"/>
    <n v="21.497094744421002"/>
    <n v="0"/>
    <m/>
    <n v="1.4155503160006457E-4"/>
    <n v="1E-8"/>
    <n v="106.43066780406795"/>
    <n v="63.858400185764324"/>
    <n v="-2.5690795335037864E-3"/>
    <m/>
    <m/>
    <m/>
    <m/>
    <m/>
    <m/>
    <m/>
    <m/>
    <m/>
    <m/>
    <m/>
    <s v="-"/>
    <m/>
    <m/>
    <m/>
    <m/>
    <m/>
    <m/>
    <m/>
    <m/>
    <m/>
    <m/>
    <m/>
    <n v="293.25593253426416"/>
    <n v="0.30502844792237521"/>
    <n v="0.28224124895425506"/>
    <n v="338.04941270796576"/>
    <n v="294.54047230101611"/>
    <x v="0"/>
    <n v="0"/>
    <n v="0"/>
    <n v="0"/>
    <n v="0"/>
    <n v="0"/>
    <x v="0"/>
    <n v="1.4170505723194168E-4"/>
    <n v="1E-8"/>
    <n v="294.54047230101611"/>
    <n v="1.4170505723194168E-4"/>
    <n v="67.146811657344145"/>
    <n v="202.67784659092436"/>
    <n v="115903.67248103992"/>
    <n v="90.710509929938681"/>
    <n v="339292.32067219971"/>
    <x v="1"/>
    <n v="6.2212608701103622E-6"/>
    <n v="2359036.7248103991"/>
    <n v="0.14382663784069294"/>
  </r>
  <r>
    <x v="0"/>
    <n v="1000"/>
    <n v="25"/>
    <x v="3"/>
    <n v="19.207268019357912"/>
    <n v="5.2825057787066179"/>
    <n v="22.547285384243416"/>
    <n v="0"/>
    <m/>
    <n v="1.608079373319607E-4"/>
    <n v="1E-8"/>
    <n v="104.99714255478295"/>
    <n v="62.998285042883111"/>
    <n v="-3.1908081101398988E-3"/>
    <m/>
    <m/>
    <m/>
    <m/>
    <m/>
    <m/>
    <m/>
    <m/>
    <m/>
    <m/>
    <m/>
    <s v="-"/>
    <m/>
    <m/>
    <m/>
    <m/>
    <m/>
    <m/>
    <m/>
    <m/>
    <m/>
    <m/>
    <m/>
    <n v="381.88186918140866"/>
    <n v="0.23428566626464753"/>
    <n v="0.27946734093226666"/>
    <n v="431.27186899447724"/>
    <n v="383.47727323647854"/>
    <x v="0"/>
    <n v="0"/>
    <n v="0"/>
    <n v="0"/>
    <n v="0"/>
    <n v="0"/>
    <x v="0"/>
    <n v="1.6096383208540332E-4"/>
    <n v="1E-8"/>
    <n v="383.47727323647854"/>
    <n v="1.6096383208540332E-4"/>
    <n v="59.322731700358595"/>
    <n v="198.37894519704895"/>
    <n v="107702.19906540036"/>
    <n v="81.126845015828636"/>
    <n v="362664.5200462353"/>
    <x v="1"/>
    <n v="7.0122293687137059E-6"/>
    <n v="2277021.9906540038"/>
    <n v="0.15927141746315379"/>
  </r>
  <r>
    <x v="0"/>
    <n v="1000"/>
    <n v="25"/>
    <x v="4"/>
    <n v="20.412487961729951"/>
    <n v="4.3991033481544415"/>
    <n v="23.286928433104617"/>
    <n v="0"/>
    <m/>
    <n v="1.8085504227052592E-4"/>
    <n v="1E-8"/>
    <n v="104.02030914549545"/>
    <n v="62.412185001869155"/>
    <n v="-3.8032382979661513E-3"/>
    <m/>
    <m/>
    <m/>
    <m/>
    <m/>
    <m/>
    <m/>
    <m/>
    <m/>
    <m/>
    <m/>
    <s v="-"/>
    <m/>
    <m/>
    <m/>
    <m/>
    <m/>
    <m/>
    <m/>
    <m/>
    <m/>
    <m/>
    <m/>
    <n v="473.68915421625451"/>
    <n v="0.18890869874880928"/>
    <n v="0.27728492483881551"/>
    <n v="526.38442939660126"/>
    <n v="475.59077336523757"/>
    <x v="0"/>
    <n v="0"/>
    <n v="0"/>
    <n v="0"/>
    <n v="0"/>
    <n v="0"/>
    <x v="0"/>
    <n v="1.8101577184295538E-4"/>
    <n v="1E-8"/>
    <n v="475.59077336523757"/>
    <n v="1.8101577184295538E-4"/>
    <n v="53.912354123490751"/>
    <n v="195.49822020313809"/>
    <n v="102086.0386118176"/>
    <n v="74.457298715840324"/>
    <n v="376851.58305254404"/>
    <x v="1"/>
    <n v="7.5901723246472947E-6"/>
    <n v="2220860.3861181759"/>
    <n v="0.16968720114425559"/>
  </r>
  <r>
    <x v="0"/>
    <n v="1000"/>
    <n v="25"/>
    <x v="5"/>
    <n v="21.301569119665064"/>
    <n v="3.7598534873121059"/>
    <n v="23.839439235690037"/>
    <n v="0"/>
    <m/>
    <n v="2.0103773371750813E-4"/>
    <n v="1E-8"/>
    <n v="103.33856455677119"/>
    <n v="62.003138251816083"/>
    <n v="-4.4039816132381161E-3"/>
    <m/>
    <m/>
    <m/>
    <m/>
    <m/>
    <m/>
    <m/>
    <m/>
    <m/>
    <m/>
    <m/>
    <s v="-"/>
    <m/>
    <m/>
    <m/>
    <m/>
    <m/>
    <m/>
    <m/>
    <m/>
    <m/>
    <m/>
    <m/>
    <n v="567.4511793366546"/>
    <n v="0.15771568492614654"/>
    <n v="0.27542425920010871"/>
    <n v="622.65906720951375"/>
    <n v="569.65317014327377"/>
    <x v="0"/>
    <n v="0"/>
    <n v="0"/>
    <n v="0"/>
    <n v="0"/>
    <n v="0"/>
    <x v="0"/>
    <n v="2.0120246796963612E-4"/>
    <n v="1E-8"/>
    <n v="569.65317014327377"/>
    <n v="2.0120246796963612E-4"/>
    <n v="50.01457171112105"/>
    <n v="193.51040410267788"/>
    <n v="98110.198980427886"/>
    <n v="69.666944844889343"/>
    <n v="386358.22159904515"/>
    <x v="1"/>
    <n v="8.0265222738184896E-6"/>
    <n v="2181101.9898042791"/>
    <n v="0.17713899827018861"/>
  </r>
  <r>
    <x v="0"/>
    <n v="1000"/>
    <n v="25"/>
    <x v="6"/>
    <n v="21.980446834337918"/>
    <n v="3.2780050057758103"/>
    <n v="24.264778236111244"/>
    <n v="0"/>
    <m/>
    <n v="2.21227023650223E-4"/>
    <n v="1E-8"/>
    <n v="102.84009892903872"/>
    <n v="61.704058877502767"/>
    <n v="-4.9945951132511594E-3"/>
    <m/>
    <m/>
    <m/>
    <m/>
    <m/>
    <m/>
    <m/>
    <m/>
    <m/>
    <m/>
    <m/>
    <s v="-"/>
    <m/>
    <m/>
    <m/>
    <m/>
    <m/>
    <m/>
    <m/>
    <m/>
    <m/>
    <m/>
    <m/>
    <n v="662.54940917175429"/>
    <n v="0.13509313680425189"/>
    <n v="0.27387199745547186"/>
    <n v="719.74189753404175"/>
    <n v="665.04670672837983"/>
    <x v="0"/>
    <n v="0"/>
    <n v="0"/>
    <n v="0"/>
    <n v="0"/>
    <n v="0"/>
    <x v="0"/>
    <n v="2.2139497001112007E-4"/>
    <n v="1E-8"/>
    <n v="665.04670672837983"/>
    <n v="2.2139497001112007E-4"/>
    <n v="47.08540542669995"/>
    <n v="192.06855068278065"/>
    <n v="95155.080952904726"/>
    <n v="66.063008871387467"/>
    <n v="393031.43423137954"/>
    <x v="1"/>
    <n v="8.3660552801853696E-6"/>
    <n v="2151550.8095290475"/>
    <n v="0.18267355457778386"/>
  </r>
  <r>
    <x v="0"/>
    <n v="1000"/>
    <n v="25"/>
    <x v="7"/>
    <n v="22.513826768822515"/>
    <n v="2.9029127264332821"/>
    <n v="24.600875752160619"/>
    <n v="0"/>
    <m/>
    <n v="2.4141895872363637E-4"/>
    <n v="1E-8"/>
    <n v="102.46194182986716"/>
    <n v="61.477164619764558"/>
    <n v="-5.5777768653675914E-3"/>
    <m/>
    <m/>
    <m/>
    <m/>
    <m/>
    <m/>
    <m/>
    <m/>
    <m/>
    <m/>
    <m/>
    <s v="-"/>
    <m/>
    <m/>
    <m/>
    <m/>
    <m/>
    <m/>
    <m/>
    <m/>
    <m/>
    <m/>
    <m/>
    <n v="758.5921380226207"/>
    <n v="0.1180003815993554"/>
    <n v="0.27257711516811106"/>
    <n v="817.40382623487233"/>
    <n v="761.38102645530455"/>
    <x v="0"/>
    <n v="0"/>
    <n v="0"/>
    <n v="0"/>
    <n v="0"/>
    <n v="0"/>
    <x v="0"/>
    <n v="2.4158954364261571E-4"/>
    <n v="1E-8"/>
    <n v="761.38102645530455"/>
    <n v="2.4158954364261571E-4"/>
    <n v="44.810206887248519"/>
    <n v="190.98112036224319"/>
    <n v="92876.501021708187"/>
    <n v="63.255927686341309"/>
    <n v="397900.65454917058"/>
    <x v="1"/>
    <n v="8.6369981466325874E-6"/>
    <n v="2128765.0102170818"/>
    <n v="0.18691619443171628"/>
  </r>
  <r>
    <x v="0"/>
    <n v="1000"/>
    <n v="25"/>
    <x v="8"/>
    <n v="22.454138192518268"/>
    <n v="2.6092643418708419"/>
    <n v="24.371224118284772"/>
    <n v="0"/>
    <m/>
    <n v="4.1313835116757847E-2"/>
    <n v="1E-8"/>
    <n v="99.365824477030202"/>
    <n v="59.61949422251093"/>
    <n v="-0.70731596657510776"/>
    <m/>
    <m/>
    <m/>
    <m/>
    <m/>
    <m/>
    <m/>
    <m/>
    <m/>
    <m/>
    <m/>
    <s v="-"/>
    <m/>
    <m/>
    <m/>
    <m/>
    <m/>
    <m/>
    <m/>
    <m/>
    <m/>
    <m/>
    <m/>
    <n v="505.88472313636174"/>
    <n v="0.10706332719304047"/>
    <n v="0.26546744870653077"/>
    <n v="915.41660455199201"/>
    <n v="859.54270642391566"/>
    <x v="0"/>
    <n v="0"/>
    <n v="0"/>
    <n v="0"/>
    <n v="0"/>
    <n v="0"/>
    <x v="0"/>
    <n v="5.0000010000000004E-2"/>
    <n v="1E-8"/>
    <n v="859.54270642391566"/>
    <n v="5.0000010000000004E-2"/>
    <n v="42.516188320878783"/>
    <n v="182.27877069036015"/>
    <n v="89240.501631986539"/>
    <n v="62.70273124207305"/>
    <n v="385552.95141489687"/>
    <x v="1"/>
    <n v="8.7889391877861709E-6"/>
    <n v="2092405.0163198654"/>
    <n v="0.18426306016653016"/>
  </r>
  <r>
    <x v="0"/>
    <n v="1000"/>
    <n v="25"/>
    <x v="9"/>
    <n v="23.297623057763445"/>
    <n v="2.3589644963423213"/>
    <n v="25.098765980349928"/>
    <n v="0"/>
    <m/>
    <n v="2.8150427071614017E-4"/>
    <n v="1E-8"/>
    <n v="101.93504642528595"/>
    <n v="61.161027379474689"/>
    <n v="-6.7223362628791037E-3"/>
    <m/>
    <m/>
    <m/>
    <m/>
    <m/>
    <m/>
    <m/>
    <m/>
    <m/>
    <m/>
    <m/>
    <s v="-"/>
    <m/>
    <m/>
    <m/>
    <m/>
    <m/>
    <m/>
    <m/>
    <m/>
    <m/>
    <m/>
    <m/>
    <n v="952.54768640709062"/>
    <n v="9.3987270058981304E-2"/>
    <n v="0.27053140051899294"/>
    <n v="1013.8820003405564"/>
    <n v="955.90885453853025"/>
    <x v="0"/>
    <n v="0"/>
    <n v="0"/>
    <n v="0"/>
    <n v="0"/>
    <n v="0"/>
    <x v="0"/>
    <n v="2.8167874922488271E-4"/>
    <n v="1E-8"/>
    <n v="955.90885453853025"/>
    <n v="2.8167874922488271E-4"/>
    <n v="41.521269295821185"/>
    <n v="189.47509368369242"/>
    <n v="89617.047754782776"/>
    <n v="59.189176082435118"/>
    <n v="404520.59791150317"/>
    <x v="1"/>
    <n v="9.0409842245281766E-6"/>
    <n v="2096170.4775478276"/>
    <n v="0.19298077243446596"/>
  </r>
  <r>
    <x v="0"/>
    <n v="1000"/>
    <n v="25"/>
    <x v="0"/>
    <n v="17.483573924354996"/>
    <n v="6.5562582542086112"/>
    <n v="21.495082589754116"/>
    <n v="0"/>
    <m/>
    <n v="1.4157486582764666E-4"/>
    <n v="1E-8"/>
    <n v="106.42689294750636"/>
    <n v="63.856135271844977"/>
    <n v="-2.56922415877698E-3"/>
    <m/>
    <m/>
    <m/>
    <m/>
    <m/>
    <m/>
    <m/>
    <m/>
    <m/>
    <m/>
    <m/>
    <s v="-"/>
    <m/>
    <m/>
    <m/>
    <m/>
    <m/>
    <m/>
    <m/>
    <m/>
    <m/>
    <m/>
    <m/>
    <n v="293.27173794726588"/>
    <n v="0.30501200573817422"/>
    <n v="0.28227494170865025"/>
    <n v="338.06189873417583"/>
    <n v="294.55635002665434"/>
    <x v="0"/>
    <n v="0"/>
    <n v="0"/>
    <n v="0"/>
    <n v="0"/>
    <n v="0"/>
    <x v="0"/>
    <n v="1.4172482560829833E-4"/>
    <n v="1E-8"/>
    <n v="294.55635002665434"/>
    <n v="1.4172482560829833E-4"/>
    <n v="67.138066170942651"/>
    <n v="202.66641235886297"/>
    <n v="115882.01944454643"/>
    <n v="90.685402959063524"/>
    <n v="339218.65758426196"/>
    <x v="2"/>
    <n v="6.221431578390823E-6"/>
    <n v="2358820.1944454643"/>
    <n v="0.14380861177255139"/>
  </r>
  <r>
    <x v="0"/>
    <n v="1000"/>
    <n v="25"/>
    <x v="0"/>
    <n v="16.900646572211272"/>
    <n v="6.2365431326637184"/>
    <n v="20.712325963067251"/>
    <n v="0"/>
    <m/>
    <n v="1.3750335510973852E-4"/>
    <n v="1E-8"/>
    <n v="102.5682979571029"/>
    <n v="61.540978295609683"/>
    <n v="-2.4107470715957631E-3"/>
    <m/>
    <m/>
    <m/>
    <m/>
    <m/>
    <m/>
    <m/>
    <m/>
    <m/>
    <m/>
    <m/>
    <s v="-"/>
    <m/>
    <m/>
    <m/>
    <m/>
    <m/>
    <m/>
    <m/>
    <m/>
    <m/>
    <m/>
    <m/>
    <n v="297.17498955200369"/>
    <n v="0.30110298301524802"/>
    <n v="0.2837363673878131"/>
    <n v="340.43538821686775"/>
    <n v="298.38036308780158"/>
    <x v="0"/>
    <n v="0"/>
    <n v="0"/>
    <n v="0"/>
    <n v="0"/>
    <n v="0"/>
    <x v="1"/>
    <n v="1.3763441485547075E-4"/>
    <n v="1E-8"/>
    <n v="298.38036308780158"/>
    <n v="1.3763441485547075E-4"/>
    <n v="64.129535145732206"/>
    <n v="191.28640265728407"/>
    <n v="108330.22016551126"/>
    <n v="86.076727152363873"/>
    <n v="386986.00011299085"/>
    <x v="2"/>
    <n v="6.061516301656454E-6"/>
    <n v="2283302.2016551127"/>
    <n v="0.16948523057196446"/>
  </r>
  <r>
    <x v="0"/>
    <n v="1000"/>
    <n v="25"/>
    <x v="0"/>
    <n v="14.759590278151583"/>
    <n v="5.1532938474069976"/>
    <n v="17.899786433655482"/>
    <n v="0"/>
    <m/>
    <n v="1.2519665675775579E-4"/>
    <n v="1E-8"/>
    <n v="88.645911307801114"/>
    <n v="53.187546370999748"/>
    <n v="-1.9134057264047308E-3"/>
    <m/>
    <m/>
    <m/>
    <m/>
    <m/>
    <m/>
    <m/>
    <m/>
    <m/>
    <m/>
    <m/>
    <s v="-"/>
    <m/>
    <m/>
    <m/>
    <m/>
    <m/>
    <m/>
    <m/>
    <m/>
    <m/>
    <m/>
    <m/>
    <n v="311.11052394072431"/>
    <n v="0.28789694595001913"/>
    <n v="0.28824152885792492"/>
    <n v="348.79436583398558"/>
    <n v="312.06722680392664"/>
    <x v="0"/>
    <n v="0"/>
    <n v="0"/>
    <n v="0"/>
    <n v="0"/>
    <n v="0"/>
    <x v="2"/>
    <n v="1.2527928229867053E-4"/>
    <n v="1E-8"/>
    <n v="312.06722680392664"/>
    <n v="1.2527928229867053E-4"/>
    <n v="53.775692813231593"/>
    <n v="154.59009336518159"/>
    <n v="84257.284125405393"/>
    <n v="70.829599354977887"/>
    <n v="508303.87246151728"/>
    <x v="2"/>
    <n v="5.4930943491906795E-6"/>
    <n v="2042572.8412540539"/>
    <n v="0.24885471019454075"/>
  </r>
  <r>
    <x v="0"/>
    <n v="1000"/>
    <n v="25"/>
    <x v="0"/>
    <n v="12.569339243152887"/>
    <n v="4.1598013725869922"/>
    <n v="15.10164177875618"/>
    <n v="0"/>
    <m/>
    <n v="3.6038768943684892E-5"/>
    <n v="1E-8"/>
    <n v="75.384202026423765"/>
    <n v="45.230520864061312"/>
    <n v="-4.6900695865644346E-4"/>
    <m/>
    <m/>
    <m/>
    <m/>
    <m/>
    <m/>
    <m/>
    <m/>
    <m/>
    <m/>
    <m/>
    <s v="-"/>
    <m/>
    <m/>
    <m/>
    <m/>
    <m/>
    <m/>
    <m/>
    <m/>
    <m/>
    <m/>
    <m/>
    <n v="325.92995072931575"/>
    <n v="0.27545358534716924"/>
    <n v="0.2953427175234094"/>
    <n v="357.44151286832857"/>
    <n v="326.16445420864392"/>
    <x v="0"/>
    <n v="0"/>
    <n v="0"/>
    <n v="0"/>
    <n v="0"/>
    <n v="0"/>
    <x v="3"/>
    <n v="3.6043622613516198E-5"/>
    <n v="1E-8"/>
    <n v="326.16445420864392"/>
    <n v="3.6043622613516198E-5"/>
    <n v="44.061109257076865"/>
    <n v="124.52538544151032"/>
    <n v="64171.232264011865"/>
    <n v="56.435354282408028"/>
    <n v="551753.82709146349"/>
    <x v="2"/>
    <n v="4.9439432829347791E-6"/>
    <n v="1841712.3226401187"/>
    <n v="0.29958741129587341"/>
  </r>
  <r>
    <x v="0"/>
    <n v="1000"/>
    <n v="25"/>
    <x v="0"/>
    <n v="11.678103749610946"/>
    <n v="3.7949957597754511"/>
    <n v="13.985427730413155"/>
    <n v="0"/>
    <m/>
    <n v="1.1272376569458664E-4"/>
    <n v="1E-8"/>
    <n v="69.18750660226388"/>
    <n v="41.512503638483295"/>
    <n v="-1.3602855573857833E-3"/>
    <m/>
    <m/>
    <m/>
    <m/>
    <m/>
    <m/>
    <m/>
    <m/>
    <m/>
    <m/>
    <m/>
    <s v="-"/>
    <m/>
    <m/>
    <m/>
    <m/>
    <m/>
    <m/>
    <m/>
    <m/>
    <m/>
    <m/>
    <m/>
    <n v="330.41256047964254"/>
    <n v="0.27135357122633674"/>
    <n v="0.29306691502123466"/>
    <n v="360.15209103775913"/>
    <n v="331.0927032583354"/>
    <x v="0"/>
    <n v="0"/>
    <n v="0"/>
    <n v="0"/>
    <n v="0"/>
    <n v="0"/>
    <x v="4"/>
    <n v="1.1276873114943637E-4"/>
    <n v="1E-8"/>
    <n v="331.0927032583354"/>
    <n v="1.1276873114943637E-4"/>
    <n v="40.40521223452054"/>
    <n v="111.7251591133561"/>
    <n v="57106.638910900358"/>
    <n v="52.205281252437949"/>
    <n v="601259.40693253512"/>
    <x v="2"/>
    <n v="4.6043637367994103E-6"/>
    <n v="1771066.3891090036"/>
    <n v="0.33949004432014518"/>
  </r>
  <r>
    <x v="0"/>
    <n v="1000"/>
    <n v="25"/>
    <x v="0"/>
    <n v="9.9926308173900473"/>
    <n v="3.2096232130853131"/>
    <n v="11.941649868325616"/>
    <n v="0"/>
    <m/>
    <n v="4.4741539824302588E-2"/>
    <n v="1E-8"/>
    <n v="60.245140388949061"/>
    <n v="36.147083952225444"/>
    <n v="-0.28482759216627396"/>
    <m/>
    <m/>
    <m/>
    <m/>
    <m/>
    <m/>
    <m/>
    <m/>
    <m/>
    <m/>
    <m/>
    <s v="-"/>
    <m/>
    <m/>
    <m/>
    <m/>
    <m/>
    <m/>
    <m/>
    <m/>
    <m/>
    <m/>
    <m/>
    <n v="199.48711099210732"/>
    <n v="0.26877552503013946"/>
    <n v="0.30067641794228289"/>
    <n v="366.76616381897895"/>
    <n v="341.90090707524433"/>
    <x v="0"/>
    <n v="0"/>
    <n v="0"/>
    <n v="0"/>
    <n v="0"/>
    <n v="0"/>
    <x v="5"/>
    <n v="5.0000010000000004E-2"/>
    <n v="1E-8"/>
    <n v="341.90090707524433"/>
    <n v="5.0000010000000004E-2"/>
    <n v="34.276511850323416"/>
    <n v="94.388675092972107"/>
    <n v="45968.808991833532"/>
    <n v="43.294302664193275"/>
    <n v="584091.27387586434"/>
    <x v="2"/>
    <n v="4.1320011969201972E-6"/>
    <n v="1659688.0899183354"/>
    <n v="0.35192833968255111"/>
  </r>
  <r>
    <x v="0"/>
    <n v="1000"/>
    <n v="25"/>
    <x v="0"/>
    <n v="8.4703397317355567"/>
    <n v="2.5707919453262713"/>
    <n v="10.033120324470325"/>
    <n v="0"/>
    <m/>
    <n v="9.9999997876722843E-9"/>
    <n v="1E-8"/>
    <n v="49.884753073177833"/>
    <n v="29.930851611111184"/>
    <n v="-8.7477232904099282E-8"/>
    <m/>
    <m/>
    <m/>
    <m/>
    <m/>
    <m/>
    <m/>
    <m/>
    <m/>
    <m/>
    <m/>
    <s v="-"/>
    <m/>
    <m/>
    <m/>
    <m/>
    <m/>
    <m/>
    <m/>
    <m/>
    <m/>
    <m/>
    <m/>
    <n v="350.63404613277692"/>
    <n v="0.256230550635003"/>
    <n v="0.2994260839177999"/>
    <n v="371.71141665112623"/>
    <n v="350.63408987139343"/>
    <x v="0"/>
    <n v="0"/>
    <n v="0"/>
    <n v="0"/>
    <n v="0"/>
    <n v="0"/>
    <x v="6"/>
    <n v="9.9999999999948221E-9"/>
    <n v="1E-8"/>
    <n v="350.63408987139343"/>
    <n v="9.9999999999948221E-9"/>
    <n v="27.930312787045882"/>
    <n v="75.713140796291214"/>
    <n v="35443.872432127035"/>
    <n v="35.240707232362006"/>
    <n v="620990.62804193213"/>
    <x v="2"/>
    <n v="3.5604273824977744E-6"/>
    <n v="1554438.7243212704"/>
    <n v="0.39949508354733076"/>
  </r>
  <r>
    <x v="0"/>
    <n v="1000"/>
    <n v="25"/>
    <x v="0"/>
    <n v="7.362061888300576"/>
    <n v="2.1872096620971759"/>
    <n v="8.6911354147314768"/>
    <n v="0"/>
    <m/>
    <n v="7.8013905786159746E-4"/>
    <n v="1E-8"/>
    <n v="42.929895281254765"/>
    <n v="25.757936968413343"/>
    <n v="-5.8881680246565251E-3"/>
    <m/>
    <m/>
    <m/>
    <m/>
    <m/>
    <m/>
    <m/>
    <m/>
    <m/>
    <m/>
    <m/>
    <s v="-"/>
    <m/>
    <m/>
    <m/>
    <m/>
    <m/>
    <m/>
    <m/>
    <m/>
    <m/>
    <m/>
    <m/>
    <n v="354.06071306629781"/>
    <n v="0.25165983012873727"/>
    <n v="0.29835203116370196"/>
    <n v="375.32424411663851"/>
    <n v="357.00479707862604"/>
    <x v="0"/>
    <n v="0"/>
    <n v="0"/>
    <n v="0"/>
    <n v="0"/>
    <n v="0"/>
    <x v="7"/>
    <n v="7.8125999999999998E-4"/>
    <n v="1E-8"/>
    <n v="357.00479707862604"/>
    <n v="7.8125999999999998E-4"/>
    <n v="23.917924590838627"/>
    <n v="63.89202996466117"/>
    <n v="29194.706853023195"/>
    <n v="30.295448188263826"/>
    <n v="621627.49838336185"/>
    <x v="2"/>
    <n v="3.1459756596374617E-6"/>
    <n v="1491947.0685302319"/>
    <n v="0.41665519608262536"/>
  </r>
  <r>
    <x v="0"/>
    <n v="1000"/>
    <n v="25"/>
    <x v="0"/>
    <n v="6.0766114767959234"/>
    <n v="1.7614262314547824"/>
    <n v="7.1470142643318724"/>
    <n v="0"/>
    <m/>
    <n v="9.9164659480863705E-5"/>
    <n v="1E-8"/>
    <n v="35.197546424739841"/>
    <n v="21.118527690588685"/>
    <n v="-6.2097885395388395E-4"/>
    <m/>
    <m/>
    <m/>
    <m/>
    <m/>
    <m/>
    <m/>
    <m/>
    <m/>
    <m/>
    <m/>
    <s v="-"/>
    <m/>
    <m/>
    <m/>
    <m/>
    <m/>
    <m/>
    <m/>
    <m/>
    <m/>
    <m/>
    <m/>
    <n v="364.22958222870005"/>
    <n v="0.24645623561231925"/>
    <n v="0.2987644216245014"/>
    <n v="379.66085973773261"/>
    <n v="364.54007165567702"/>
    <x v="0"/>
    <n v="0"/>
    <n v="0"/>
    <n v="0"/>
    <n v="0"/>
    <n v="0"/>
    <x v="8"/>
    <n v="9.9179021275420601E-5"/>
    <n v="1E-8"/>
    <n v="364.54007165567702"/>
    <n v="9.9179021275420601E-5"/>
    <n v="19.409610727299551"/>
    <n v="51.327609731137578"/>
    <n v="22622.323848630673"/>
    <n v="24.548258992285369"/>
    <n v="636212.98231808585"/>
    <x v="2"/>
    <n v="2.6023713057140147E-6"/>
    <n v="1426223.2384863067"/>
    <n v="0.44608232789231345"/>
  </r>
  <r>
    <x v="0"/>
    <n v="1000"/>
    <n v="25"/>
    <x v="0"/>
    <n v="4.1896251070660426"/>
    <n v="1.1726456794988207"/>
    <n v="4.9025721614646942"/>
    <n v="0"/>
    <m/>
    <n v="9.6208031815623471E-5"/>
    <n v="1E-8"/>
    <n v="24.094945886716339"/>
    <n v="14.456967419586721"/>
    <n v="-4.1507984083838324E-4"/>
    <m/>
    <m/>
    <m/>
    <m/>
    <m/>
    <m/>
    <m/>
    <m/>
    <m/>
    <m/>
    <m/>
    <s v="-"/>
    <m/>
    <m/>
    <m/>
    <m/>
    <m/>
    <m/>
    <m/>
    <m/>
    <m/>
    <m/>
    <m/>
    <n v="375.40688150610714"/>
    <n v="0.23918988663054797"/>
    <n v="0.30011018100603726"/>
    <n v="386.03971017237245"/>
    <n v="375.61442142652629"/>
    <x v="0"/>
    <n v="0"/>
    <n v="0"/>
    <n v="0"/>
    <n v="0"/>
    <n v="0"/>
    <x v="9"/>
    <n v="9.6216765577380409E-5"/>
    <n v="1E-8"/>
    <n v="375.61442142652629"/>
    <n v="9.6216765577380409E-5"/>
    <n v="13.066229835071477"/>
    <n v="34.203765422213188"/>
    <n v="14181.700223361655"/>
    <n v="16.445920437483288"/>
    <n v="603476.78062969039"/>
    <x v="2"/>
    <n v="1.8089523977641088E-6"/>
    <n v="1341817.0022336165"/>
    <n v="0.44974596358902175"/>
  </r>
  <r>
    <x v="0"/>
    <n v="1000"/>
    <n v="25"/>
    <x v="0"/>
    <n v="17.48374036706149"/>
    <n v="6.5563654454790923"/>
    <n v="21.495312942344288"/>
    <n v="0"/>
    <m/>
    <n v="1.4160122607374169E-4"/>
    <n v="1E-8"/>
    <n v="106.427325224649"/>
    <n v="63.856394638128542"/>
    <n v="-2.5697254589450527E-3"/>
    <m/>
    <m/>
    <m/>
    <m/>
    <m/>
    <m/>
    <m/>
    <m/>
    <m/>
    <m/>
    <m/>
    <s v="-"/>
    <m/>
    <m/>
    <m/>
    <m/>
    <m/>
    <m/>
    <m/>
    <m/>
    <m/>
    <m/>
    <m/>
    <n v="293.26982818065733"/>
    <n v="0.30501372383202213"/>
    <n v="0.2822711459070027"/>
    <n v="338.06047617484182"/>
    <n v="294.55469091012981"/>
    <x v="0"/>
    <n v="0"/>
    <n v="0"/>
    <n v="0"/>
    <n v="0"/>
    <n v="0"/>
    <x v="0"/>
    <n v="1.4175125387657858E-4"/>
    <n v="1E-8"/>
    <n v="294.55469091012981"/>
    <n v="1.4175125387657858E-4"/>
    <n v="67.13904276139958"/>
    <n v="202.66772171730057"/>
    <n v="115884.45871891674"/>
    <n v="90.688219300000014"/>
    <n v="339227.06208636955"/>
    <x v="3"/>
    <n v="6.221413756527404E-6"/>
    <n v="2358844.5871891673"/>
    <n v="0.14381068762592678"/>
  </r>
  <r>
    <x v="1"/>
    <n v="1000"/>
    <n v="25"/>
    <x v="0"/>
    <n v="17.322023662724241"/>
    <n v="6.6768953180919306"/>
    <n v="21.397160759912623"/>
    <n v="0"/>
    <m/>
    <n v="1.4020491932277749E-4"/>
    <n v="1E-8"/>
    <n v="106.56347459217049"/>
    <n v="63.938084258006079"/>
    <n v="-2.5221120050812817E-3"/>
    <m/>
    <m/>
    <m/>
    <m/>
    <m/>
    <m/>
    <m/>
    <m/>
    <m/>
    <m/>
    <m/>
    <s v="-"/>
    <m/>
    <m/>
    <m/>
    <m/>
    <m/>
    <m/>
    <m/>
    <m/>
    <m/>
    <m/>
    <m/>
    <n v="286.65567615455137"/>
    <n v="0.31204585472858765"/>
    <n v="0.25111708320764575"/>
    <n v="331.02013036524136"/>
    <n v="287.91673215709204"/>
    <x v="0"/>
    <n v="0"/>
    <n v="0"/>
    <n v="0"/>
    <n v="0"/>
    <n v="0"/>
    <x v="0"/>
    <n v="1.4035452288018035E-4"/>
    <n v="1E-8"/>
    <n v="287.91673215709204"/>
    <n v="1.4035452288018035E-4"/>
    <n v="67.879988563775825"/>
    <n v="203.08051427553499"/>
    <n v="116666.92635196919"/>
    <n v="91.595260981432276"/>
    <n v="336861.56480706536"/>
    <x v="3"/>
    <n v="6.1490386051085262E-6"/>
    <n v="2366669.2635196918"/>
    <n v="0.14233571627413943"/>
  </r>
  <r>
    <x v="2"/>
    <n v="1000"/>
    <n v="25"/>
    <x v="0"/>
    <n v="17.111829617602872"/>
    <n v="6.8340083382307073"/>
    <n v="21.269836726894525"/>
    <n v="0"/>
    <m/>
    <n v="1.3835671893740658E-4"/>
    <n v="1E-8"/>
    <n v="106.74133345175863"/>
    <n v="64.044799572928952"/>
    <n v="-2.4603105507836499E-3"/>
    <m/>
    <m/>
    <m/>
    <m/>
    <m/>
    <m/>
    <m/>
    <m/>
    <m/>
    <m/>
    <m/>
    <s v="-"/>
    <m/>
    <m/>
    <m/>
    <m/>
    <m/>
    <m/>
    <m/>
    <m/>
    <m/>
    <m/>
    <m/>
    <n v="278.39354040032913"/>
    <n v="0.32130046064667173"/>
    <n v="0.21995782009192538"/>
    <n v="322.20404070902572"/>
    <n v="279.62369567572097"/>
    <x v="0"/>
    <n v="0"/>
    <n v="0"/>
    <n v="0"/>
    <n v="0"/>
    <n v="0"/>
    <x v="0"/>
    <n v="1.3850556313163678E-4"/>
    <n v="1E-8"/>
    <n v="279.62369567572097"/>
    <n v="1.3850556313163678E-4"/>
    <n v="68.846444983614361"/>
    <n v="203.62096813256804"/>
    <n v="117690.57041756473"/>
    <n v="92.780207937950777"/>
    <n v="333751.15083991468"/>
    <x v="3"/>
    <n v="6.0553395680350331E-6"/>
    <n v="2376905.7041756473"/>
    <n v="0.14041413180741449"/>
  </r>
  <r>
    <x v="3"/>
    <n v="1000"/>
    <n v="25"/>
    <x v="0"/>
    <n v="16.827698927662656"/>
    <n v="7.0466011566692979"/>
    <n v="21.097841242539452"/>
    <n v="0"/>
    <m/>
    <n v="1.3605435753799024E-4"/>
    <n v="1E-8"/>
    <n v="106.98147029928879"/>
    <n v="64.188881680326404"/>
    <n v="-2.3814162777806422E-3"/>
    <m/>
    <m/>
    <m/>
    <m/>
    <m/>
    <m/>
    <m/>
    <m/>
    <m/>
    <m/>
    <m/>
    <s v="-"/>
    <m/>
    <m/>
    <m/>
    <m/>
    <m/>
    <m/>
    <m/>
    <m/>
    <m/>
    <m/>
    <m/>
    <n v="267.80394379839385"/>
    <n v="0.33399631154969911"/>
    <n v="0.18879524321073868"/>
    <n v="310.86799306230881"/>
    <n v="268.99465193728423"/>
    <x v="0"/>
    <n v="0"/>
    <n v="0"/>
    <n v="0"/>
    <n v="0"/>
    <n v="0"/>
    <x v="0"/>
    <n v="1.3620233275452642E-4"/>
    <n v="1E-8"/>
    <n v="268.99465193728423"/>
    <n v="1.3620233275452642E-4"/>
    <n v="70.154466043383408"/>
    <n v="204.35283581182159"/>
    <n v="119077.82437936199"/>
    <n v="94.383858805037931"/>
    <n v="329468.36673791439"/>
    <x v="3"/>
    <n v="5.9295718405203301E-6"/>
    <n v="2390778.2437936198"/>
    <n v="0.13780799937978491"/>
  </r>
  <r>
    <x v="4"/>
    <n v="1000"/>
    <n v="25"/>
    <x v="0"/>
    <n v="16.423828995644222"/>
    <n v="7.3490208805042592"/>
    <n v="20.853485930584561"/>
    <n v="0"/>
    <m/>
    <n v="1.3300874956108323E-4"/>
    <n v="1E-8"/>
    <n v="107.32185462799004"/>
    <n v="64.3931122759587"/>
    <n v="-2.2753833638345577E-3"/>
    <m/>
    <m/>
    <m/>
    <m/>
    <m/>
    <m/>
    <m/>
    <m/>
    <m/>
    <m/>
    <m/>
    <s v="-"/>
    <m/>
    <m/>
    <m/>
    <m/>
    <m/>
    <m/>
    <m/>
    <m/>
    <m/>
    <m/>
    <m/>
    <n v="253.80026116306672"/>
    <n v="0.35241210534138512"/>
    <n v="0.1576278761533251"/>
    <n v="295.80631677312766"/>
    <n v="254.93795284498404"/>
    <x v="0"/>
    <n v="0"/>
    <n v="0"/>
    <n v="0"/>
    <n v="0"/>
    <n v="0"/>
    <x v="0"/>
    <n v="1.3315548957160161E-4"/>
    <n v="1E-8"/>
    <n v="254.93795284498404"/>
    <n v="1.3315548957160161E-4"/>
    <n v="72.015479095818222"/>
    <n v="205.39453571225792"/>
    <n v="121054.09319799236"/>
    <n v="96.664062163026685"/>
    <n v="323225.67218486848"/>
    <x v="3"/>
    <n v="5.7525894872785843E-6"/>
    <n v="2410540.9319799235"/>
    <n v="0.13408843960985289"/>
  </r>
  <r>
    <x v="5"/>
    <n v="1000"/>
    <n v="25"/>
    <x v="0"/>
    <n v="15.809379179377698"/>
    <n v="7.8093236942410345"/>
    <n v="20.481812981786025"/>
    <n v="0"/>
    <m/>
    <n v="1.288740216595493E-4"/>
    <n v="1E-8"/>
    <n v="107.83575015791901"/>
    <n v="64.7014495915179"/>
    <n v="-2.1269552544653462E-3"/>
    <m/>
    <m/>
    <m/>
    <m/>
    <m/>
    <m/>
    <m/>
    <m/>
    <m/>
    <m/>
    <m/>
    <s v="-"/>
    <m/>
    <m/>
    <m/>
    <m/>
    <m/>
    <m/>
    <m/>
    <m/>
    <m/>
    <m/>
    <m/>
    <n v="234.57178238636865"/>
    <n v="0.3812808808080454"/>
    <n v="0.12644946639015481"/>
    <n v="274.97472602534765"/>
    <n v="235.63526001360137"/>
    <x v="0"/>
    <n v="0"/>
    <n v="0"/>
    <n v="0"/>
    <n v="0"/>
    <n v="0"/>
    <x v="0"/>
    <n v="1.2901897677807114E-4"/>
    <n v="1E-8"/>
    <n v="235.63526001360137"/>
    <n v="1.2901897677807114E-4"/>
    <n v="74.848315989850036"/>
    <n v="206.97691417268248"/>
    <n v="124066.16627307818"/>
    <n v="100.13186794244065"/>
    <n v="313386.69210436533"/>
    <x v="3"/>
    <n v="5.4873119271477832E-6"/>
    <n v="2440661.6627307818"/>
    <n v="0.12840234961273841"/>
  </r>
  <r>
    <x v="6"/>
    <n v="1000"/>
    <n v="25"/>
    <x v="0"/>
    <n v="14.781982506607287"/>
    <n v="8.5771642641764743"/>
    <n v="19.859270023855458"/>
    <n v="0"/>
    <m/>
    <n v="1.2299038340291034E-4"/>
    <n v="1E-8"/>
    <n v="108.67395530188476"/>
    <n v="65.204372673985731"/>
    <n v="-1.9059270189493048E-3"/>
    <m/>
    <m/>
    <m/>
    <m/>
    <m/>
    <m/>
    <m/>
    <m/>
    <m/>
    <m/>
    <m/>
    <s v="-"/>
    <m/>
    <m/>
    <m/>
    <m/>
    <m/>
    <m/>
    <m/>
    <m/>
    <m/>
    <m/>
    <m/>
    <n v="207.06692097134831"/>
    <n v="0.43189725774781085"/>
    <n v="9.5246521616401458E-2"/>
    <n v="244.80291504879662"/>
    <n v="208.01988448082298"/>
    <x v="0"/>
    <n v="0"/>
    <n v="0"/>
    <n v="0"/>
    <n v="0"/>
    <n v="0"/>
    <x v="0"/>
    <n v="1.2313227253756278E-4"/>
    <n v="1E-8"/>
    <n v="208.01988448082298"/>
    <n v="1.2313227253756278E-4"/>
    <n v="79.571281661821899"/>
    <n v="209.58328513728017"/>
    <n v="129083.55894241556"/>
    <n v="105.89886892669347"/>
    <n v="296036.96658361971"/>
    <x v="3"/>
    <n v="5.0545753807913777E-6"/>
    <n v="2490835.5894241557"/>
    <n v="0.11885046441465817"/>
  </r>
  <r>
    <x v="7"/>
    <n v="1000"/>
    <n v="25"/>
    <x v="0"/>
    <n v="12.817777625719614"/>
    <n v="9.9773562596353482"/>
    <n v="18.63015080339262"/>
    <n v="0"/>
    <m/>
    <n v="1.1424166044059931E-4"/>
    <n v="1E-8"/>
    <n v="109.84879022917555"/>
    <n v="65.909273624877628"/>
    <n v="-1.550022480936478E-3"/>
    <m/>
    <m/>
    <m/>
    <m/>
    <m/>
    <m/>
    <m/>
    <m/>
    <m/>
    <m/>
    <m/>
    <s v="-"/>
    <m/>
    <m/>
    <m/>
    <m/>
    <m/>
    <m/>
    <m/>
    <m/>
    <m/>
    <m/>
    <m/>
    <n v="166.98412108101633"/>
    <n v="0.53554887262739892"/>
    <n v="6.3978336803900276E-2"/>
    <n v="199.65441013249017"/>
    <n v="167.7591323214846"/>
    <x v="0"/>
    <n v="0"/>
    <n v="0"/>
    <n v="0"/>
    <n v="0"/>
    <n v="0"/>
    <x v="0"/>
    <n v="1.1437596566735196E-4"/>
    <n v="1E-8"/>
    <n v="167.7591323214846"/>
    <n v="1.1437596566735196E-4"/>
    <n v="88.089939114479833"/>
    <n v="213.29070127164002"/>
    <n v="137711.66697755802"/>
    <n v="116.18731787049212"/>
    <n v="265921.11969572655"/>
    <x v="3"/>
    <n v="4.2648302425679216E-6"/>
    <n v="2577116.6697755801"/>
    <n v="0.10318551845729337"/>
  </r>
  <r>
    <x v="8"/>
    <n v="1000"/>
    <n v="25"/>
    <x v="0"/>
    <n v="8.8111156271495297"/>
    <n v="5.6005397314234324"/>
    <n v="12.052110827421508"/>
    <n v="0"/>
    <m/>
    <n v="6.0346016496201664E-3"/>
    <n v="1E-8"/>
    <n v="67.590850699508266"/>
    <n v="40.554510104280986"/>
    <n v="-4.8158599452800613E-2"/>
    <m/>
    <m/>
    <m/>
    <m/>
    <m/>
    <m/>
    <m/>
    <m/>
    <m/>
    <m/>
    <m/>
    <s v="-"/>
    <m/>
    <m/>
    <m/>
    <m/>
    <m/>
    <m/>
    <m/>
    <m/>
    <m/>
    <m/>
    <m/>
    <n v="169.41166581377183"/>
    <n v="0.46469367993869015"/>
    <n v="4.7735054872878373E-2"/>
    <n v="215.41624597239667"/>
    <n v="193.49096554017214"/>
    <x v="0"/>
    <n v="0"/>
    <n v="0"/>
    <n v="0"/>
    <n v="0"/>
    <n v="0"/>
    <x v="0"/>
    <n v="6.2500100000000003E-3"/>
    <n v="1E-8"/>
    <n v="193.49096554017214"/>
    <n v="6.2500100000000003E-3"/>
    <n v="51.041284807622844"/>
    <n v="108.53675877332944"/>
    <n v="65569.567407584065"/>
    <n v="67.753375050775446"/>
    <n v="677838.48853411118"/>
    <x v="3"/>
    <n v="3.1529411699015459E-6"/>
    <n v="1855695.6740758405"/>
    <n v="0.36527459647804761"/>
  </r>
  <r>
    <x v="9"/>
    <n v="1000"/>
    <n v="25"/>
    <x v="0"/>
    <n v="3.2865315536909367"/>
    <n v="1.1223228609438913"/>
    <n v="3.95577829603821"/>
    <n v="0"/>
    <m/>
    <n v="8.6680489941863328E-5"/>
    <n v="1E-8"/>
    <n v="20.291244068929217"/>
    <n v="12.174746346665057"/>
    <n v="-2.9413178901259191E-4"/>
    <m/>
    <m/>
    <m/>
    <m/>
    <m/>
    <m/>
    <m/>
    <m/>
    <m/>
    <m/>
    <m/>
    <s v="-"/>
    <m/>
    <m/>
    <m/>
    <m/>
    <m/>
    <m/>
    <m/>
    <m/>
    <m/>
    <m/>
    <m/>
    <n v="316.51730309089157"/>
    <n v="0.28371733119318637"/>
    <n v="4.3728569258859783E-2"/>
    <n v="324.84246319069638"/>
    <n v="316.66436898539791"/>
    <x v="0"/>
    <n v="0"/>
    <n v="0"/>
    <n v="0"/>
    <n v="0"/>
    <n v="0"/>
    <x v="0"/>
    <n v="8.668718782004621E-5"/>
    <n v="1E-8"/>
    <n v="316.66436898539791"/>
    <n v="8.668718782004621E-5"/>
    <n v="11.769101450754588"/>
    <n v="28.556162503133525"/>
    <n v="11976.644820024359"/>
    <n v="14.677962246997447"/>
    <n v="805006.35005304113"/>
    <x v="3"/>
    <n v="1.1699638502804257E-6"/>
    <n v="1319766.4482002435"/>
    <n v="0.60996121787367963"/>
  </r>
  <r>
    <x v="0"/>
    <n v="100"/>
    <n v="25"/>
    <x v="0"/>
    <n v="3.361155396998674"/>
    <n v="0.95814655503994217"/>
    <n v="4.0690333849205214"/>
    <n v="0"/>
    <m/>
    <n v="5.9341995489844417E-2"/>
    <n v="1E-8"/>
    <n v="17.467500417632454"/>
    <n v="10.48050016906447"/>
    <n v="0.22359943420959399"/>
    <m/>
    <m/>
    <m/>
    <m/>
    <m/>
    <m/>
    <m/>
    <m/>
    <m/>
    <m/>
    <m/>
    <s v="-"/>
    <m/>
    <m/>
    <m/>
    <m/>
    <m/>
    <m/>
    <m/>
    <m/>
    <m/>
    <m/>
    <m/>
    <n v="487.59279188319402"/>
    <n v="0.23547276819864607"/>
    <n v="0.21215179108974902"/>
    <n v="384.15683704703315"/>
    <n v="375.79307477839706"/>
    <x v="1"/>
    <n v="0"/>
    <n v="0"/>
    <n v="0"/>
    <n v="1"/>
    <n v="0.1"/>
    <x v="0"/>
    <n v="5.4286843062588741E-2"/>
    <n v="1E-8"/>
    <n v="375.79307477839706"/>
    <n v="5.4286843062588741E-2"/>
    <n v="10.736989514836891"/>
    <n v="70.200554315517621"/>
    <n v="26396.98511640065"/>
    <n v="21.321329845232846"/>
    <n v="19515.731498669978"/>
    <x v="0"/>
    <n v="2.0595757551051549E-6"/>
    <n v="1463969.8511640066"/>
    <n v="1.3330692215521354E-2"/>
  </r>
  <r>
    <x v="0"/>
    <n v="200"/>
    <n v="25"/>
    <x v="0"/>
    <n v="6.0990921658596564"/>
    <n v="1.7900323211924645"/>
    <n v="7.333555033336836"/>
    <n v="0"/>
    <m/>
    <n v="5.9931159132603599E-2"/>
    <n v="1E-8"/>
    <n v="32.326881715663745"/>
    <n v="19.396128878539464"/>
    <n v="0.3781034139583821"/>
    <m/>
    <m/>
    <m/>
    <m/>
    <m/>
    <m/>
    <m/>
    <m/>
    <m/>
    <m/>
    <m/>
    <s v="-"/>
    <m/>
    <m/>
    <m/>
    <m/>
    <m/>
    <m/>
    <m/>
    <m/>
    <m/>
    <m/>
    <m/>
    <n v="548.02283430899058"/>
    <n v="0.24408793730398762"/>
    <n v="0.23592198820650723"/>
    <n v="374.14784347900206"/>
    <n v="358.97112732979957"/>
    <x v="1"/>
    <n v="0"/>
    <n v="0"/>
    <n v="0"/>
    <n v="1"/>
    <n v="0.1"/>
    <x v="0"/>
    <n v="5.4778286766037375E-2"/>
    <n v="1E-8"/>
    <n v="358.97112732979957"/>
    <n v="5.4778286766037375E-2"/>
    <n v="19.786584337041763"/>
    <n v="101.94758621254408"/>
    <n v="42989.838864744532"/>
    <n v="33.831096539834952"/>
    <n v="53672.879273754806"/>
    <x v="0"/>
    <n v="3.407833501280011E-6"/>
    <n v="1629898.3886474452"/>
    <n v="3.293019960483224E-2"/>
  </r>
  <r>
    <x v="0"/>
    <n v="300"/>
    <n v="25"/>
    <x v="0"/>
    <n v="8.4065825556661533"/>
    <n v="2.5434397523431911"/>
    <n v="10.100375740717903"/>
    <n v="0"/>
    <m/>
    <n v="6.061677285053424E-2"/>
    <n v="1E-8"/>
    <n v="45.43081856914938"/>
    <n v="27.258490929479141"/>
    <n v="0.4990881147188162"/>
    <m/>
    <m/>
    <m/>
    <m/>
    <m/>
    <m/>
    <m/>
    <m/>
    <m/>
    <m/>
    <m/>
    <s v="-"/>
    <m/>
    <m/>
    <m/>
    <m/>
    <m/>
    <m/>
    <m/>
    <m/>
    <m/>
    <m/>
    <m/>
    <n v="594.84991267825148"/>
    <n v="0.25181634996901725"/>
    <n v="0.24889562356691194"/>
    <n v="366.22446616299715"/>
    <n v="345.30585531884338"/>
    <x v="1"/>
    <n v="0"/>
    <n v="0"/>
    <n v="0"/>
    <n v="1"/>
    <n v="0.1"/>
    <x v="0"/>
    <n v="5.5620331423032764E-2"/>
    <n v="1E-8"/>
    <n v="345.30585531884338"/>
    <n v="5.5620331423032764E-2"/>
    <n v="27.789261266732897"/>
    <n v="124.72937035453549"/>
    <n v="56666.478759220612"/>
    <n v="44.099953197526624"/>
    <n v="92425.826081359482"/>
    <x v="0"/>
    <n v="4.2986782473010613E-6"/>
    <n v="1766664.7875922062"/>
    <n v="5.2316560974380984E-2"/>
  </r>
  <r>
    <x v="0"/>
    <n v="400"/>
    <n v="25"/>
    <x v="0"/>
    <n v="10.389848068406897"/>
    <n v="3.2349616402491046"/>
    <n v="12.496874516836106"/>
    <n v="0"/>
    <m/>
    <n v="6.1282457994249778E-2"/>
    <n v="1E-8"/>
    <n v="57.15248702160622"/>
    <n v="34.291491946252123"/>
    <n v="0.59847182012233024"/>
    <m/>
    <m/>
    <m/>
    <m/>
    <m/>
    <m/>
    <m/>
    <m/>
    <m/>
    <m/>
    <m/>
    <s v="-"/>
    <m/>
    <m/>
    <m/>
    <m/>
    <m/>
    <m/>
    <m/>
    <m/>
    <m/>
    <m/>
    <m/>
    <n v="633.03010499299842"/>
    <n v="0.2588616566398968"/>
    <n v="0.25747954554185581"/>
    <n v="359.64787009957678"/>
    <n v="333.79419493183337"/>
    <x v="1"/>
    <n v="0"/>
    <n v="0"/>
    <n v="0"/>
    <n v="1"/>
    <n v="0.1"/>
    <x v="0"/>
    <n v="5.6467927044577808E-2"/>
    <n v="1E-8"/>
    <n v="333.79419493183337"/>
    <n v="5.6467927044577808E-2"/>
    <n v="34.988644280260552"/>
    <n v="142.80999774085515"/>
    <n v="68519.746034809636"/>
    <n v="53.008253581008091"/>
    <n v="132743.79422219429"/>
    <x v="0"/>
    <n v="4.9180384667024467E-6"/>
    <n v="1885197.4603480962"/>
    <n v="7.0413734908004566E-2"/>
  </r>
  <r>
    <x v="0"/>
    <n v="600"/>
    <n v="25"/>
    <x v="0"/>
    <n v="13.6184224679492"/>
    <n v="4.4594796093937443"/>
    <n v="16.443643316509768"/>
    <n v="0"/>
    <m/>
    <n v="6.2439011984407711E-2"/>
    <n v="1E-8"/>
    <n v="77.23673379030518"/>
    <n v="46.342039913745012"/>
    <n v="0.75423051082524251"/>
    <m/>
    <m/>
    <m/>
    <m/>
    <m/>
    <m/>
    <m/>
    <m/>
    <m/>
    <m/>
    <m/>
    <s v="-"/>
    <m/>
    <m/>
    <m/>
    <m/>
    <m/>
    <m/>
    <m/>
    <m/>
    <m/>
    <m/>
    <m/>
    <n v="692.53431961089484"/>
    <n v="0.27119778284878826"/>
    <n v="0.26864265828943595"/>
    <n v="349.30655259792474"/>
    <n v="315.4190641982733"/>
    <x v="1"/>
    <n v="0"/>
    <n v="0"/>
    <n v="0"/>
    <n v="1"/>
    <n v="0.1"/>
    <x v="0"/>
    <n v="5.7951268891811243E-2"/>
    <n v="1E-8"/>
    <n v="315.4190641982733"/>
    <n v="5.7951268891811243E-2"/>
    <n v="47.433492980941665"/>
    <n v="170.27743721035208"/>
    <n v="88186.575136050131"/>
    <n v="67.914980335125819"/>
    <n v="212492.89491081744"/>
    <x v="0"/>
    <n v="5.6923913830828793E-6"/>
    <n v="2081865.7513605012"/>
    <n v="0.1020684906180685"/>
  </r>
  <r>
    <x v="0"/>
    <n v="800"/>
    <n v="25"/>
    <x v="0"/>
    <n v="16.102405160593658"/>
    <n v="5.4963568647910801"/>
    <n v="19.525276724408837"/>
    <n v="0"/>
    <m/>
    <n v="6.3498904249437313E-2"/>
    <n v="1E-8"/>
    <n v="93.623875436974913"/>
    <n v="56.174324825273523"/>
    <n v="0.86838406388242118"/>
    <m/>
    <m/>
    <m/>
    <m/>
    <m/>
    <m/>
    <m/>
    <m/>
    <m/>
    <m/>
    <m/>
    <s v="-"/>
    <m/>
    <m/>
    <m/>
    <m/>
    <m/>
    <m/>
    <m/>
    <m/>
    <m/>
    <m/>
    <m/>
    <n v="735.72331726782454"/>
    <n v="0.28149956297008599"/>
    <n v="0.27572522325266929"/>
    <n v="341.59981096166263"/>
    <n v="301.5312853266139"/>
    <x v="1"/>
    <n v="0"/>
    <n v="0"/>
    <n v="0"/>
    <n v="1"/>
    <n v="0.1"/>
    <x v="0"/>
    <n v="5.9258799381662154E-2"/>
    <n v="1E-8"/>
    <n v="301.5312853266139"/>
    <n v="5.9258799381662154E-2"/>
    <n v="57.704159034195456"/>
    <n v="189.97279414212906"/>
    <n v="103644.99427820207"/>
    <n v="79.904458425725466"/>
    <n v="286432.60692926013"/>
    <x v="0"/>
    <n v="6.1295600552315841E-6"/>
    <n v="2236449.9427820207"/>
    <n v="0.1280746782881059"/>
  </r>
  <r>
    <x v="0"/>
    <n v="1000"/>
    <n v="25"/>
    <x v="0"/>
    <n v="18.009822496854699"/>
    <n v="6.3530947947460819"/>
    <n v="21.919928797480679"/>
    <n v="0"/>
    <m/>
    <n v="6.4096329812298097E-2"/>
    <n v="1E-8"/>
    <n v="106.9113566715474"/>
    <n v="64.146813504008776"/>
    <n v="0.95878634269222696"/>
    <m/>
    <m/>
    <m/>
    <m/>
    <m/>
    <m/>
    <m/>
    <m/>
    <m/>
    <m/>
    <m/>
    <s v="-"/>
    <m/>
    <m/>
    <m/>
    <m/>
    <m/>
    <m/>
    <m/>
    <m/>
    <m/>
    <m/>
    <m/>
    <n v="770.5018189478493"/>
    <n v="0.28983190837172162"/>
    <n v="0.28106783029809201"/>
    <n v="335.92357233570976"/>
    <n v="291.10864760173581"/>
    <x v="1"/>
    <n v="0"/>
    <n v="0"/>
    <n v="0"/>
    <n v="1"/>
    <n v="0.1"/>
    <x v="0"/>
    <n v="6.0079128768922963E-2"/>
    <n v="1E-8"/>
    <n v="291.10864760173581"/>
    <n v="6.0079128768922963E-2"/>
    <n v="66.035144217096416"/>
    <n v="204.13889095327374"/>
    <n v="115494.83793650313"/>
    <n v="89.284670347900942"/>
    <n v="350881.64514813898"/>
    <x v="0"/>
    <n v="6.3954171427784872E-6"/>
    <n v="2354948.3793650316"/>
    <n v="0.1489975951161816"/>
  </r>
  <r>
    <x v="0"/>
    <n v="1300"/>
    <n v="25"/>
    <x v="0"/>
    <n v="20.106044307102195"/>
    <n v="7.3638482552163067"/>
    <n v="24.584188231549245"/>
    <n v="0"/>
    <m/>
    <n v="6.4981016142536388E-2"/>
    <n v="1E-8"/>
    <n v="122.23743983829652"/>
    <n v="73.342463332536525"/>
    <n v="1.0531056449881735"/>
    <m/>
    <m/>
    <m/>
    <m/>
    <m/>
    <m/>
    <m/>
    <m/>
    <m/>
    <m/>
    <m/>
    <s v="-"/>
    <m/>
    <m/>
    <m/>
    <m/>
    <m/>
    <m/>
    <m/>
    <m/>
    <m/>
    <m/>
    <m/>
    <n v="806.34389715158011"/>
    <n v="0.2995359531849896"/>
    <n v="0.28650108873655644"/>
    <n v="329.82210156419296"/>
    <n v="279.79107465749371"/>
    <x v="1"/>
    <n v="0"/>
    <n v="0"/>
    <n v="0"/>
    <n v="1"/>
    <n v="0.1"/>
    <x v="0"/>
    <n v="6.1192185316342268E-2"/>
    <n v="1E-8"/>
    <n v="279.79107465749371"/>
    <n v="6.1192185316342268E-2"/>
    <n v="75.697245947311103"/>
    <n v="218.47073183891487"/>
    <n v="128502.18243043107"/>
    <n v="100.01718689664351"/>
    <n v="430050.318424267"/>
    <x v="0"/>
    <n v="6.628425913285397E-6"/>
    <n v="2485021.8243043106"/>
    <n v="0.1730569583809031"/>
  </r>
  <r>
    <x v="0"/>
    <n v="1600"/>
    <n v="25"/>
    <x v="0"/>
    <n v="21.549201959835163"/>
    <n v="8.1033120089217157"/>
    <n v="26.438049589385702"/>
    <n v="0"/>
    <m/>
    <n v="6.5567101919237966E-2"/>
    <n v="1E-8"/>
    <n v="133.34190948770706"/>
    <n v="80.005145070361976"/>
    <n v="1.1180284624361585"/>
    <m/>
    <m/>
    <m/>
    <m/>
    <m/>
    <m/>
    <m/>
    <m/>
    <m/>
    <m/>
    <m/>
    <s v="-"/>
    <m/>
    <m/>
    <m/>
    <m/>
    <m/>
    <m/>
    <m/>
    <m/>
    <m/>
    <m/>
    <m/>
    <n v="831.1632987932054"/>
    <n v="0.30650188401851769"/>
    <n v="0.2903079574136101"/>
    <n v="325.77123220520821"/>
    <n v="272.14906757512608"/>
    <x v="1"/>
    <n v="0"/>
    <n v="0"/>
    <n v="0"/>
    <n v="1"/>
    <n v="0.1"/>
    <x v="0"/>
    <n v="6.1945734251945585E-2"/>
    <n v="1E-8"/>
    <n v="272.14906757512608"/>
    <n v="6.1945734251945585E-2"/>
    <n v="82.667463682647053"/>
    <n v="227.31640240225903"/>
    <n v="137245.56886327273"/>
    <n v="107.56024763361451"/>
    <n v="489573.40364514926"/>
    <x v="0"/>
    <n v="6.7629431102520007E-6"/>
    <n v="2572455.6886327271"/>
    <n v="0.19031363914585442"/>
  </r>
  <r>
    <x v="0"/>
    <n v="1900"/>
    <n v="25"/>
    <x v="0"/>
    <n v="22.570907081757053"/>
    <n v="8.6499851628271465"/>
    <n v="27.760748387344961"/>
    <n v="0"/>
    <m/>
    <n v="6.6025310974005533E-2"/>
    <n v="1E-8"/>
    <n v="141.49621874656515"/>
    <n v="84.897730587623386"/>
    <n v="1.1627299499994397"/>
    <m/>
    <m/>
    <m/>
    <m/>
    <m/>
    <m/>
    <m/>
    <m/>
    <m/>
    <m/>
    <m/>
    <s v="-"/>
    <m/>
    <m/>
    <m/>
    <m/>
    <m/>
    <m/>
    <m/>
    <m/>
    <m/>
    <m/>
    <m/>
    <n v="848.1674649653753"/>
    <n v="0.3115904889210529"/>
    <n v="0.29300314381872961"/>
    <n v="322.96701397947845"/>
    <n v="266.80248996565535"/>
    <x v="1"/>
    <n v="0"/>
    <n v="0"/>
    <n v="0"/>
    <n v="1"/>
    <n v="0.1"/>
    <x v="0"/>
    <n v="6.2521977667584216E-2"/>
    <n v="1E-8"/>
    <n v="266.80248996565535"/>
    <n v="6.2521977667584216E-2"/>
    <n v="87.7705575234462"/>
    <n v="232.931976338526"/>
    <n v="143286.25048392641"/>
    <n v="113.00751333120675"/>
    <n v="534220.56192729529"/>
    <x v="0"/>
    <n v="6.8480008519785832E-6"/>
    <n v="2632862.5048392639"/>
    <n v="0.20290484632045358"/>
  </r>
  <r>
    <x v="0"/>
    <n v="1000"/>
    <n v="25"/>
    <x v="1"/>
    <n v="12.407846734465398"/>
    <n v="10.916976058886249"/>
    <n v="18.737724740346373"/>
    <n v="0"/>
    <m/>
    <n v="9.8075863044557121E-2"/>
    <n v="1E-8"/>
    <n v="113.27586348643757"/>
    <n v="67.965517563241832"/>
    <n v="1.040420268059675"/>
    <m/>
    <m/>
    <m/>
    <m/>
    <m/>
    <m/>
    <m/>
    <m/>
    <m/>
    <m/>
    <m/>
    <s v="-"/>
    <m/>
    <m/>
    <m/>
    <m/>
    <m/>
    <m/>
    <m/>
    <m/>
    <m/>
    <m/>
    <m/>
    <n v="646.03864885685857"/>
    <n v="0.58262015320246641"/>
    <n v="0.28657957214488039"/>
    <n v="156.70365950510734"/>
    <n v="125.82851482702119"/>
    <x v="1"/>
    <n v="0"/>
    <n v="0"/>
    <n v="0"/>
    <n v="1"/>
    <n v="0.1"/>
    <x v="0"/>
    <n v="9.1632967022558187E-2"/>
    <n v="1E-8"/>
    <n v="125.82851482702119"/>
    <n v="9.1632967022558187E-2"/>
    <n v="94.219829031827501"/>
    <n v="224.48799745007366"/>
    <n v="147686.07576171213"/>
    <n v="124.06799312506656"/>
    <n v="259148.93763642927"/>
    <x v="1"/>
    <n v="3.9849012227145639E-6"/>
    <n v="2676860.7576171216"/>
    <n v="9.6810764960041318E-2"/>
  </r>
  <r>
    <x v="0"/>
    <n v="1000"/>
    <n v="25"/>
    <x v="2"/>
    <n v="15.802655511282222"/>
    <n v="8.1322552460457427"/>
    <n v="20.655515762481492"/>
    <n v="0"/>
    <m/>
    <n v="7.825222630495822E-2"/>
    <n v="1E-8"/>
    <n v="109.40292426346309"/>
    <n v="65.641754047530867"/>
    <n v="1.0182927353897031"/>
    <m/>
    <m/>
    <m/>
    <m/>
    <m/>
    <m/>
    <m/>
    <m/>
    <m/>
    <m/>
    <m/>
    <s v="-"/>
    <m/>
    <m/>
    <m/>
    <m/>
    <m/>
    <m/>
    <m/>
    <m/>
    <m/>
    <m/>
    <m/>
    <n v="714.13526909444522"/>
    <n v="0.39370865097530527"/>
    <n v="0.28377001340886654"/>
    <n v="244.31174978128095"/>
    <n v="204.98890139959349"/>
    <x v="1"/>
    <n v="0"/>
    <n v="0"/>
    <n v="0"/>
    <n v="1"/>
    <n v="0.1"/>
    <x v="0"/>
    <n v="7.3078866894265043E-2"/>
    <n v="1E-8"/>
    <n v="204.98890139959349"/>
    <n v="7.3078866894265043E-2"/>
    <n v="77.042510072283122"/>
    <n v="211.8761064111093"/>
    <n v="127848.5206246389"/>
    <n v="102.81694485945043"/>
    <n v="318920.61577862373"/>
    <x v="1"/>
    <n v="5.3958366023753716E-6"/>
    <n v="2478485.2062463891"/>
    <n v="0.12867561806496394"/>
  </r>
  <r>
    <x v="0"/>
    <n v="1000"/>
    <n v="25"/>
    <x v="0"/>
    <n v="18.013886112790335"/>
    <n v="6.3555571673831679"/>
    <n v="21.925468547115713"/>
    <n v="0"/>
    <m/>
    <n v="6.416856135431194E-2"/>
    <n v="1E-8"/>
    <n v="106.92277782197449"/>
    <n v="64.153666194211723"/>
    <n v="0.95760004295130186"/>
    <m/>
    <m/>
    <m/>
    <m/>
    <m/>
    <m/>
    <m/>
    <m/>
    <m/>
    <m/>
    <m/>
    <s v="-"/>
    <m/>
    <m/>
    <m/>
    <m/>
    <m/>
    <m/>
    <m/>
    <m/>
    <m/>
    <m/>
    <m/>
    <n v="769.8645527596193"/>
    <n v="0.28987098513884391"/>
    <n v="0.28098214991417675"/>
    <n v="335.88957121193465"/>
    <n v="291.06453128396862"/>
    <x v="1"/>
    <n v="0"/>
    <n v="0"/>
    <n v="0"/>
    <n v="1"/>
    <n v="0.1"/>
    <x v="0"/>
    <n v="6.0143590440946477E-2"/>
    <n v="1E-8"/>
    <n v="291.06453128396862"/>
    <n v="6.0143590440946477E-2"/>
    <n v="66.057495004500907"/>
    <n v="204.1737268956258"/>
    <n v="115551.63611832293"/>
    <n v="89.347813357892534"/>
    <n v="351087.38281997328"/>
    <x v="1"/>
    <n v="6.394997651093137E-6"/>
    <n v="2355516.3611832294"/>
    <n v="0.14904901048686162"/>
  </r>
  <r>
    <x v="0"/>
    <n v="1000"/>
    <n v="25"/>
    <x v="3"/>
    <n v="19.526999899512166"/>
    <n v="5.1656330219926954"/>
    <n v="22.808935603698288"/>
    <n v="0"/>
    <m/>
    <n v="5.3528548180815573E-2"/>
    <n v="1E-8"/>
    <n v="105.31575744980597"/>
    <n v="63.189453978410043"/>
    <n v="0.88975989919265919"/>
    <m/>
    <m/>
    <m/>
    <m/>
    <m/>
    <m/>
    <m/>
    <m/>
    <m/>
    <m/>
    <m/>
    <s v="-"/>
    <m/>
    <m/>
    <m/>
    <m/>
    <m/>
    <m/>
    <m/>
    <m/>
    <m/>
    <m/>
    <m/>
    <n v="826.21305636277953"/>
    <n v="0.22647409382641814"/>
    <n v="0.27865159778665016"/>
    <n v="429.92324445789461"/>
    <n v="381.3331067664501"/>
    <x v="1"/>
    <n v="0"/>
    <n v="0"/>
    <n v="0"/>
    <n v="1"/>
    <n v="0.1"/>
    <x v="0"/>
    <n v="5.0465036235979172E-2"/>
    <n v="1E-8"/>
    <n v="381.3331067664501"/>
    <n v="5.0465036235979172E-2"/>
    <n v="58.708266112830181"/>
    <n v="199.32698946855533"/>
    <n v="107520.21018880323"/>
    <n v="80.320687807354261"/>
    <n v="369611.11955368519"/>
    <x v="1"/>
    <n v="7.1179136256119981E-6"/>
    <n v="2275202.1018880326"/>
    <n v="0.16245199459290693"/>
  </r>
  <r>
    <x v="0"/>
    <n v="1000"/>
    <n v="25"/>
    <x v="4"/>
    <n v="20.619284420568476"/>
    <n v="4.3302285838671555"/>
    <n v="23.459842901627528"/>
    <n v="0"/>
    <m/>
    <n v="4.5403104474437156E-2"/>
    <n v="1E-8"/>
    <n v="104.24485493351284"/>
    <n v="62.546912473631714"/>
    <n v="0.82288186053953627"/>
    <m/>
    <m/>
    <m/>
    <m/>
    <m/>
    <m/>
    <m/>
    <m/>
    <m/>
    <m/>
    <m/>
    <s v="-"/>
    <m/>
    <m/>
    <m/>
    <m/>
    <m/>
    <m/>
    <m/>
    <m/>
    <m/>
    <m/>
    <m/>
    <n v="885.59874028233128"/>
    <n v="0.18458045955485686"/>
    <n v="0.27664256573080875"/>
    <n v="525.46597315529391"/>
    <n v="474.15781001256306"/>
    <x v="1"/>
    <n v="0"/>
    <n v="0"/>
    <n v="0"/>
    <n v="1"/>
    <n v="0.1"/>
    <x v="0"/>
    <n v="4.3090183792779714E-2"/>
    <n v="1E-8"/>
    <n v="474.15781001256306"/>
    <n v="4.3090183792779714E-2"/>
    <n v="53.568651776051027"/>
    <n v="196.15699856858973"/>
    <n v="102043.75580079932"/>
    <n v="74.020677081600965"/>
    <n v="381406.47531905177"/>
    <x v="1"/>
    <n v="7.6564642885021206E-6"/>
    <n v="2220437.5580079933"/>
    <n v="0.17177086288398963"/>
  </r>
  <r>
    <x v="0"/>
    <n v="1000"/>
    <n v="25"/>
    <x v="5"/>
    <n v="21.439155322018948"/>
    <n v="3.7168445086745479"/>
    <n v="23.95601809414195"/>
    <n v="0"/>
    <m/>
    <n v="3.9077203006869954E-2"/>
    <n v="1E-8"/>
    <n v="103.49684461277519"/>
    <n v="62.098106284679837"/>
    <n v="0.76115963911578932"/>
    <m/>
    <m/>
    <m/>
    <m/>
    <m/>
    <m/>
    <m/>
    <m/>
    <m/>
    <m/>
    <m/>
    <s v="-"/>
    <m/>
    <m/>
    <m/>
    <m/>
    <m/>
    <m/>
    <m/>
    <m/>
    <m/>
    <m/>
    <m/>
    <n v="949.25712401926421"/>
    <n v="0.15515285111524613"/>
    <n v="0.27495175385370446"/>
    <n v="622.02575534969583"/>
    <n v="568.67730446136977"/>
    <x v="1"/>
    <n v="0"/>
    <n v="0"/>
    <n v="0"/>
    <n v="1"/>
    <n v="0.1"/>
    <x v="0"/>
    <n v="3.7334206466820737E-2"/>
    <n v="1E-8"/>
    <n v="568.67730446136977"/>
    <n v="3.7334206466820737E-2"/>
    <n v="49.808274970113551"/>
    <n v="193.97027527425061"/>
    <n v="98110.175711065502"/>
    <n v="69.405931840040026"/>
    <n v="389408.79275724734"/>
    <x v="1"/>
    <n v="8.069731170651931E-6"/>
    <n v="2181101.7571106553"/>
    <n v="0.17853765487452733"/>
  </r>
  <r>
    <x v="0"/>
    <n v="1000"/>
    <n v="25"/>
    <x v="6"/>
    <n v="22.072629741169578"/>
    <n v="3.2495273406721252"/>
    <n v="24.343053517791862"/>
    <n v="0"/>
    <m/>
    <n v="3.4050725809827508E-2"/>
    <n v="1E-8"/>
    <n v="102.95028590844292"/>
    <n v="61.770171064631086"/>
    <n v="0.70619289268006324"/>
    <m/>
    <m/>
    <m/>
    <m/>
    <m/>
    <m/>
    <m/>
    <m/>
    <m/>
    <m/>
    <m/>
    <s v="-"/>
    <m/>
    <m/>
    <m/>
    <m/>
    <m/>
    <m/>
    <m/>
    <m/>
    <m/>
    <m/>
    <m/>
    <n v="1017.4872560016152"/>
    <n v="0.13348889605394448"/>
    <n v="0.27356678376977417"/>
    <n v="719.31538823168944"/>
    <n v="664.39080966158349"/>
    <x v="1"/>
    <n v="0"/>
    <n v="0"/>
    <n v="0"/>
    <n v="1"/>
    <n v="0.1"/>
    <x v="0"/>
    <n v="3.2734623113731459E-2"/>
    <n v="1E-8"/>
    <n v="664.39080966158349"/>
    <n v="3.2734623113731459E-2"/>
    <n v="46.949884031032397"/>
    <n v="192.3864432918991"/>
    <n v="95151.744457314024"/>
    <n v="65.877599222589609"/>
    <n v="395038.34815255157"/>
    <x v="1"/>
    <n v="8.3952479716157025E-6"/>
    <n v="2151517.4445731402"/>
    <n v="0.18360917739661969"/>
  </r>
  <r>
    <x v="0"/>
    <n v="1000"/>
    <n v="25"/>
    <x v="7"/>
    <n v="22.579706540311811"/>
    <n v="2.8838769016771288"/>
    <n v="24.657538913000902"/>
    <n v="0"/>
    <m/>
    <n v="3.0062768530701639E-2"/>
    <n v="1E-8"/>
    <n v="102.54356500275406"/>
    <n v="61.526138523115797"/>
    <n v="0.65640560692791505"/>
    <m/>
    <m/>
    <m/>
    <m/>
    <m/>
    <m/>
    <m/>
    <m/>
    <m/>
    <m/>
    <m/>
    <s v="-"/>
    <m/>
    <m/>
    <m/>
    <m/>
    <m/>
    <m/>
    <m/>
    <m/>
    <m/>
    <m/>
    <m/>
    <n v="1089.1037719598137"/>
    <n v="0.11695720776725935"/>
    <n v="0.27233118064157791"/>
    <n v="817.08732548686908"/>
    <n v="760.90096849585632"/>
    <x v="1"/>
    <n v="0"/>
    <n v="0"/>
    <n v="0"/>
    <n v="1"/>
    <n v="0.1"/>
    <x v="0"/>
    <n v="2.9061519974221399E-2"/>
    <n v="1E-8"/>
    <n v="760.90096849585632"/>
    <n v="2.9061519974221399E-2"/>
    <n v="44.723588451728816"/>
    <n v="191.21537101447291"/>
    <n v="92889.258536857975"/>
    <n v="63.142197725738747"/>
    <n v="399364.70636406349"/>
    <x v="1"/>
    <n v="8.657222094141445E-6"/>
    <n v="2128892.5853685797"/>
    <n v="0.18759269918492419"/>
  </r>
  <r>
    <x v="0"/>
    <n v="1000"/>
    <n v="25"/>
    <x v="8"/>
    <n v="22.99064074985969"/>
    <n v="2.5900013706499538"/>
    <n v="24.913744679556938"/>
    <n v="0"/>
    <m/>
    <n v="2.6805859598349257E-2"/>
    <n v="1E-8"/>
    <n v="102.22693595234071"/>
    <n v="61.336161094345393"/>
    <n v="0.61265897694998261"/>
    <m/>
    <m/>
    <m/>
    <m/>
    <m/>
    <m/>
    <m/>
    <m/>
    <m/>
    <m/>
    <m/>
    <s v="-"/>
    <m/>
    <m/>
    <m/>
    <m/>
    <m/>
    <m/>
    <m/>
    <m/>
    <m/>
    <m/>
    <m/>
    <n v="1164.3785084604074"/>
    <n v="0.10395873458457607"/>
    <n v="0.27130137482404248"/>
    <n v="915.25792759151818"/>
    <n v="858.04901998541595"/>
    <x v="1"/>
    <n v="0"/>
    <n v="0"/>
    <n v="0"/>
    <n v="1"/>
    <n v="0.1"/>
    <x v="0"/>
    <n v="2.6038643541826938E-2"/>
    <n v="1E-8"/>
    <n v="858.04901998541595"/>
    <n v="2.6038643541826938E-2"/>
    <n v="42.936974317039386"/>
    <n v="190.30809850088241"/>
    <n v="91082.898811562962"/>
    <n v="60.933199248026661"/>
    <n v="402638.38947944116"/>
    <x v="1"/>
    <n v="8.8722254993368335E-6"/>
    <n v="2110828.9881156296"/>
    <n v="0.19074893880384067"/>
  </r>
  <r>
    <x v="0"/>
    <n v="1000"/>
    <n v="25"/>
    <x v="9"/>
    <n v="23.331455150646011"/>
    <n v="2.3493287764321691"/>
    <n v="25.127923814873945"/>
    <n v="0"/>
    <m/>
    <n v="2.4134126245120513E-2"/>
    <n v="1E-8"/>
    <n v="101.9765381147929"/>
    <n v="61.185922392985233"/>
    <n v="0.57371009332252598"/>
    <m/>
    <m/>
    <m/>
    <m/>
    <m/>
    <m/>
    <m/>
    <m/>
    <m/>
    <m/>
    <m/>
    <s v="-"/>
    <m/>
    <m/>
    <m/>
    <m/>
    <m/>
    <m/>
    <m/>
    <m/>
    <m/>
    <m/>
    <m/>
    <n v="1242.5132710886919"/>
    <n v="9.3494742890040658E-2"/>
    <n v="0.27040053897873484"/>
    <n v="1013.7152047153247"/>
    <n v="955.65822442742922"/>
    <x v="1"/>
    <n v="0"/>
    <n v="0"/>
    <n v="0"/>
    <n v="1"/>
    <n v="0.1"/>
    <x v="0"/>
    <n v="2.3540788397438641E-2"/>
    <n v="1E-8"/>
    <n v="955.65822442742922"/>
    <n v="2.3540788397438641E-2"/>
    <n v="41.477680936525473"/>
    <n v="189.59330756197394"/>
    <n v="89621.217153486927"/>
    <n v="59.12840284276696"/>
    <n v="405253.80681784049"/>
    <x v="1"/>
    <n v="9.0515096778187149E-6"/>
    <n v="2096212.1715348694"/>
    <n v="0.19332671201937981"/>
  </r>
  <r>
    <x v="0"/>
    <n v="1000"/>
    <n v="25"/>
    <x v="0"/>
    <n v="18.016697698912274"/>
    <n v="6.3572599627707014"/>
    <n v="21.929301233922686"/>
    <n v="0"/>
    <m/>
    <n v="6.4218524618598782E-2"/>
    <n v="1E-8"/>
    <n v="106.93071632526573"/>
    <n v="64.158429296149421"/>
    <n v="0.95677992862583405"/>
    <m/>
    <m/>
    <m/>
    <m/>
    <m/>
    <m/>
    <m/>
    <m/>
    <m/>
    <m/>
    <m/>
    <s v="-"/>
    <m/>
    <m/>
    <m/>
    <m/>
    <m/>
    <m/>
    <m/>
    <m/>
    <m/>
    <m/>
    <m/>
    <n v="769.42405775263353"/>
    <n v="0.28989797235018977"/>
    <n v="0.28092299861141029"/>
    <n v="335.86606369728361"/>
    <n v="291.03409343971651"/>
    <x v="1"/>
    <n v="0"/>
    <n v="0"/>
    <n v="0"/>
    <n v="1"/>
    <n v="0.1"/>
    <x v="0"/>
    <n v="6.0188184636868744E-2"/>
    <n v="1E-8"/>
    <n v="291.03409343971651"/>
    <n v="6.0188184636868744E-2"/>
    <n v="66.07295256532673"/>
    <n v="204.19794366771498"/>
    <n v="115590.96446743688"/>
    <n v="89.391477782310389"/>
    <n v="351229.81532347359"/>
    <x v="2"/>
    <n v="6.3947065954908542E-6"/>
    <n v="2355909.6446743687"/>
    <n v="0.14908458654916718"/>
  </r>
  <r>
    <x v="0"/>
    <n v="1000"/>
    <n v="25"/>
    <x v="0"/>
    <n v="17.382440103891099"/>
    <n v="6.0433896161890903"/>
    <n v="21.096926893277161"/>
    <n v="0"/>
    <m/>
    <n v="6.380985813462671E-2"/>
    <n v="1E-8"/>
    <n v="102.9474979585909"/>
    <n v="61.768498294732893"/>
    <n v="0.92620532687537693"/>
    <m/>
    <m/>
    <m/>
    <m/>
    <m/>
    <m/>
    <m/>
    <m/>
    <m/>
    <m/>
    <m/>
    <s v="-"/>
    <m/>
    <m/>
    <m/>
    <m/>
    <m/>
    <m/>
    <m/>
    <m/>
    <m/>
    <m/>
    <m/>
    <n v="758.32414286114295"/>
    <n v="0.28645829066767553"/>
    <n v="0.28252793251020369"/>
    <n v="338.47532189312528"/>
    <n v="295.22147942345447"/>
    <x v="1"/>
    <n v="0"/>
    <n v="0"/>
    <n v="0"/>
    <n v="1"/>
    <n v="0.1"/>
    <x v="1"/>
    <n v="5.9898170350080174E-2"/>
    <n v="1E-8"/>
    <n v="295.22147942345447"/>
    <n v="5.9898170350080174E-2"/>
    <n v="63.066667553635874"/>
    <n v="192.37839417176241"/>
    <n v="107842.19304125849"/>
    <n v="84.73839834484393"/>
    <n v="399405.94926313777"/>
    <x v="2"/>
    <n v="6.221641507065057E-6"/>
    <n v="2278421.9304125849"/>
    <n v="0.17529937889546732"/>
  </r>
  <r>
    <x v="0"/>
    <n v="1000"/>
    <n v="25"/>
    <x v="0"/>
    <n v="15.101531852504243"/>
    <n v="4.9969618722313109"/>
    <n v="18.161439895151776"/>
    <n v="0"/>
    <m/>
    <n v="6.2654293731474339E-2"/>
    <n v="1E-8"/>
    <n v="88.768773656040892"/>
    <n v="53.261263779370253"/>
    <n v="0.81292458507239851"/>
    <m/>
    <m/>
    <m/>
    <m/>
    <m/>
    <m/>
    <m/>
    <m/>
    <m/>
    <m/>
    <m/>
    <s v="-"/>
    <m/>
    <m/>
    <m/>
    <m/>
    <m/>
    <m/>
    <m/>
    <m/>
    <m/>
    <m/>
    <m/>
    <n v="716.30315686353663"/>
    <n v="0.27514128290925088"/>
    <n v="0.28720437699034418"/>
    <n v="347.41886592831435"/>
    <n v="309.84086432733739"/>
    <x v="1"/>
    <n v="0"/>
    <n v="0"/>
    <n v="0"/>
    <n v="1"/>
    <n v="0.1"/>
    <x v="2"/>
    <n v="5.9107143729811212E-2"/>
    <n v="1E-8"/>
    <n v="309.84086432733739"/>
    <n v="5.9107143729811212E-2"/>
    <n v="52.878785780114455"/>
    <n v="154.88839372533241"/>
    <n v="83618.493010293882"/>
    <n v="69.682448887419099"/>
    <n v="520339.60014153289"/>
    <x v="2"/>
    <n v="5.6120728082161768E-6"/>
    <n v="2036184.9301029388"/>
    <n v="0.25554633690134781"/>
  </r>
  <r>
    <x v="0"/>
    <n v="1000"/>
    <n v="25"/>
    <x v="0"/>
    <n v="13.015293770514267"/>
    <n v="4.1320585835805757"/>
    <n v="15.539934495674579"/>
    <n v="0"/>
    <m/>
    <n v="6.15665930486455E-2"/>
    <n v="1E-8"/>
    <n v="76.042339265129129"/>
    <n v="45.625403204213228"/>
    <n v="0.71172828340068817"/>
    <m/>
    <m/>
    <m/>
    <m/>
    <m/>
    <m/>
    <m/>
    <m/>
    <m/>
    <m/>
    <m/>
    <s v="-"/>
    <m/>
    <m/>
    <m/>
    <m/>
    <m/>
    <m/>
    <m/>
    <m/>
    <m/>
    <m/>
    <m/>
    <n v="678.70702821432917"/>
    <n v="0.26589935657262276"/>
    <n v="0.29071193815891389"/>
    <n v="355.22958619126393"/>
    <n v="322.84288651398532"/>
    <x v="1"/>
    <n v="0"/>
    <n v="0"/>
    <n v="0"/>
    <n v="1"/>
    <n v="0.1"/>
    <x v="3"/>
    <n v="5.8331788270915411E-2"/>
    <n v="1E-8"/>
    <n v="322.84288651398532"/>
    <n v="5.8331788270915411E-2"/>
    <n v="44.258542385803118"/>
    <n v="125.92716546266823"/>
    <n v="65340.601599397072"/>
    <n v="57.517407885341562"/>
    <n v="585591.47676360945"/>
    <x v="2"/>
    <n v="5.0242848899439403E-6"/>
    <n v="1853406.0159939707"/>
    <n v="0.3159542332927846"/>
  </r>
  <r>
    <x v="0"/>
    <n v="1000"/>
    <n v="25"/>
    <x v="0"/>
    <n v="11.878805245410012"/>
    <n v="3.6921992350475419"/>
    <n v="14.132671935594981"/>
    <n v="0"/>
    <m/>
    <n v="6.1071896599501775E-2"/>
    <n v="1E-8"/>
    <n v="69.171541265448326"/>
    <n v="41.502924436468469"/>
    <n v="0.65531134290373561"/>
    <m/>
    <m/>
    <m/>
    <m/>
    <m/>
    <m/>
    <m/>
    <m/>
    <m/>
    <m/>
    <m/>
    <s v="-"/>
    <m/>
    <m/>
    <m/>
    <m/>
    <m/>
    <m/>
    <m/>
    <m/>
    <m/>
    <m/>
    <m/>
    <n v="657.45336276911519"/>
    <n v="0.2612527377606676"/>
    <n v="0.29226755417970568"/>
    <n v="359.35640109368376"/>
    <n v="329.79769131724737"/>
    <x v="1"/>
    <n v="0"/>
    <n v="0"/>
    <n v="0"/>
    <n v="1"/>
    <n v="0.1"/>
    <x v="4"/>
    <n v="5.7997433096296021E-2"/>
    <n v="1E-8"/>
    <n v="329.79769131724737"/>
    <n v="5.7997433096296021E-2"/>
    <n v="39.79878840235186"/>
    <n v="111.69306480979847"/>
    <n v="56615.35351784253"/>
    <n v="51.413764254680515"/>
    <n v="610347.66002359882"/>
    <x v="2"/>
    <n v="4.6785905771082123E-6"/>
    <n v="1766153.5351784253"/>
    <n v="0.34558018194150858"/>
  </r>
  <r>
    <x v="0"/>
    <n v="1000"/>
    <n v="25"/>
    <x v="0"/>
    <n v="10.47628804661066"/>
    <n v="3.1757672182203667"/>
    <n v="12.413265599967259"/>
    <n v="0"/>
    <m/>
    <n v="6.0453217550419866E-2"/>
    <n v="1E-8"/>
    <n v="60.76583777643549"/>
    <n v="36.459502382287383"/>
    <n v="0.58560396750986143"/>
    <m/>
    <m/>
    <m/>
    <m/>
    <m/>
    <m/>
    <m/>
    <m/>
    <m/>
    <m/>
    <m/>
    <s v="-"/>
    <m/>
    <m/>
    <m/>
    <m/>
    <m/>
    <m/>
    <m/>
    <m/>
    <m/>
    <m/>
    <m/>
    <n v="631.09956034830373"/>
    <n v="0.25583656392792747"/>
    <n v="0.2939996024850422"/>
    <n v="364.36631900839507"/>
    <n v="338.29757659337304"/>
    <x v="1"/>
    <n v="0"/>
    <n v="0"/>
    <n v="0"/>
    <n v="1"/>
    <n v="0.1"/>
    <x v="5"/>
    <n v="5.758180464631605E-2"/>
    <n v="1E-8"/>
    <n v="338.29757659337304"/>
    <n v="5.758180464631605E-2"/>
    <n v="34.494136432664504"/>
    <n v="95.364973087677029"/>
    <n v="46859.412658343121"/>
    <n v="44.272604610888635"/>
    <n v="631842.90226317151"/>
    <x v="2"/>
    <n v="4.2258668669836597E-6"/>
    <n v="1668594.1265834311"/>
    <n v="0.37866782112970526"/>
  </r>
  <r>
    <x v="0"/>
    <n v="1000"/>
    <n v="25"/>
    <x v="0"/>
    <n v="8.6743713820573856"/>
    <n v="2.5505621142310981"/>
    <n v="10.228860444612813"/>
    <n v="0"/>
    <m/>
    <n v="5.9661857158725302E-2"/>
    <n v="1E-8"/>
    <n v="50.073828443362466"/>
    <n v="30.044296832339612"/>
    <n v="0.49493008382043291"/>
    <m/>
    <m/>
    <m/>
    <m/>
    <m/>
    <m/>
    <m/>
    <m/>
    <m/>
    <m/>
    <m/>
    <s v="-"/>
    <m/>
    <m/>
    <m/>
    <m/>
    <m/>
    <m/>
    <m/>
    <m/>
    <m/>
    <m/>
    <m/>
    <n v="596.5702644093185"/>
    <n v="0.24934958571796637"/>
    <n v="0.29595413672205262"/>
    <n v="370.69014990588227"/>
    <n v="349.10522249910207"/>
    <x v="1"/>
    <n v="0"/>
    <n v="0"/>
    <n v="0"/>
    <n v="1"/>
    <n v="0.1"/>
    <x v="6"/>
    <n v="5.7068325919093464E-2"/>
    <n v="1E-8"/>
    <n v="349.10522249910207"/>
    <n v="5.7068325919093464E-2"/>
    <n v="27.96731597550674"/>
    <n v="76.042027064821696"/>
    <n v="35765.721330915527"/>
    <n v="35.641175111129918"/>
    <n v="646363.33753402031"/>
    <x v="2"/>
    <n v="3.5988462288483418E-6"/>
    <n v="1557657.2133091553"/>
    <n v="0.41495865201359527"/>
  </r>
  <r>
    <x v="0"/>
    <n v="1000"/>
    <n v="25"/>
    <x v="0"/>
    <n v="7.536293845525373"/>
    <n v="2.1756421713958591"/>
    <n v="8.861861457906846"/>
    <n v="0"/>
    <m/>
    <n v="5.9179588703917478E-2"/>
    <n v="1E-8"/>
    <n v="43.377011746144142"/>
    <n v="26.026206845260432"/>
    <n v="0.43644357133187617"/>
    <m/>
    <m/>
    <m/>
    <m/>
    <m/>
    <m/>
    <m/>
    <m/>
    <m/>
    <m/>
    <m/>
    <s v="-"/>
    <m/>
    <m/>
    <m/>
    <m/>
    <m/>
    <m/>
    <m/>
    <m/>
    <m/>
    <m/>
    <m/>
    <n v="574.09738308650253"/>
    <n v="0.24550622707542771"/>
    <n v="0.29703912547705347"/>
    <n v="374.62861556227023"/>
    <n v="355.87559742056447"/>
    <x v="1"/>
    <n v="0"/>
    <n v="0"/>
    <n v="0"/>
    <n v="1"/>
    <n v="0.1"/>
    <x v="7"/>
    <n v="5.6777575036756886E-2"/>
    <n v="1E-8"/>
    <n v="355.87559742056447"/>
    <n v="5.6777575036756886E-2"/>
    <n v="23.995190527204443"/>
    <n v="64.636448864505823"/>
    <n v="29504.047624009781"/>
    <n v="30.462161808911471"/>
    <n v="647992.78516107937"/>
    <x v="2"/>
    <n v="3.1755412679504889E-6"/>
    <n v="1495040.4762400978"/>
    <n v="0.433428255260839"/>
  </r>
  <r>
    <x v="0"/>
    <n v="1000"/>
    <n v="25"/>
    <x v="0"/>
    <n v="6.1291336177399449"/>
    <n v="1.731339393313498"/>
    <n v="7.1837281203001648"/>
    <n v="0"/>
    <m/>
    <n v="5.8587771084251582E-2"/>
    <n v="1E-8"/>
    <n v="35.155465042617621"/>
    <n v="21.093278861511735"/>
    <n v="0.36248838664489536"/>
    <m/>
    <m/>
    <m/>
    <m/>
    <m/>
    <m/>
    <m/>
    <m/>
    <m/>
    <m/>
    <m/>
    <s v="-"/>
    <m/>
    <m/>
    <m/>
    <m/>
    <m/>
    <m/>
    <m/>
    <m/>
    <m/>
    <m/>
    <m/>
    <n v="545.44286580775452"/>
    <n v="0.24100847976428647"/>
    <n v="0.29825717192290097"/>
    <n v="379.45017188279274"/>
    <n v="364.19867248530693"/>
    <x v="1"/>
    <n v="0"/>
    <n v="0"/>
    <n v="0"/>
    <n v="1"/>
    <n v="0.1"/>
    <x v="8"/>
    <n v="5.6450685672213397E-2"/>
    <n v="1E-8"/>
    <n v="364.19867248530693"/>
    <n v="5.6450685672213397E-2"/>
    <n v="19.22877141706282"/>
    <n v="51.26075630572538"/>
    <n v="22485.067682340756"/>
    <n v="24.309166055663013"/>
    <n v="640408.77754485013"/>
    <x v="2"/>
    <n v="2.6230236040742092E-6"/>
    <n v="1424850.6768234076"/>
    <n v="0.44945676621538411"/>
  </r>
  <r>
    <x v="0"/>
    <n v="1000"/>
    <n v="25"/>
    <x v="0"/>
    <n v="4.2142074723995098"/>
    <n v="1.1576070750866434"/>
    <n v="4.919213158609522"/>
    <n v="0"/>
    <m/>
    <n v="5.7813708473513747E-2"/>
    <n v="1E-8"/>
    <n v="24.06292946689603"/>
    <n v="14.437757567843946"/>
    <n v="0.25772613246884035"/>
    <m/>
    <m/>
    <m/>
    <m/>
    <m/>
    <m/>
    <m/>
    <m/>
    <m/>
    <m/>
    <m/>
    <s v="-"/>
    <m/>
    <m/>
    <m/>
    <m/>
    <m/>
    <m/>
    <m/>
    <m/>
    <m/>
    <m/>
    <m/>
    <n v="504.31514875228606"/>
    <n v="0.23532362549905353"/>
    <n v="0.29969991184777139"/>
    <n v="385.93857620305187"/>
    <n v="375.45208251786596"/>
    <x v="1"/>
    <n v="0"/>
    <n v="0"/>
    <n v="0"/>
    <n v="1"/>
    <n v="0.1"/>
    <x v="9"/>
    <n v="5.6113543742110042E-2"/>
    <n v="1E-8"/>
    <n v="375.45208251786596"/>
    <n v="5.6113543742110042E-2"/>
    <n v="12.974629950879464"/>
    <n v="34.155790177683443"/>
    <n v="14115.043726164862"/>
    <n v="16.325069288992921"/>
    <n v="606210.8538866021"/>
    <x v="2"/>
    <n v="1.8187877266477966E-6"/>
    <n v="1341150.4372616487"/>
    <n v="0.45200809472527115"/>
  </r>
  <r>
    <x v="0"/>
    <n v="1000"/>
    <n v="25"/>
    <x v="0"/>
    <n v="18.013465474983366"/>
    <n v="6.355300206761572"/>
    <n v="21.924893994813527"/>
    <n v="0"/>
    <m/>
    <n v="6.416102461348408E-2"/>
    <n v="1E-8"/>
    <n v="106.92160725027625"/>
    <n v="64.152963851198251"/>
    <n v="0.95772366792753738"/>
    <m/>
    <m/>
    <m/>
    <m/>
    <m/>
    <m/>
    <m/>
    <m/>
    <m/>
    <m/>
    <m/>
    <s v="-"/>
    <m/>
    <m/>
    <m/>
    <m/>
    <m/>
    <m/>
    <m/>
    <m/>
    <m/>
    <m/>
    <m/>
    <n v="769.93101721849996"/>
    <n v="0.28986686130683043"/>
    <n v="0.28099113162260164"/>
    <n v="335.89311744123938"/>
    <n v="291.06918325473151"/>
    <x v="1"/>
    <n v="0"/>
    <n v="0"/>
    <n v="0"/>
    <n v="1"/>
    <n v="0.1"/>
    <x v="0"/>
    <n v="6.0136867401108775E-2"/>
    <n v="1E-8"/>
    <n v="291.06918325473151"/>
    <n v="6.0136867401108775E-2"/>
    <n v="66.055166151210841"/>
    <n v="204.17015624422353"/>
    <n v="115545.72450781675"/>
    <n v="89.341210335526398"/>
    <n v="351066.02195311926"/>
    <x v="3"/>
    <n v="6.3950420165119676E-6"/>
    <n v="2355457.2450781674"/>
    <n v="0.14904368257445016"/>
  </r>
  <r>
    <x v="1"/>
    <n v="1000"/>
    <n v="25"/>
    <x v="0"/>
    <n v="17.865513701457289"/>
    <n v="6.4691917832600287"/>
    <n v="21.837130858568695"/>
    <n v="0"/>
    <m/>
    <n v="6.5088809319307217E-2"/>
    <n v="1E-8"/>
    <n v="107.07319614652002"/>
    <n v="64.243917188237091"/>
    <n v="0.96378106995798563"/>
    <m/>
    <m/>
    <m/>
    <m/>
    <m/>
    <m/>
    <m/>
    <m/>
    <m/>
    <m/>
    <m/>
    <s v="-"/>
    <m/>
    <m/>
    <m/>
    <m/>
    <m/>
    <m/>
    <m/>
    <m/>
    <m/>
    <m/>
    <m/>
    <n v="765.97295433955298"/>
    <n v="0.29624733327645814"/>
    <n v="0.25000196712865969"/>
    <n v="328.53850748997075"/>
    <n v="284.08241936055998"/>
    <x v="1"/>
    <n v="0"/>
    <n v="0"/>
    <n v="0"/>
    <n v="1"/>
    <n v="0.1"/>
    <x v="0"/>
    <n v="6.0984801971824175E-2"/>
    <n v="1E-8"/>
    <n v="284.08241936055998"/>
    <n v="6.0984801971824175E-2"/>
    <n v="66.754526467723935"/>
    <n v="204.63305154684329"/>
    <n v="116297.49146182697"/>
    <n v="90.175454645713359"/>
    <n v="349001.83431946393"/>
    <x v="3"/>
    <n v="6.3275803657641618E-6"/>
    <n v="2362974.9146182695"/>
    <n v="0.14769595401136282"/>
  </r>
  <r>
    <x v="2"/>
    <n v="1000"/>
    <n v="25"/>
    <x v="0"/>
    <n v="17.679877707333105"/>
    <n v="6.6226852486709245"/>
    <n v="21.732944694292403"/>
    <n v="0"/>
    <m/>
    <n v="6.6419962520097423E-2"/>
    <n v="1E-8"/>
    <n v="107.29332119779758"/>
    <n v="64.375992217976375"/>
    <n v="0.96922933589221039"/>
    <m/>
    <m/>
    <m/>
    <m/>
    <m/>
    <m/>
    <m/>
    <m/>
    <m/>
    <m/>
    <m/>
    <s v="-"/>
    <m/>
    <m/>
    <m/>
    <m/>
    <m/>
    <m/>
    <m/>
    <m/>
    <m/>
    <m/>
    <m/>
    <n v="759.85069737933929"/>
    <n v="0.30473023061666382"/>
    <n v="0.21889155113194328"/>
    <n v="319.22996746148488"/>
    <n v="275.23602943323425"/>
    <x v="1"/>
    <n v="0"/>
    <n v="0"/>
    <n v="0"/>
    <n v="1"/>
    <n v="0.1"/>
    <x v="0"/>
    <n v="6.2199373608960176E-2"/>
    <n v="1E-8"/>
    <n v="275.23602943323425"/>
    <n v="6.2199373608960176E-2"/>
    <n v="67.710471782309497"/>
    <n v="205.30701804709415"/>
    <n v="117388.06673027598"/>
    <n v="91.382727002440163"/>
    <n v="346643.91231104784"/>
    <x v="3"/>
    <n v="6.2392399464155562E-6"/>
    <n v="2373880.6673027598"/>
    <n v="0.14602415238711644"/>
  </r>
  <r>
    <x v="3"/>
    <n v="1000"/>
    <n v="25"/>
    <x v="0"/>
    <n v="17.422764605175924"/>
    <n v="6.8275238357731833"/>
    <n v="21.584300263783241"/>
    <n v="0"/>
    <m/>
    <n v="6.8100344067162213E-2"/>
    <n v="1E-8"/>
    <n v="107.57675524281768"/>
    <n v="64.546052643665746"/>
    <n v="0.97775352365265489"/>
    <m/>
    <m/>
    <m/>
    <m/>
    <m/>
    <m/>
    <m/>
    <m/>
    <m/>
    <m/>
    <m/>
    <s v="-"/>
    <m/>
    <m/>
    <m/>
    <m/>
    <m/>
    <m/>
    <m/>
    <m/>
    <m/>
    <m/>
    <m/>
    <n v="752.77846495907602"/>
    <n v="0.31631897964416439"/>
    <n v="0.1878582237721412"/>
    <n v="307.25577909057358"/>
    <n v="263.90170313274865"/>
    <x v="1"/>
    <n v="0"/>
    <n v="0"/>
    <n v="0"/>
    <n v="1"/>
    <n v="0.1"/>
    <x v="0"/>
    <n v="6.373671007589489E-2"/>
    <n v="1E-8"/>
    <n v="263.90170313274865"/>
    <n v="6.373671007589489E-2"/>
    <n v="68.976357168500357"/>
    <n v="206.17795860213749"/>
    <n v="118791.4446447778"/>
    <n v="92.931537686152481"/>
    <n v="343090.3301355947"/>
    <x v="3"/>
    <n v="6.1209906963408728E-6"/>
    <n v="2387914.446447778"/>
    <n v="0.14367781502640106"/>
  </r>
  <r>
    <x v="4"/>
    <n v="1000"/>
    <n v="25"/>
    <x v="0"/>
    <n v="17.060785559498957"/>
    <n v="7.1255768272018631"/>
    <n v="21.380447234886766"/>
    <n v="0"/>
    <m/>
    <n v="7.0573467859296676E-2"/>
    <n v="1E-8"/>
    <n v="108.00349752003746"/>
    <n v="64.802098008006155"/>
    <n v="0.98721614922537526"/>
    <m/>
    <m/>
    <m/>
    <m/>
    <m/>
    <m/>
    <m/>
    <m/>
    <m/>
    <m/>
    <m/>
    <s v="-"/>
    <m/>
    <m/>
    <m/>
    <m/>
    <m/>
    <m/>
    <m/>
    <m/>
    <m/>
    <m/>
    <m/>
    <n v="742.31511647713262"/>
    <n v="0.3332753870356352"/>
    <n v="0.15675160507971753"/>
    <n v="291.16037726808264"/>
    <n v="248.70704186444499"/>
    <x v="1"/>
    <n v="0"/>
    <n v="0"/>
    <n v="0"/>
    <n v="1"/>
    <n v="0.1"/>
    <x v="0"/>
    <n v="6.6000100761366393E-2"/>
    <n v="1E-8"/>
    <n v="248.70704186444499"/>
    <n v="6.6000100761366393E-2"/>
    <n v="70.829261649721275"/>
    <n v="207.49598319263762"/>
    <n v="120903.80393546852"/>
    <n v="95.253321522113964"/>
    <n v="338162.31068141805"/>
    <x v="3"/>
    <n v="5.9528007889773395E-6"/>
    <n v="2409038.0393546852"/>
    <n v="0.1403723416389068"/>
  </r>
  <r>
    <x v="5"/>
    <n v="1000"/>
    <n v="25"/>
    <x v="0"/>
    <n v="16.491457201453478"/>
    <n v="7.5685677752522089"/>
    <n v="21.04536722186127"/>
    <n v="0"/>
    <m/>
    <n v="7.3919834937424933E-2"/>
    <n v="1E-8"/>
    <n v="108.60174247675648"/>
    <n v="65.161044979245744"/>
    <n v="1.0048080604056762"/>
    <m/>
    <m/>
    <m/>
    <m/>
    <m/>
    <m/>
    <m/>
    <m/>
    <m/>
    <m/>
    <m/>
    <s v="-"/>
    <m/>
    <m/>
    <m/>
    <m/>
    <m/>
    <m/>
    <m/>
    <m/>
    <m/>
    <m/>
    <m/>
    <n v="730.28065674825336"/>
    <n v="0.35963106252620847"/>
    <n v="0.12580570347303691"/>
    <n v="268.91327860196748"/>
    <n v="227.87662654541566"/>
    <x v="1"/>
    <n v="0"/>
    <n v="0"/>
    <n v="0"/>
    <n v="1"/>
    <n v="0.1"/>
    <x v="0"/>
    <n v="6.9082935879255777E-2"/>
    <n v="1E-8"/>
    <n v="227.87662654541566"/>
    <n v="6.9082935879255777E-2"/>
    <n v="73.549834385536741"/>
    <n v="209.35748722642086"/>
    <n v="123867.26279903129"/>
    <n v="98.492965886254993"/>
    <n v="329424.3814540134"/>
    <x v="3"/>
    <n v="5.7021507438864191E-6"/>
    <n v="2438672.6279903129"/>
    <n v="0.13508347847635824"/>
  </r>
  <r>
    <x v="6"/>
    <n v="1000"/>
    <n v="25"/>
    <x v="0"/>
    <n v="15.549199379787979"/>
    <n v="8.3574672592269437"/>
    <n v="20.522050388343878"/>
    <n v="0"/>
    <m/>
    <n v="8.0082783555754003E-2"/>
    <n v="1E-8"/>
    <n v="109.74780790871519"/>
    <n v="65.84868423307266"/>
    <n v="1.0194074477748511"/>
    <m/>
    <m/>
    <m/>
    <m/>
    <m/>
    <m/>
    <m/>
    <m/>
    <m/>
    <m/>
    <m/>
    <s v="-"/>
    <m/>
    <m/>
    <m/>
    <m/>
    <m/>
    <m/>
    <m/>
    <m/>
    <m/>
    <m/>
    <m/>
    <n v="706.6400926037129"/>
    <n v="0.40724328715096719"/>
    <n v="9.4597800681738398E-2"/>
    <n v="235.62832045005811"/>
    <n v="196.93636871628729"/>
    <x v="1"/>
    <n v="0"/>
    <n v="0"/>
    <n v="0"/>
    <n v="1"/>
    <n v="0.1"/>
    <x v="0"/>
    <n v="7.4762653606299717E-2"/>
    <n v="1E-8"/>
    <n v="196.93636871628729"/>
    <n v="7.4762653606299717E-2"/>
    <n v="78.457803120396818"/>
    <n v="212.96949471293726"/>
    <n v="129569.58128726872"/>
    <n v="104.67745686403373"/>
    <n v="315264.35076460068"/>
    <x v="3"/>
    <n v="5.279293593463119E-6"/>
    <n v="2495695.8128726874"/>
    <n v="0.12632322783028335"/>
  </r>
  <r>
    <x v="7"/>
    <n v="1000"/>
    <n v="25"/>
    <x v="0"/>
    <n v="13.657744702394918"/>
    <n v="9.7956941507781448"/>
    <n v="19.389288401684283"/>
    <n v="0"/>
    <m/>
    <n v="9.0236412983310643E-2"/>
    <n v="1E-8"/>
    <n v="111.43965053525744"/>
    <n v="66.863789801102754"/>
    <n v="1.044156065462241"/>
    <m/>
    <m/>
    <m/>
    <m/>
    <m/>
    <m/>
    <m/>
    <m/>
    <m/>
    <m/>
    <m/>
    <s v="-"/>
    <m/>
    <m/>
    <m/>
    <m/>
    <m/>
    <m/>
    <m/>
    <m/>
    <m/>
    <m/>
    <m/>
    <n v="673.37083826542664"/>
    <n v="0.50521163788183299"/>
    <n v="6.3606681075723259E-2"/>
    <n v="185.2781426193975"/>
    <n v="151.29280553430615"/>
    <x v="1"/>
    <n v="0"/>
    <n v="0"/>
    <n v="0"/>
    <n v="1"/>
    <n v="0.1"/>
    <x v="0"/>
    <n v="8.427497253003037E-2"/>
    <n v="1E-8"/>
    <n v="151.29280553430615"/>
    <n v="8.427497253003037E-2"/>
    <n v="87.202695552011377"/>
    <n v="218.4156904444911"/>
    <n v="138958.28776441727"/>
    <n v="115.06295911562536"/>
    <n v="287868.6797915966"/>
    <x v="3"/>
    <n v="4.4997858053291339E-6"/>
    <n v="2589582.8776441729"/>
    <n v="0.11116411151647713"/>
  </r>
  <r>
    <x v="8"/>
    <n v="1000"/>
    <n v="25"/>
    <x v="0"/>
    <n v="9.3206467773973483"/>
    <n v="5.3089782569098718"/>
    <n v="12.412396069912894"/>
    <n v="0"/>
    <m/>
    <n v="8.7227381944771296E-2"/>
    <n v="1E-8"/>
    <n v="69.707817958600415"/>
    <n v="41.824690449857094"/>
    <n v="0.72437211662947498"/>
    <m/>
    <m/>
    <m/>
    <m/>
    <m/>
    <m/>
    <m/>
    <m/>
    <m/>
    <m/>
    <m/>
    <s v="-"/>
    <m/>
    <m/>
    <m/>
    <m/>
    <m/>
    <m/>
    <m/>
    <m/>
    <m/>
    <m/>
    <m/>
    <n v="551.31403804265381"/>
    <n v="0.42771582754909049"/>
    <n v="4.9662724002135297E-2"/>
    <n v="212.32107250104528"/>
    <n v="189.12797972791631"/>
    <x v="1"/>
    <n v="0"/>
    <n v="0"/>
    <n v="0"/>
    <n v="1"/>
    <n v="0.1"/>
    <x v="0"/>
    <n v="8.2157872961376791E-2"/>
    <n v="1E-8"/>
    <n v="189.12797972791631"/>
    <n v="8.2157872961376791E-2"/>
    <n v="49.256391043128701"/>
    <n v="112.77350225115016"/>
    <n v="63566.245185439439"/>
    <n v="62.130563373093821"/>
    <n v="660427.90263975924"/>
    <x v="3"/>
    <n v="3.41062534185595E-6"/>
    <n v="1835662.4518543943"/>
    <n v="0.35977633141245119"/>
  </r>
  <r>
    <x v="9"/>
    <n v="1000"/>
    <n v="25"/>
    <x v="0"/>
    <n v="3.3440714041174031"/>
    <n v="1.1190716223572656"/>
    <n v="4.0123914182584608"/>
    <n v="0"/>
    <m/>
    <n v="6.772565269128307E-2"/>
    <n v="1E-8"/>
    <n v="20.462669632159393"/>
    <n v="12.277601683803177"/>
    <n v="0.24305982054879455"/>
    <m/>
    <m/>
    <m/>
    <m/>
    <m/>
    <m/>
    <m/>
    <m/>
    <m/>
    <m/>
    <m/>
    <s v="-"/>
    <m/>
    <m/>
    <m/>
    <m/>
    <m/>
    <m/>
    <m/>
    <m/>
    <m/>
    <m/>
    <m/>
    <n v="436.61536783337704"/>
    <n v="0.27890390186383851"/>
    <n v="4.3660106327796065E-2"/>
    <n v="323.40670499035383"/>
    <n v="315.08545755897978"/>
    <x v="1"/>
    <n v="0"/>
    <n v="0"/>
    <n v="0"/>
    <n v="1"/>
    <n v="0.1"/>
    <x v="0"/>
    <n v="6.5550317241007516E-2"/>
    <n v="1E-8"/>
    <n v="315.08545755897978"/>
    <n v="6.5550317241007516E-2"/>
    <n v="11.799181123613772"/>
    <n v="28.80847159520836"/>
    <n v="12051.057195493502"/>
    <n v="14.705209589761477"/>
    <n v="814528.19236119965"/>
    <x v="3"/>
    <n v="1.1882456362011535E-6"/>
    <n v="1320510.5719549351"/>
    <n v="0.61682822512760382"/>
  </r>
  <r>
    <x v="0"/>
    <n v="100"/>
    <n v="25"/>
    <x v="0"/>
    <n v="3.2971055869897627"/>
    <n v="0.86788925293250507"/>
    <n v="3.9541376630178475"/>
    <n v="0.89188403959057883"/>
    <m/>
    <n v="0.18590353567661455"/>
    <n v="0.08"/>
    <n v="17.941113619258566"/>
    <n v="10.021602975335167"/>
    <n v="0.46419934109969707"/>
    <m/>
    <m/>
    <m/>
    <m/>
    <m/>
    <m/>
    <m/>
    <m/>
    <m/>
    <m/>
    <m/>
    <n v="0.52047051017169088"/>
    <m/>
    <m/>
    <m/>
    <m/>
    <m/>
    <m/>
    <m/>
    <m/>
    <m/>
    <m/>
    <m/>
    <n v="607.93919425311697"/>
    <n v="0.21948888149486456"/>
    <n v="0.20663604356734"/>
    <n v="384.043898972953"/>
    <n v="375.8395237032687"/>
    <x v="2"/>
    <n v="4.8813386259591285"/>
    <n v="1.3321822791215501"/>
    <n v="0.1"/>
    <n v="1"/>
    <n v="0.2"/>
    <x v="0"/>
    <n v="0.11435231750813456"/>
    <n v="0.08"/>
    <n v="375.8395237032687"/>
    <n v="0.11435231750813456"/>
    <n v="9.9744114363019385"/>
    <n v="70.240518514113731"/>
    <n v="25986.158512294187"/>
    <n v="18.994461310619155"/>
    <n v="18878.498026092959"/>
    <x v="0"/>
    <n v="2.0237144030353857E-6"/>
    <n v="1459861.585122942"/>
    <n v="1.2931704086523456E-2"/>
  </r>
  <r>
    <x v="0"/>
    <n v="200"/>
    <n v="25"/>
    <x v="0"/>
    <n v="6.0475137267317578"/>
    <n v="1.5890984437879081"/>
    <n v="7.1719817014359943"/>
    <n v="1.6483133361495188"/>
    <m/>
    <n v="0.18469985290839236"/>
    <n v="0.08"/>
    <n v="33.219458730874379"/>
    <n v="18.555828446401225"/>
    <n v="0.73443536100778894"/>
    <m/>
    <m/>
    <m/>
    <m/>
    <m/>
    <m/>
    <m/>
    <m/>
    <m/>
    <m/>
    <m/>
    <n v="0.44556780855965128"/>
    <m/>
    <m/>
    <m/>
    <m/>
    <m/>
    <m/>
    <m/>
    <m/>
    <m/>
    <m/>
    <m/>
    <n v="725.94726330492881"/>
    <n v="0.22157034275055865"/>
    <n v="0.23062707619307582"/>
    <n v="373.77795432107496"/>
    <n v="358.7295828010345"/>
    <x v="2"/>
    <n v="4.8813386259591285"/>
    <n v="1.3321822791215501"/>
    <n v="0.1"/>
    <n v="1"/>
    <n v="0.2"/>
    <x v="0"/>
    <n v="0.11818175206555721"/>
    <n v="0.08"/>
    <n v="358.7295828010345"/>
    <n v="0.11818175206555721"/>
    <n v="18.163293858543732"/>
    <n v="102.16070399887298"/>
    <n v="42009.66004459517"/>
    <n v="29.806797125240173"/>
    <n v="52280.663587796269"/>
    <x v="0"/>
    <n v="3.4015295192404477E-6"/>
    <n v="1620096.6004459518"/>
    <n v="3.2270090297952213E-2"/>
  </r>
  <r>
    <x v="0"/>
    <n v="300"/>
    <n v="25"/>
    <x v="0"/>
    <n v="8.3916885997642794"/>
    <n v="2.2322217064266026"/>
    <n v="9.9169387274027621"/>
    <n v="2.314177323385215"/>
    <m/>
    <n v="0.18464383708526469"/>
    <n v="0.08"/>
    <n v="46.704208025510084"/>
    <n v="26.088181594630974"/>
    <n v="0.93018254890696195"/>
    <m/>
    <m/>
    <m/>
    <m/>
    <m/>
    <m/>
    <m/>
    <m/>
    <m/>
    <m/>
    <m/>
    <n v="0.40194955654749753"/>
    <m/>
    <m/>
    <m/>
    <m/>
    <m/>
    <m/>
    <m/>
    <m/>
    <m/>
    <m/>
    <m/>
    <n v="809.79070162627579"/>
    <n v="0.22509181187723437"/>
    <n v="0.24380950035928262"/>
    <n v="365.58096141701566"/>
    <n v="344.69942717279503"/>
    <x v="2"/>
    <n v="4.8813386259591285"/>
    <n v="1.3321822791215501"/>
    <n v="0.1"/>
    <n v="1"/>
    <n v="0.2"/>
    <x v="0"/>
    <n v="0.12124410299943829"/>
    <n v="0.08"/>
    <n v="344.69942717279503"/>
    <n v="0.12124410299943829"/>
    <n v="25.319659650767068"/>
    <n v="125.08449728741637"/>
    <n v="55062.726698543316"/>
    <n v="38.571212482655909"/>
    <n v="90389.903627182503"/>
    <x v="0"/>
    <n v="4.3352682082589614E-6"/>
    <n v="1750627.2669854332"/>
    <n v="5.1632866305591843E-2"/>
  </r>
  <r>
    <x v="0"/>
    <n v="400"/>
    <n v="25"/>
    <x v="0"/>
    <n v="10.421926627902529"/>
    <n v="2.8174685349196467"/>
    <n v="12.304129546637524"/>
    <n v="2.9089778408422236"/>
    <m/>
    <n v="0.18484647202786345"/>
    <n v="0.08"/>
    <n v="58.775067075834677"/>
    <n v="32.83075953827278"/>
    <n v="1.0842052977935182"/>
    <m/>
    <m/>
    <m/>
    <m/>
    <m/>
    <m/>
    <m/>
    <m/>
    <m/>
    <m/>
    <m/>
    <n v="0.37271005731676971"/>
    <m/>
    <m/>
    <m/>
    <m/>
    <m/>
    <m/>
    <m/>
    <m/>
    <m/>
    <m/>
    <m/>
    <n v="874.90611406027358"/>
    <n v="0.22898560391780051"/>
    <n v="0.25257290483752642"/>
    <n v="358.73695701996741"/>
    <n v="332.80346516351443"/>
    <x v="2"/>
    <n v="4.8813386259591285"/>
    <n v="1.3321822791215501"/>
    <n v="0.1"/>
    <n v="1"/>
    <n v="0.2"/>
    <x v="0"/>
    <n v="0.12356470267677361"/>
    <n v="0.08"/>
    <n v="332.80346516351443"/>
    <n v="0.12356470267677361"/>
    <n v="31.705847168500647"/>
    <n v="143.28412311064596"/>
    <n v="66277.382692410189"/>
    <n v="46.103337399422571"/>
    <n v="130195.48152987598"/>
    <x v="0"/>
    <n v="4.9988601593465963E-6"/>
    <n v="1862773.8269241019"/>
    <n v="6.989333844402397E-2"/>
  </r>
  <r>
    <x v="0"/>
    <n v="600"/>
    <n v="25"/>
    <x v="0"/>
    <n v="13.754013374529995"/>
    <n v="3.846084716395489"/>
    <n v="16.250851579479519"/>
    <n v="3.9263392042038632"/>
    <m/>
    <n v="0.18550700060867648"/>
    <n v="0.08"/>
    <n v="79.475008818931812"/>
    <n v="44.393397296678536"/>
    <n v="1.3158147597870755"/>
    <m/>
    <m/>
    <m/>
    <m/>
    <m/>
    <m/>
    <m/>
    <m/>
    <m/>
    <m/>
    <m/>
    <n v="0.33512508506097882"/>
    <m/>
    <m/>
    <m/>
    <m/>
    <m/>
    <m/>
    <m/>
    <m/>
    <m/>
    <m/>
    <m/>
    <n v="971.58100698774183"/>
    <n v="0.2366697337419576"/>
    <n v="0.26398630072171275"/>
    <n v="347.89876089430447"/>
    <n v="313.67362709420433"/>
    <x v="2"/>
    <n v="4.8813386259591285"/>
    <n v="1.3321822791215501"/>
    <n v="0.1"/>
    <n v="1"/>
    <n v="0.2"/>
    <x v="0"/>
    <n v="0.12689539833873995"/>
    <n v="0.08"/>
    <n v="313.67362709420433"/>
    <n v="0.12689539833873995"/>
    <n v="42.649788918296544"/>
    <n v="170.93753784019853"/>
    <n v="84703.918036783129"/>
    <n v="58.580800860513641"/>
    <n v="209291.07241439243"/>
    <x v="0"/>
    <n v="5.852458052434473E-6"/>
    <n v="2047039.1803678311"/>
    <n v="0.10224087277937936"/>
  </r>
  <r>
    <x v="0"/>
    <n v="800"/>
    <n v="25"/>
    <x v="0"/>
    <n v="16.332401720640551"/>
    <n v="4.7086075374818739"/>
    <n v="19.334552267582801"/>
    <n v="4.7540177012123355"/>
    <m/>
    <n v="0.18632335388963461"/>
    <n v="0.08"/>
    <n v="96.368325817427788"/>
    <n v="53.829718780852033"/>
    <n v="1.4812927133049216"/>
    <m/>
    <m/>
    <m/>
    <m/>
    <m/>
    <m/>
    <m/>
    <m/>
    <m/>
    <m/>
    <m/>
    <n v="0.31158754687160145"/>
    <m/>
    <m/>
    <m/>
    <m/>
    <m/>
    <m/>
    <m/>
    <m/>
    <m/>
    <m/>
    <m/>
    <n v="1039.8289995874063"/>
    <n v="0.2435333113648844"/>
    <n v="0.27140842104656143"/>
    <n v="339.82352626472613"/>
    <n v="299.1826429349457"/>
    <x v="2"/>
    <n v="4.8813386259591285"/>
    <n v="1.3321822791215501"/>
    <n v="0.1"/>
    <n v="1"/>
    <n v="0.2"/>
    <x v="0"/>
    <n v="0.12925894500961313"/>
    <n v="0.08"/>
    <n v="299.1826429349457"/>
    <n v="0.12925894500961313"/>
    <n v="51.572996800728646"/>
    <n v="190.72748572244174"/>
    <n v="98943.002971426758"/>
    <n v="68.41122555808272"/>
    <n v="282663.38300096296"/>
    <x v="0"/>
    <n v="6.3533495047474412E-6"/>
    <n v="2189430.0297142677"/>
    <n v="0.12910363846514522"/>
  </r>
  <r>
    <x v="0"/>
    <n v="1000"/>
    <n v="25"/>
    <x v="0"/>
    <n v="18.333298293734536"/>
    <n v="5.4225441862676798"/>
    <n v="21.747566547964141"/>
    <n v="5.4250046723496457"/>
    <m/>
    <n v="0.18721330581429946"/>
    <n v="0.08"/>
    <n v="110.10318880842968"/>
    <n v="61.501781214517948"/>
    <n v="1.6024099051177085"/>
    <m/>
    <m/>
    <m/>
    <m/>
    <m/>
    <m/>
    <m/>
    <m/>
    <m/>
    <m/>
    <m/>
    <n v="0.29537484332224223"/>
    <m/>
    <m/>
    <m/>
    <m/>
    <m/>
    <m/>
    <m/>
    <m/>
    <m/>
    <m/>
    <m/>
    <n v="1089.3396029113576"/>
    <n v="0.24934027328107206"/>
    <n v="0.27674769421027678"/>
    <n v="333.75446777957745"/>
    <n v="288.13465035250346"/>
    <x v="2"/>
    <n v="4.8813386259591285"/>
    <n v="1.3321822791215501"/>
    <n v="0.1"/>
    <n v="1"/>
    <n v="0.2"/>
    <x v="0"/>
    <n v="0.13108371582302247"/>
    <n v="0.08"/>
    <n v="288.13465035250346"/>
    <n v="0.13108371582302247"/>
    <n v="58.80123574514846"/>
    <n v="205.04855932857382"/>
    <n v="109871.7516802708"/>
    <n v="76.149905109731463"/>
    <n v="347241.35920274386"/>
    <x v="0"/>
    <n v="6.6675490352062265E-6"/>
    <n v="2298717.5168027077"/>
    <n v="0.15105873456157534"/>
  </r>
  <r>
    <x v="0"/>
    <n v="1300"/>
    <n v="25"/>
    <x v="0"/>
    <n v="20.532182599555579"/>
    <n v="6.2556005021026317"/>
    <n v="24.420604216550036"/>
    <n v="6.1964511608319839"/>
    <m/>
    <n v="0.18856714427806323"/>
    <n v="0.08"/>
    <n v="125.94699247426541"/>
    <n v="70.35186228126544"/>
    <n v="1.7275975359190978"/>
    <m/>
    <m/>
    <m/>
    <m/>
    <m/>
    <m/>
    <m/>
    <m/>
    <m/>
    <m/>
    <m/>
    <n v="0.27880434963149731"/>
    <m/>
    <m/>
    <m/>
    <m/>
    <m/>
    <m/>
    <m/>
    <m/>
    <m/>
    <m/>
    <m/>
    <n v="1140.0120807790945"/>
    <n v="0.25616075862132692"/>
    <n v="0.2824416874569402"/>
    <n v="327.3047021336543"/>
    <n v="276.21331281954531"/>
    <x v="2"/>
    <n v="4.8813386259591285"/>
    <n v="1.3321822791215501"/>
    <n v="0.1"/>
    <n v="1"/>
    <n v="0.2"/>
    <x v="0"/>
    <n v="0.13319754998314748"/>
    <n v="0.08"/>
    <n v="276.21331281954531"/>
    <n v="0.13319754998314748"/>
    <n v="67.071436577906255"/>
    <n v="219.50164127484462"/>
    <n v="121592.61862636253"/>
    <n v="84.746905102411276"/>
    <n v="426122.04332845681"/>
    <x v="0"/>
    <n v="6.9544618540554222E-6"/>
    <n v="2415926.1862636255"/>
    <n v="0.17638040671576977"/>
  </r>
  <r>
    <x v="0"/>
    <n v="1600"/>
    <n v="25"/>
    <x v="0"/>
    <n v="22.062243486738563"/>
    <n v="6.8676407339416956"/>
    <n v="26.294489054844526"/>
    <n v="6.7570736140885126"/>
    <m/>
    <n v="0.18985948297208749"/>
    <n v="0.08"/>
    <n v="137.50344308395836"/>
    <n v="76.807100360249223"/>
    <n v="1.8079497520670333"/>
    <m/>
    <m/>
    <m/>
    <m/>
    <m/>
    <m/>
    <m/>
    <m/>
    <m/>
    <m/>
    <m/>
    <n v="0.26756401592213741"/>
    <m/>
    <m/>
    <m/>
    <m/>
    <m/>
    <m/>
    <m/>
    <m/>
    <m/>
    <m/>
    <m/>
    <n v="1172.025903265147"/>
    <n v="0.26118175255724901"/>
    <n v="0.28633579063900422"/>
    <n v="322.94975267498648"/>
    <n v="268.05102723163009"/>
    <x v="2"/>
    <n v="4.8813386259591285"/>
    <n v="1.3321822791215501"/>
    <n v="0.1"/>
    <n v="1"/>
    <n v="0.2"/>
    <x v="0"/>
    <n v="0.13481460804924378"/>
    <n v="0.08"/>
    <n v="268.05102723163009"/>
    <n v="0.13481460804924378"/>
    <n v="73.041281840260496"/>
    <n v="228.57341720226634"/>
    <n v="129473.25577064206"/>
    <n v="90.796663251779762"/>
    <n v="485974.89584625367"/>
    <x v="0"/>
    <n v="7.1255948603694271E-6"/>
    <n v="2494732.5577064203"/>
    <n v="0.19480039828118648"/>
  </r>
  <r>
    <x v="0"/>
    <n v="1900"/>
    <n v="25"/>
    <x v="0"/>
    <n v="23.135889214608582"/>
    <n v="7.3112021182948075"/>
    <n v="27.614599633499246"/>
    <n v="7.1662018625541597"/>
    <m/>
    <n v="0.19093449584263048"/>
    <n v="0.08"/>
    <n v="145.96566081847624"/>
    <n v="81.533952228304173"/>
    <n v="1.8624874585122768"/>
    <m/>
    <m/>
    <m/>
    <m/>
    <m/>
    <m/>
    <m/>
    <m/>
    <m/>
    <m/>
    <m/>
    <n v="0.25989882705431544"/>
    <m/>
    <m/>
    <m/>
    <m/>
    <m/>
    <m/>
    <m/>
    <m/>
    <m/>
    <m/>
    <m/>
    <n v="1193.6909022233954"/>
    <n v="0.26475857753974441"/>
    <n v="0.28926242326058232"/>
    <n v="320.01764711150679"/>
    <n v="262.44717296725759"/>
    <x v="2"/>
    <n v="4.8813386259591285"/>
    <n v="1.3321822791215501"/>
    <n v="0.1"/>
    <n v="1"/>
    <n v="0.2"/>
    <x v="0"/>
    <n v="0.1360607435941964"/>
    <n v="0.08"/>
    <n v="262.44717296725759"/>
    <n v="0.1360607435941964"/>
    <n v="77.320900349741819"/>
    <n v="234.26604249546901"/>
    <n v="134713.19862953605"/>
    <n v="94.977701401835475"/>
    <n v="530124.60475729266"/>
    <x v="0"/>
    <n v="7.2379555474634395E-6"/>
    <n v="2547131.9862953606"/>
    <n v="0.2081260836146637"/>
  </r>
  <r>
    <x v="0"/>
    <n v="1000"/>
    <n v="25"/>
    <x v="1"/>
    <n v="13.547033401914064"/>
    <n v="8.8823391833821894"/>
    <n v="18.786285552332913"/>
    <n v="5.6919410391174097"/>
    <m/>
    <n v="0.22083973465038301"/>
    <n v="0.08"/>
    <n v="116.13186917533343"/>
    <n v="64.869300220554109"/>
    <n v="1.3185171721797495"/>
    <m/>
    <m/>
    <m/>
    <m/>
    <m/>
    <m/>
    <m/>
    <m/>
    <m/>
    <m/>
    <m/>
    <n v="0.23164631592603396"/>
    <m/>
    <m/>
    <m/>
    <m/>
    <m/>
    <m/>
    <m/>
    <m/>
    <m/>
    <m/>
    <m/>
    <n v="778.03908516703393"/>
    <n v="0.47280976106951411"/>
    <n v="0.2851427971806571"/>
    <n v="152.49035383022104"/>
    <n v="118.78049907715935"/>
    <x v="2"/>
    <n v="4.8813386259591285"/>
    <n v="1.3321822791215501"/>
    <n v="0.1"/>
    <n v="1"/>
    <n v="0.2"/>
    <x v="0"/>
    <n v="0.14020705913434131"/>
    <n v="0.08"/>
    <n v="118.78049907715935"/>
    <n v="0.14020705913434131"/>
    <n v="78.905117355238815"/>
    <n v="223.82931704089711"/>
    <n v="130732.58576088885"/>
    <n v="95.403706450205149"/>
    <n v="268822.86709327839"/>
    <x v="1"/>
    <n v="4.6346050811970721E-6"/>
    <n v="2507325.8576088883"/>
    <n v="0.10721497019523475"/>
  </r>
  <r>
    <x v="0"/>
    <n v="1000"/>
    <n v="25"/>
    <x v="2"/>
    <n v="16.461795297590207"/>
    <n v="6.8079289595194705"/>
    <n v="20.607659998267902"/>
    <n v="5.5314885854270974"/>
    <m/>
    <n v="0.19702785674230622"/>
    <n v="0.08"/>
    <n v="112.43698722575813"/>
    <n v="62.805401583870356"/>
    <n v="1.5231162481025189"/>
    <m/>
    <m/>
    <m/>
    <m/>
    <m/>
    <m/>
    <m/>
    <m/>
    <m/>
    <m/>
    <m/>
    <n v="0.27535377224048196"/>
    <m/>
    <m/>
    <m/>
    <m/>
    <m/>
    <m/>
    <m/>
    <m/>
    <m/>
    <m/>
    <m/>
    <n v="961.80888439856062"/>
    <n v="0.33035914606955302"/>
    <n v="0.28002739599395321"/>
    <n v="241.21362576272475"/>
    <n v="200.25076034730162"/>
    <x v="2"/>
    <n v="4.8813386259591285"/>
    <n v="1.3321822791215501"/>
    <n v="0.1"/>
    <n v="1"/>
    <n v="0.2"/>
    <x v="0"/>
    <n v="0.13289403355532187"/>
    <n v="0.08"/>
    <n v="200.25076034730162"/>
    <n v="0.13289403355532187"/>
    <n v="66.998441539843597"/>
    <n v="212.12453199655906"/>
    <n v="118526.01402663358"/>
    <n v="84.63555637062403"/>
    <n v="319943.05525086727"/>
    <x v="1"/>
    <n v="5.8300418709783389E-6"/>
    <n v="2385260.1402663356"/>
    <n v="0.13413340115394826"/>
  </r>
  <r>
    <x v="0"/>
    <n v="1000"/>
    <n v="25"/>
    <x v="0"/>
    <n v="18.333752445173356"/>
    <n v="5.4227896935286095"/>
    <n v="21.748168938751142"/>
    <n v="5.4250769110312085"/>
    <m/>
    <n v="0.18721651136677028"/>
    <n v="0.08"/>
    <n v="110.10464627049865"/>
    <n v="61.502595328207704"/>
    <n v="1.6023444010723491"/>
    <m/>
    <m/>
    <m/>
    <m/>
    <m/>
    <m/>
    <m/>
    <m/>
    <m/>
    <m/>
    <m/>
    <n v="0.29535883589303302"/>
    <m/>
    <m/>
    <m/>
    <m/>
    <m/>
    <m/>
    <m/>
    <m/>
    <m/>
    <m/>
    <m/>
    <n v="1089.301927177486"/>
    <n v="0.24934465558000238"/>
    <n v="0.2767385564569893"/>
    <n v="333.7506393041304"/>
    <n v="288.12972664131178"/>
    <x v="2"/>
    <n v="4.8813386259591285"/>
    <n v="1.3321822791215501"/>
    <n v="0.1"/>
    <n v="1"/>
    <n v="0.2"/>
    <x v="0"/>
    <n v="0.13108451484789863"/>
    <n v="0.08"/>
    <n v="288.12972664131178"/>
    <n v="0.13108451484789863"/>
    <n v="58.803469466060619"/>
    <n v="205.05290604537558"/>
    <n v="109877.4738076417"/>
    <n v="76.15575268001669"/>
    <n v="347263.46362580184"/>
    <x v="1"/>
    <n v="6.6675108887158087E-6"/>
    <n v="2298774.7380764168"/>
    <n v="0.15106459013743431"/>
  </r>
  <r>
    <x v="0"/>
    <n v="1000"/>
    <n v="25"/>
    <x v="3"/>
    <n v="19.595971346696778"/>
    <n v="4.4698143415195846"/>
    <n v="22.507893497690024"/>
    <n v="5.3568844512100489"/>
    <m/>
    <n v="0.18083244204253474"/>
    <n v="0.08"/>
    <n v="108.63143643434954"/>
    <n v="60.679685201748377"/>
    <n v="1.6525236450288636"/>
    <m/>
    <m/>
    <m/>
    <m/>
    <m/>
    <m/>
    <m/>
    <m/>
    <m/>
    <m/>
    <m/>
    <n v="0.30848596046449733"/>
    <m/>
    <m/>
    <m/>
    <m/>
    <m/>
    <m/>
    <m/>
    <m/>
    <m/>
    <m/>
    <m/>
    <n v="1206.0179403679583"/>
    <n v="0.19858874585390765"/>
    <n v="0.27413860243934379"/>
    <n v="428.5180154406288"/>
    <n v="379.75611785352697"/>
    <x v="2"/>
    <n v="4.8813386259591285"/>
    <n v="1.3321822791215501"/>
    <n v="0.1"/>
    <n v="1"/>
    <n v="0.2"/>
    <x v="0"/>
    <n v="0.13048606446631578"/>
    <n v="0.08"/>
    <n v="379.75611785352697"/>
    <n v="0.13048606446631578"/>
    <n v="53.101504332474605"/>
    <n v="200.70366441740558"/>
    <n v="104035.74537820794"/>
    <n v="70.102327675975658"/>
    <n v="363177.30071665579"/>
    <x v="1"/>
    <n v="7.2615822096458112E-6"/>
    <n v="2240357.4537820793"/>
    <n v="0.16210685491440432"/>
  </r>
  <r>
    <x v="0"/>
    <n v="1000"/>
    <n v="25"/>
    <x v="4"/>
    <n v="20.500633249035499"/>
    <n v="3.7903305397027127"/>
    <n v="23.054391781218285"/>
    <n v="5.3094614300849701"/>
    <m/>
    <n v="0.17643712100139156"/>
    <n v="0.08"/>
    <n v="107.61570134699032"/>
    <n v="60.112312741506855"/>
    <n v="1.6805528047275953"/>
    <m/>
    <m/>
    <m/>
    <m/>
    <m/>
    <m/>
    <m/>
    <m/>
    <m/>
    <m/>
    <m/>
    <n v="0.31652039041193308"/>
    <m/>
    <m/>
    <m/>
    <m/>
    <m/>
    <m/>
    <m/>
    <m/>
    <m/>
    <m/>
    <m/>
    <n v="1313.9308302810032"/>
    <n v="0.1644081776553559"/>
    <n v="0.27213546351694851"/>
    <n v="524.66754246545042"/>
    <n v="473.6544279172054"/>
    <x v="2"/>
    <n v="4.8813386259591285"/>
    <n v="1.3321822791215501"/>
    <n v="0.1"/>
    <n v="1"/>
    <n v="0.2"/>
    <x v="0"/>
    <n v="0.13046206802723864"/>
    <n v="0.08"/>
    <n v="473.6544279172054"/>
    <n v="0.13046206802723864"/>
    <n v="49.023104623744096"/>
    <n v="197.75561472783642"/>
    <n v="99888.730287664628"/>
    <n v="65.681690204735233"/>
    <n v="373288.76613865909"/>
    <x v="1"/>
    <n v="7.7024263034291183E-6"/>
    <n v="2198887.3028766462"/>
    <n v="0.16976257293873689"/>
  </r>
  <r>
    <x v="0"/>
    <n v="1000"/>
    <n v="25"/>
    <x v="5"/>
    <n v="21.177499162328992"/>
    <n v="3.2854064603051594"/>
    <n v="23.465225547084263"/>
    <n v="5.2751086552598005"/>
    <m/>
    <n v="0.17314878157653008"/>
    <n v="0.08"/>
    <n v="106.88342919902526"/>
    <n v="59.703277890463717"/>
    <n v="1.6962353858562658"/>
    <m/>
    <m/>
    <m/>
    <m/>
    <m/>
    <m/>
    <m/>
    <m/>
    <m/>
    <m/>
    <m/>
    <n v="0.32155458715811525"/>
    <m/>
    <m/>
    <m/>
    <m/>
    <m/>
    <m/>
    <m/>
    <m/>
    <m/>
    <m/>
    <m/>
    <n v="1417.141811850026"/>
    <n v="0.1400117145140076"/>
    <n v="0.27053968515999766"/>
    <n v="621.72128407037735"/>
    <n v="569.02411892189298"/>
    <x v="2"/>
    <n v="4.8813386259591285"/>
    <n v="1.3321822791215501"/>
    <n v="0.1"/>
    <n v="1"/>
    <n v="0.2"/>
    <x v="0"/>
    <n v="0.13069827549689494"/>
    <n v="0.08"/>
    <n v="569.02411892189298"/>
    <n v="0.13069827549689494"/>
    <n v="45.989000656528539"/>
    <n v="195.65515559752129"/>
    <n v="96830.357304906967"/>
    <n v="62.354106243554057"/>
    <n v="380160.61466365366"/>
    <x v="1"/>
    <n v="8.0402927130531073E-6"/>
    <n v="2168303.5730490694"/>
    <n v="0.17532628705171188"/>
  </r>
  <r>
    <x v="0"/>
    <n v="1000"/>
    <n v="25"/>
    <x v="6"/>
    <n v="21.704634864766902"/>
    <n v="2.8976080705978706"/>
    <n v="23.788220955052754"/>
    <n v="5.2495856387180613"/>
    <m/>
    <n v="0.1705508873022859"/>
    <n v="0.08"/>
    <n v="106.34066987269861"/>
    <n v="59.400101700008769"/>
    <n v="1.7044278982905885"/>
    <m/>
    <m/>
    <m/>
    <m/>
    <m/>
    <m/>
    <m/>
    <m/>
    <m/>
    <m/>
    <m/>
    <n v="0.3246785585741595"/>
    <m/>
    <m/>
    <m/>
    <m/>
    <m/>
    <m/>
    <m/>
    <m/>
    <m/>
    <m/>
    <m/>
    <n v="1517.5732608341152"/>
    <n v="0.12180852347356401"/>
    <n v="0.26918212316013812"/>
    <n v="719.36821580140861"/>
    <n v="665.3593116888203"/>
    <x v="2"/>
    <n v="4.8813386259591285"/>
    <n v="1.3321822791215501"/>
    <n v="0.1"/>
    <n v="1"/>
    <n v="0.2"/>
    <x v="0"/>
    <n v="0.13105506554607574"/>
    <n v="0.08"/>
    <n v="665.3593116888203"/>
    <n v="0.13105506554607574"/>
    <n v="43.661909789830688"/>
    <n v="194.11146339729547"/>
    <n v="94520.520173282712"/>
    <n v="59.801358597471449"/>
    <n v="385217.31387480313"/>
    <x v="1"/>
    <n v="8.3064318911934322E-6"/>
    <n v="2145205.2017328274"/>
    <n v="0.17957131260153436"/>
  </r>
  <r>
    <x v="0"/>
    <n v="1000"/>
    <n v="25"/>
    <x v="7"/>
    <n v="22.123857836852721"/>
    <n v="2.5905339267162257"/>
    <n v="24.045846454152212"/>
    <n v="5.2297614735546354"/>
    <m/>
    <n v="0.16842477680285595"/>
    <n v="0.08"/>
    <n v="105.92000451231553"/>
    <n v="59.165125136307047"/>
    <n v="1.7079861053328598"/>
    <m/>
    <m/>
    <m/>
    <m/>
    <m/>
    <m/>
    <m/>
    <m/>
    <m/>
    <m/>
    <m/>
    <n v="0.32658967602435462"/>
    <m/>
    <m/>
    <m/>
    <m/>
    <m/>
    <m/>
    <m/>
    <m/>
    <m/>
    <m/>
    <m/>
    <n v="1616.4092898752151"/>
    <n v="0.1077331143927726"/>
    <n v="0.26806491514650055"/>
    <n v="817.46828254357058"/>
    <n v="762.41623720878567"/>
    <x v="2"/>
    <n v="4.8813386259591285"/>
    <n v="1.3321822791215501"/>
    <n v="0.1"/>
    <n v="1"/>
    <n v="0.2"/>
    <x v="0"/>
    <n v="0.13147220669793802"/>
    <n v="0.08"/>
    <n v="762.41623720878567"/>
    <n v="0.13147220669793802"/>
    <n v="41.818712816425148"/>
    <n v="192.92261671922017"/>
    <n v="92701.508589915145"/>
    <n v="57.766044857330975"/>
    <n v="388980.49832752103"/>
    <x v="1"/>
    <n v="8.5211335909574612E-6"/>
    <n v="2127015.0858991514"/>
    <n v="0.18287622918437724"/>
  </r>
  <r>
    <x v="0"/>
    <n v="1000"/>
    <n v="25"/>
    <x v="8"/>
    <n v="22.465371262352932"/>
    <n v="2.3417826714996322"/>
    <n v="24.25650516018484"/>
    <n v="5.2140147142386555"/>
    <m/>
    <n v="0.16664084643495075"/>
    <n v="0.08"/>
    <n v="105.58632588097215"/>
    <n v="58.978737889916331"/>
    <n v="1.7084681034070091"/>
    <m/>
    <m/>
    <m/>
    <m/>
    <m/>
    <m/>
    <m/>
    <m/>
    <m/>
    <m/>
    <m/>
    <n v="0.32766844687673224"/>
    <m/>
    <m/>
    <m/>
    <m/>
    <m/>
    <m/>
    <m/>
    <m/>
    <m/>
    <m/>
    <m/>
    <n v="1714.2303376574869"/>
    <n v="9.6542459683907206E-2"/>
    <n v="0.26712108343956492"/>
    <n v="915.89817256998504"/>
    <n v="859.99628595398292"/>
    <x v="2"/>
    <n v="4.8813386259591285"/>
    <n v="1.3321822791215501"/>
    <n v="0.1"/>
    <n v="1"/>
    <n v="0.2"/>
    <x v="0"/>
    <n v="0.13191566577715866"/>
    <n v="0.08"/>
    <n v="859.99628595398292"/>
    <n v="0.13191566577715866"/>
    <n v="40.326128760415926"/>
    <n v="191.98426329076921"/>
    <n v="91238.712174396685"/>
    <n v="56.112761542067723"/>
    <n v="391896.48774490738"/>
    <x v="1"/>
    <n v="8.6977487015883585E-6"/>
    <n v="2112387.1217439668"/>
    <n v="0.18552304343787202"/>
  </r>
  <r>
    <x v="0"/>
    <n v="1000"/>
    <n v="25"/>
    <x v="9"/>
    <n v="22.749405820432642"/>
    <n v="2.1364185361409356"/>
    <n v="24.432562666880891"/>
    <n v="5.2012860567654853"/>
    <m/>
    <n v="0.16511410314272845"/>
    <n v="0.08"/>
    <n v="105.31682307677744"/>
    <n v="58.828198176401571"/>
    <n v="1.7068893669061893"/>
    <m/>
    <m/>
    <m/>
    <m/>
    <m/>
    <m/>
    <m/>
    <m/>
    <m/>
    <m/>
    <m/>
    <n v="0.32816679341948163"/>
    <m/>
    <m/>
    <m/>
    <m/>
    <m/>
    <m/>
    <m/>
    <m/>
    <m/>
    <m/>
    <m/>
    <n v="1811.4091511477016"/>
    <n v="8.7441443014772996E-2"/>
    <n v="0.26630260108468046"/>
    <n v="1014.573099444873"/>
    <n v="957.96446769460681"/>
    <x v="2"/>
    <n v="4.8813386259591285"/>
    <n v="1.3321822791215501"/>
    <n v="0.1"/>
    <n v="1"/>
    <n v="0.2"/>
    <x v="0"/>
    <n v="0.13236539876698633"/>
    <n v="0.08"/>
    <n v="957.96446769460681"/>
    <n v="0.13236539876698633"/>
    <n v="39.095125088307675"/>
    <n v="191.22936281272044"/>
    <n v="90042.773674566648"/>
    <n v="54.749668538392093"/>
    <n v="394243.22726368229"/>
    <x v="1"/>
    <n v="8.8454516740930102E-6"/>
    <n v="2100427.7367456667"/>
    <n v="0.18769663929238989"/>
  </r>
  <r>
    <x v="0"/>
    <n v="1000"/>
    <n v="25"/>
    <x v="0"/>
    <n v="18.333072513567476"/>
    <n v="5.4224210042196903"/>
    <n v="21.747266501643992"/>
    <n v="5.4249688357236909"/>
    <m/>
    <n v="0.18721136134002922"/>
    <n v="0.08"/>
    <n v="110.10246575511786"/>
    <n v="61.50137732915303"/>
    <n v="1.6024480807874593"/>
    <m/>
    <m/>
    <m/>
    <m/>
    <m/>
    <m/>
    <m/>
    <m/>
    <m/>
    <m/>
    <m/>
    <n v="0.29538383155959508"/>
    <m/>
    <m/>
    <m/>
    <m/>
    <m/>
    <m/>
    <m/>
    <m/>
    <m/>
    <m/>
    <m/>
    <n v="1089.3611505222441"/>
    <n v="0.24933804916630697"/>
    <n v="0.27675229289492109"/>
    <n v="333.75638437608796"/>
    <n v="288.13711012851468"/>
    <x v="2"/>
    <n v="4.8813386259591285"/>
    <n v="1.3321822791215501"/>
    <n v="0.1"/>
    <n v="1"/>
    <n v="0.2"/>
    <x v="0"/>
    <n v="0.13108316899757794"/>
    <n v="0.08"/>
    <n v="288.13711012851468"/>
    <n v="0.13108316899757794"/>
    <n v="58.800119802838751"/>
    <n v="205.04640293610865"/>
    <n v="109868.90432326068"/>
    <n v="76.146991450559611"/>
    <n v="347230.36489650904"/>
    <x v="2"/>
    <n v="6.6675680826817755E-6"/>
    <n v="2298689.0432326067"/>
    <n v="0.15105582284770669"/>
  </r>
  <r>
    <x v="0"/>
    <n v="1000"/>
    <n v="25"/>
    <x v="0"/>
    <n v="17.693342499013266"/>
    <n v="5.1705226171964638"/>
    <n v="20.94333215303088"/>
    <n v="5.2287959908438895"/>
    <m/>
    <n v="0.18906997976117063"/>
    <n v="0.08"/>
    <n v="106.15655549605123"/>
    <n v="59.297258519592653"/>
    <n v="1.5430487437447997"/>
    <m/>
    <m/>
    <m/>
    <m/>
    <m/>
    <m/>
    <m/>
    <m/>
    <m/>
    <m/>
    <m/>
    <n v="0.29510593766649573"/>
    <m/>
    <m/>
    <m/>
    <m/>
    <m/>
    <m/>
    <m/>
    <m/>
    <m/>
    <m/>
    <m/>
    <n v="1063.9126423318494"/>
    <n v="0.24688156494945315"/>
    <n v="0.2782655231990761"/>
    <n v="336.41561377923512"/>
    <n v="292.38827045944947"/>
    <x v="2"/>
    <n v="4.8813386259591285"/>
    <n v="1.3321822791215501"/>
    <n v="0.1"/>
    <n v="1"/>
    <n v="0.2"/>
    <x v="1"/>
    <n v="0.13203507830390845"/>
    <n v="0.08"/>
    <n v="292.38827045944947"/>
    <n v="0.13203507830390845"/>
    <n v="56.282809677029235"/>
    <n v="193.59032551371072"/>
    <n v="102692.51352472886"/>
    <n v="72.301012654043078"/>
    <n v="395018.04763105663"/>
    <x v="2"/>
    <n v="6.4778719149172747E-6"/>
    <n v="2226925.1352472883"/>
    <n v="0.1773827244476236"/>
  </r>
  <r>
    <x v="0"/>
    <n v="1000"/>
    <n v="25"/>
    <x v="0"/>
    <n v="15.388897830681643"/>
    <n v="4.3239376995307595"/>
    <n v="18.092719313412076"/>
    <n v="4.5297523696488575"/>
    <m/>
    <n v="0.19609291354131209"/>
    <n v="0.08"/>
    <n v="92.067483351500428"/>
    <n v="51.427340836669181"/>
    <n v="1.3344320472696909"/>
    <m/>
    <m/>
    <m/>
    <m/>
    <m/>
    <m/>
    <m/>
    <m/>
    <m/>
    <m/>
    <m/>
    <n v="0.29459271465056597"/>
    <m/>
    <m/>
    <m/>
    <m/>
    <m/>
    <m/>
    <m/>
    <m/>
    <m/>
    <m/>
    <m/>
    <n v="974.54136066905119"/>
    <n v="0.23898771791178114"/>
    <n v="0.28297986287193788"/>
    <n v="345.61839957620634"/>
    <n v="307.32533703420603"/>
    <x v="2"/>
    <n v="4.8813386259591285"/>
    <n v="1.3321822791215501"/>
    <n v="0.1"/>
    <n v="1"/>
    <n v="0.2"/>
    <x v="2"/>
    <n v="0.13563056935996434"/>
    <n v="0.08"/>
    <n v="307.32533703420603"/>
    <n v="0.13563056935996434"/>
    <n v="47.67405074852271"/>
    <n v="157.03339690704743"/>
    <n v="80105.991732011593"/>
    <n v="59.707656278973793"/>
    <n v="515928.17035827512"/>
    <x v="2"/>
    <n v="5.8183563940317985E-6"/>
    <n v="2001059.917320116"/>
    <n v="0.25782744729064522"/>
  </r>
  <r>
    <x v="0"/>
    <n v="1000"/>
    <n v="25"/>
    <x v="0"/>
    <n v="13.284072348954686"/>
    <n v="3.6197538033514114"/>
    <n v="15.539044060693659"/>
    <n v="3.8991691137897115"/>
    <m/>
    <n v="0.20313978358976134"/>
    <n v="0.08"/>
    <n v="79.324027454724956"/>
    <n v="44.309061657271435"/>
    <n v="1.1489498084011753"/>
    <m/>
    <m/>
    <m/>
    <m/>
    <m/>
    <m/>
    <m/>
    <m/>
    <m/>
    <m/>
    <m/>
    <n v="0.29466529275117254"/>
    <m/>
    <m/>
    <m/>
    <m/>
    <m/>
    <m/>
    <m/>
    <m/>
    <m/>
    <m/>
    <m/>
    <n v="895.04777803510967"/>
    <n v="0.23294571977613832"/>
    <n v="0.286470131473259"/>
    <n v="353.62842094344239"/>
    <n v="320.57287383452217"/>
    <x v="2"/>
    <n v="4.8813386259591285"/>
    <n v="1.3321822791215501"/>
    <n v="0.1"/>
    <n v="1"/>
    <n v="0.2"/>
    <x v="3"/>
    <n v="0.13929045751838562"/>
    <n v="0.08"/>
    <n v="320.57287383452217"/>
    <n v="0.13929045751838562"/>
    <n v="40.329669247386519"/>
    <n v="128.49780297651887"/>
    <n v="62996.069583016302"/>
    <n v="49.540121048788052"/>
    <n v="583662.69251044712"/>
    <x v="2"/>
    <n v="5.1909389876805984E-6"/>
    <n v="1829960.6958301631"/>
    <n v="0.31894821229789749"/>
  </r>
  <r>
    <x v="0"/>
    <n v="1000"/>
    <n v="25"/>
    <x v="0"/>
    <n v="12.128206048279335"/>
    <n v="3.256154262937911"/>
    <n v="14.152966147530648"/>
    <n v="3.5553500924546997"/>
    <m/>
    <n v="0.20737535293522297"/>
    <n v="0.08"/>
    <n v="72.363539815022975"/>
    <n v="40.421050850353438"/>
    <n v="1.0482936921764674"/>
    <m/>
    <m/>
    <m/>
    <m/>
    <m/>
    <m/>
    <m/>
    <m/>
    <m/>
    <m/>
    <m/>
    <n v="0.29484963925245966"/>
    <m/>
    <m/>
    <m/>
    <m/>
    <m/>
    <m/>
    <m/>
    <m/>
    <m/>
    <m/>
    <m/>
    <n v="851.8730525194095"/>
    <n v="0.23006868164565147"/>
    <n v="0.28811940525431123"/>
    <n v="357.90562583740495"/>
    <n v="327.72620643117574"/>
    <x v="2"/>
    <n v="4.8813386259591285"/>
    <n v="1.3321822791215501"/>
    <n v="0.1"/>
    <n v="1"/>
    <n v="0.2"/>
    <x v="4"/>
    <n v="0.14154871391397475"/>
    <n v="0.08"/>
    <n v="327.72620643117574"/>
    <n v="0.14154871391397475"/>
    <n v="36.468840896071896"/>
    <n v="114.30008364006115"/>
    <n v="54732.132708687677"/>
    <n v="44.373103472882207"/>
    <n v="609562.15895885578"/>
    <x v="2"/>
    <n v="4.8251714934380327E-6"/>
    <n v="1747321.3270868766"/>
    <n v="0.34885521598658337"/>
  </r>
  <r>
    <x v="0"/>
    <n v="1000"/>
    <n v="25"/>
    <x v="0"/>
    <n v="10.698177655980148"/>
    <n v="2.82563111892682"/>
    <n v="12.45152397169146"/>
    <n v="3.1321803573756939"/>
    <m/>
    <n v="0.21308633282992895"/>
    <n v="0.08"/>
    <n v="63.785767173425462"/>
    <n v="35.629651963357553"/>
    <n v="0.92455416304897353"/>
    <m/>
    <m/>
    <m/>
    <m/>
    <m/>
    <m/>
    <m/>
    <m/>
    <m/>
    <m/>
    <m/>
    <n v="0.29517909493041256"/>
    <m/>
    <m/>
    <m/>
    <m/>
    <m/>
    <m/>
    <m/>
    <m/>
    <m/>
    <m/>
    <m/>
    <n v="798.7612157725215"/>
    <n v="0.22693054483538661"/>
    <n v="0.28996325176905052"/>
    <n v="363.10505696597369"/>
    <n v="336.48413424803465"/>
    <x v="2"/>
    <n v="4.8813386259591285"/>
    <n v="1.3321822791215501"/>
    <n v="0.1"/>
    <n v="1"/>
    <n v="0.2"/>
    <x v="5"/>
    <n v="0.14470550227328657"/>
    <n v="0.08"/>
    <n v="336.48413424803465"/>
    <n v="0.14470550227328657"/>
    <n v="31.835528389221626"/>
    <n v="97.901557301191119"/>
    <n v="45449.250260378656"/>
    <n v="38.310745197970135"/>
    <n v="632600.04765550396"/>
    <x v="2"/>
    <n v="4.3485541454053461E-6"/>
    <n v="1654492.5026037865"/>
    <n v="0.3823529249361593"/>
  </r>
  <r>
    <x v="0"/>
    <n v="1000"/>
    <n v="25"/>
    <x v="0"/>
    <n v="8.8521478222341976"/>
    <n v="2.2970021132423293"/>
    <n v="10.273700930625877"/>
    <n v="2.5865015460652918"/>
    <m/>
    <n v="0.22081981080622179"/>
    <n v="0.08"/>
    <n v="52.708474075994751"/>
    <n v="29.442063175964368"/>
    <n v="0.76857062271737586"/>
    <m/>
    <m/>
    <m/>
    <m/>
    <m/>
    <m/>
    <m/>
    <m/>
    <m/>
    <m/>
    <m/>
    <n v="0.29714678651035864"/>
    <m/>
    <m/>
    <m/>
    <m/>
    <m/>
    <m/>
    <m/>
    <m/>
    <m/>
    <m/>
    <m/>
    <n v="731.91580889572253"/>
    <n v="0.22358078444691454"/>
    <n v="0.29174373534170989"/>
    <n v="369.65779638124548"/>
    <n v="347.63049753703496"/>
    <x v="2"/>
    <n v="4.8813386259591285"/>
    <n v="1.3321822791215501"/>
    <n v="0.1"/>
    <n v="1"/>
    <n v="0.2"/>
    <x v="6"/>
    <n v="0.14933429664725811"/>
    <n v="0.08"/>
    <n v="347.63049753703496"/>
    <n v="0.14933429664725811"/>
    <n v="26.055351146654065"/>
    <n v="78.225358388357279"/>
    <n v="34816.900085796289"/>
    <n v="30.995462319848929"/>
    <n v="648493.96269206004"/>
    <x v="2"/>
    <n v="3.6920478235288204E-6"/>
    <n v="1548169.0008579628"/>
    <n v="0.41887801805402269"/>
  </r>
  <r>
    <x v="0"/>
    <n v="1000"/>
    <n v="25"/>
    <x v="0"/>
    <n v="7.6965471507297973"/>
    <n v="1.9789710962321467"/>
    <n v="8.9191088449030502"/>
    <n v="2.240080014050601"/>
    <m/>
    <n v="0.22444948253399397"/>
    <n v="0.08"/>
    <n v="45.667455744309819"/>
    <n v="25.5090692849687"/>
    <n v="0.67839252176463916"/>
    <m/>
    <m/>
    <m/>
    <m/>
    <m/>
    <m/>
    <m/>
    <m/>
    <m/>
    <m/>
    <m/>
    <n v="0.30284298663865272"/>
    <m/>
    <m/>
    <m/>
    <m/>
    <m/>
    <m/>
    <m/>
    <m/>
    <m/>
    <m/>
    <m/>
    <n v="693.65710934674075"/>
    <n v="0.22187991318920358"/>
    <n v="0.29167524038116377"/>
    <n v="373.61261401320223"/>
    <n v="354.46084846442085"/>
    <x v="2"/>
    <n v="4.8813386259591285"/>
    <n v="1.3321822791215501"/>
    <n v="0.1"/>
    <n v="1"/>
    <n v="0.2"/>
    <x v="7"/>
    <n v="0.15196286651214544"/>
    <n v="0.08"/>
    <n v="354.46084846442085"/>
    <n v="0.15196286651214544"/>
    <n v="22.533189685358405"/>
    <n v="66.45991063441133"/>
    <n v="28855.975210940222"/>
    <n v="26.770547788460224"/>
    <n v="653672.27991648146"/>
    <x v="2"/>
    <n v="3.2503732444793653E-6"/>
    <n v="1488559.7521094023"/>
    <n v="0.43913069595639553"/>
  </r>
  <r>
    <x v="0"/>
    <n v="1000"/>
    <n v="25"/>
    <x v="0"/>
    <n v="6.2466117612820673"/>
    <n v="1.5910731364114499"/>
    <n v="7.2274649573472667"/>
    <n v="1.8108765576333801"/>
    <m/>
    <n v="0.22933926604901883"/>
    <n v="0.08"/>
    <n v="36.935041926452172"/>
    <n v="20.631290449380639"/>
    <n v="0.56513004547543844"/>
    <m/>
    <m/>
    <m/>
    <m/>
    <m/>
    <m/>
    <m/>
    <m/>
    <m/>
    <m/>
    <m/>
    <n v="0.31207541071380501"/>
    <m/>
    <m/>
    <m/>
    <m/>
    <m/>
    <m/>
    <m/>
    <m/>
    <m/>
    <m/>
    <m/>
    <n v="645.60885218653721"/>
    <n v="0.22014262895788977"/>
    <n v="0.2917293128179746"/>
    <n v="378.58764448130842"/>
    <n v="363.04382944881797"/>
    <x v="2"/>
    <n v="4.8813386259591285"/>
    <n v="1.3321822791215501"/>
    <n v="0.1"/>
    <n v="1"/>
    <n v="0.2"/>
    <x v="8"/>
    <n v="0.15611641466910994"/>
    <n v="0.08"/>
    <n v="363.04382944881797"/>
    <n v="0.15611641466910994"/>
    <n v="18.192448771218888"/>
    <n v="52.548276791323715"/>
    <n v="22051.915411942122"/>
    <n v="21.578374352465723"/>
    <n v="646209.43823000882"/>
    <x v="2"/>
    <n v="2.6765496247460714E-6"/>
    <n v="1420519.1541194213"/>
    <n v="0.45491075312574264"/>
  </r>
  <r>
    <x v="0"/>
    <n v="1000"/>
    <n v="25"/>
    <x v="0"/>
    <n v="4.2738027328961605"/>
    <n v="1.0818734948793849"/>
    <n v="4.9386396986858294"/>
    <n v="1.2349305894972853"/>
    <m/>
    <n v="0.2402957579911357"/>
    <n v="0.08"/>
    <n v="25.202969519269718"/>
    <n v="14.077953001226954"/>
    <n v="0.39511584971401903"/>
    <m/>
    <m/>
    <m/>
    <m/>
    <m/>
    <m/>
    <m/>
    <m/>
    <m/>
    <m/>
    <m/>
    <n v="0.3199498442053027"/>
    <m/>
    <m/>
    <m/>
    <m/>
    <m/>
    <m/>
    <m/>
    <m/>
    <m/>
    <m/>
    <m/>
    <n v="572.28051407845794"/>
    <n v="0.21906305397562634"/>
    <n v="0.29187355101631224"/>
    <n v="385.35734835165897"/>
    <n v="374.7225892214484"/>
    <x v="2"/>
    <n v="4.8813386259591285"/>
    <n v="1.3321822791215501"/>
    <n v="0.1"/>
    <n v="1"/>
    <n v="0.2"/>
    <x v="9"/>
    <n v="0.16657098661946587"/>
    <n v="0.08"/>
    <n v="374.7225892214484"/>
    <n v="0.16657098661946587"/>
    <n v="12.413206424393193"/>
    <n v="34.872165980278851"/>
    <n v="13897.120237506218"/>
    <n v="14.687921359711471"/>
    <n v="610479.87979170401"/>
    <x v="2"/>
    <n v="1.8461719500512534E-6"/>
    <n v="1338971.2023750623"/>
    <n v="0.45593204596845471"/>
  </r>
  <r>
    <x v="0"/>
    <n v="1000"/>
    <n v="25"/>
    <x v="0"/>
    <n v="18.332624451242047"/>
    <n v="5.4221766768337192"/>
    <n v="21.746671009099771"/>
    <n v="5.4248968250297667"/>
    <m/>
    <n v="0.18720795315225813"/>
    <n v="0.08"/>
    <n v="110.10101283127477"/>
    <n v="61.500565750439598"/>
    <n v="1.6025163558139264"/>
    <m/>
    <m/>
    <m/>
    <m/>
    <m/>
    <m/>
    <m/>
    <m/>
    <m/>
    <m/>
    <m/>
    <n v="0.29540033801566967"/>
    <m/>
    <m/>
    <m/>
    <m/>
    <m/>
    <m/>
    <m/>
    <m/>
    <m/>
    <m/>
    <m/>
    <n v="1089.4002364527178"/>
    <n v="0.24933364166703217"/>
    <n v="0.27676131249812119"/>
    <n v="333.76016219258787"/>
    <n v="288.14205854575471"/>
    <x v="2"/>
    <n v="4.8813386259591285"/>
    <n v="1.3321822791215501"/>
    <n v="0.1"/>
    <n v="1"/>
    <n v="0.2"/>
    <x v="0"/>
    <n v="0.13108227625323379"/>
    <n v="0.08"/>
    <n v="288.14205854575471"/>
    <n v="0.13108227625323379"/>
    <n v="58.79790243783539"/>
    <n v="205.04206988559858"/>
    <n v="109863.23810473979"/>
    <n v="76.141217890746901"/>
    <n v="347208.51509006444"/>
    <x v="3"/>
    <n v="6.6676063770096952E-6"/>
    <n v="2298632.3810473979"/>
    <n v="0.15105004086467055"/>
  </r>
  <r>
    <x v="1"/>
    <n v="1000"/>
    <n v="25"/>
    <x v="0"/>
    <n v="18.210104582497252"/>
    <n v="5.5191188695707165"/>
    <n v="21.675409772653833"/>
    <n v="5.4323178741781692"/>
    <m/>
    <n v="0.18789895889620542"/>
    <n v="0.08"/>
    <n v="110.26157543424516"/>
    <n v="61.59025330795712"/>
    <n v="1.5963570787039236"/>
    <m/>
    <m/>
    <m/>
    <m/>
    <m/>
    <m/>
    <m/>
    <m/>
    <m/>
    <m/>
    <m/>
    <n v="0.29386297261653327"/>
    <m/>
    <m/>
    <m/>
    <m/>
    <m/>
    <m/>
    <m/>
    <m/>
    <m/>
    <m/>
    <m/>
    <n v="1078.8923411259395"/>
    <n v="0.25462581457323852"/>
    <n v="0.24617244594442253"/>
    <n v="326.02703965248622"/>
    <n v="280.71380177397697"/>
    <x v="2"/>
    <n v="4.8813386259591285"/>
    <n v="1.3321822791215501"/>
    <n v="0.1"/>
    <n v="1"/>
    <n v="0.2"/>
    <x v="0"/>
    <n v="0.13118323194572362"/>
    <n v="0.08"/>
    <n v="280.71380177397697"/>
    <n v="0.13118323194572362"/>
    <n v="59.381895209819959"/>
    <n v="205.5214469735169"/>
    <n v="110488.22583786699"/>
    <n v="76.776855174971644"/>
    <n v="345668.27238589682"/>
    <x v="3"/>
    <n v="6.6094505320916199E-6"/>
    <n v="2304882.2583786696"/>
    <n v="0.14997220405915715"/>
  </r>
  <r>
    <x v="2"/>
    <n v="1000"/>
    <n v="25"/>
    <x v="0"/>
    <n v="18.048887815483173"/>
    <n v="5.6458535198082673"/>
    <n v="21.581179269135507"/>
    <n v="5.44196633360625"/>
    <m/>
    <n v="0.1888129678894484"/>
    <n v="0.08"/>
    <n v="110.47078602963205"/>
    <n v="61.707114812192295"/>
    <n v="1.5881764727604848"/>
    <m/>
    <m/>
    <m/>
    <m/>
    <m/>
    <m/>
    <m/>
    <m/>
    <m/>
    <m/>
    <m/>
    <n v="0.29183871700066938"/>
    <m/>
    <m/>
    <m/>
    <m/>
    <m/>
    <m/>
    <m/>
    <m/>
    <m/>
    <m/>
    <m/>
    <n v="1065.4598614641229"/>
    <n v="0.26161005612342642"/>
    <n v="0.21559584722752731"/>
    <n v="316.28369447934949"/>
    <n v="271.37162508388093"/>
    <x v="2"/>
    <n v="4.8813386259591285"/>
    <n v="1.3321822791215501"/>
    <n v="0.1"/>
    <n v="1"/>
    <n v="0.2"/>
    <x v="0"/>
    <n v="0.13132484295564373"/>
    <n v="0.08"/>
    <n v="271.37162508388093"/>
    <n v="0.13132484295564373"/>
    <n v="60.143743998661677"/>
    <n v="206.1476836593132"/>
    <n v="111299.22977977243"/>
    <n v="77.598193839966598"/>
    <n v="343585.3768951231"/>
    <x v="3"/>
    <n v="6.5336815118723696E-6"/>
    <n v="2312992.2977977246"/>
    <n v="0.14854583701911239"/>
  </r>
  <r>
    <x v="3"/>
    <n v="1000"/>
    <n v="25"/>
    <x v="0"/>
    <n v="17.821301503452464"/>
    <n v="5.813543092471205"/>
    <n v="21.441881544616813"/>
    <n v="5.4537464756496652"/>
    <m/>
    <n v="0.19000542018081185"/>
    <n v="0.08"/>
    <n v="110.72890421341523"/>
    <n v="61.851295269073908"/>
    <n v="1.57809685927724"/>
    <m/>
    <m/>
    <m/>
    <m/>
    <m/>
    <m/>
    <m/>
    <m/>
    <m/>
    <m/>
    <m/>
    <n v="0.28936014285285472"/>
    <m/>
    <m/>
    <m/>
    <m/>
    <m/>
    <m/>
    <m/>
    <m/>
    <m/>
    <m/>
    <m/>
    <n v="1048.440063303161"/>
    <n v="0.27113026813315039"/>
    <n v="0.18513211913956751"/>
    <n v="303.73738718986232"/>
    <n v="259.39163366454142"/>
    <x v="2"/>
    <n v="4.8813386259591285"/>
    <n v="1.3321822791215501"/>
    <n v="0.1"/>
    <n v="1"/>
    <n v="0.2"/>
    <x v="0"/>
    <n v="0.13151543643762342"/>
    <n v="0.08"/>
    <n v="259.39163366454142"/>
    <n v="0.13151543643762342"/>
    <n v="61.136800315804365"/>
    <n v="206.92285141778839"/>
    <n v="112294.40712989343"/>
    <n v="78.600546553709734"/>
    <n v="340292.68194788997"/>
    <x v="3"/>
    <n v="6.4319669966794921E-6"/>
    <n v="2322944.0712989345"/>
    <n v="0.14649198237373251"/>
  </r>
  <r>
    <x v="4"/>
    <n v="1000"/>
    <n v="25"/>
    <x v="0"/>
    <n v="17.500209292885295"/>
    <n v="6.0551680084025969"/>
    <n v="21.248764078931575"/>
    <n v="5.4731465829097017"/>
    <m/>
    <n v="0.19044856250792366"/>
    <n v="0.08"/>
    <n v="111.15106129212238"/>
    <n v="62.087105081430771"/>
    <n v="1.5831630618765073"/>
    <m/>
    <m/>
    <m/>
    <m/>
    <m/>
    <m/>
    <m/>
    <m/>
    <m/>
    <m/>
    <m/>
    <n v="0.28926012448123517"/>
    <m/>
    <m/>
    <m/>
    <m/>
    <m/>
    <m/>
    <m/>
    <m/>
    <m/>
    <m/>
    <m/>
    <n v="1034.8321999363732"/>
    <n v="0.284965656633478"/>
    <n v="0.15459198319838996"/>
    <n v="286.79743327681462"/>
    <n v="243.25066899812009"/>
    <x v="2"/>
    <n v="4.8813386259591285"/>
    <n v="1.3321822791215501"/>
    <n v="0.1"/>
    <n v="1"/>
    <n v="0.2"/>
    <x v="0"/>
    <n v="0.13129397077389982"/>
    <n v="0.08"/>
    <n v="243.25066899812009"/>
    <n v="0.13129397077389982"/>
    <n v="62.584936326788615"/>
    <n v="208.19673794845247"/>
    <n v="113893.89300453785"/>
    <n v="80.191574789540752"/>
    <n v="335914.62001609389"/>
    <x v="3"/>
    <n v="6.2838873651528351E-6"/>
    <n v="2338938.9300453784"/>
    <n v="0.14361837998462693"/>
  </r>
  <r>
    <x v="5"/>
    <n v="1000"/>
    <n v="25"/>
    <x v="0"/>
    <n v="17.0143004192057"/>
    <n v="6.4560908113449651"/>
    <n v="20.976079852166976"/>
    <n v="5.5092613528939403"/>
    <m/>
    <n v="0.19428123611444084"/>
    <n v="0.08"/>
    <n v="111.93162516766814"/>
    <n v="62.523114875672945"/>
    <n v="1.5441308387263106"/>
    <m/>
    <m/>
    <m/>
    <m/>
    <m/>
    <m/>
    <m/>
    <m/>
    <m/>
    <m/>
    <m/>
    <n v="0.28027910455095756"/>
    <m/>
    <m/>
    <m/>
    <m/>
    <m/>
    <m/>
    <m/>
    <m/>
    <m/>
    <m/>
    <m/>
    <n v="992.23867043557345"/>
    <n v="0.30778347798280364"/>
    <n v="0.12375017326178082"/>
    <n v="262.51089618102037"/>
    <n v="220.1732510724182"/>
    <x v="2"/>
    <n v="4.8813386259591285"/>
    <n v="1.3321822791215501"/>
    <n v="0.1"/>
    <n v="1"/>
    <n v="0.2"/>
    <x v="0"/>
    <n v="0.13224799322328734"/>
    <n v="0.08"/>
    <n v="220.1732510724182"/>
    <n v="0.13224799322328734"/>
    <n v="65.002280399093948"/>
    <n v="210.57231326756582"/>
    <n v="116721.49490707366"/>
    <n v="82.921297647951846"/>
    <n v="329750.53628579224"/>
    <x v="3"/>
    <n v="6.0516249937758383E-6"/>
    <n v="2367214.9490707368"/>
    <n v="0.13929894132141976"/>
  </r>
  <r>
    <x v="6"/>
    <n v="1000"/>
    <n v="25"/>
    <x v="0"/>
    <n v="16.092640625332283"/>
    <n v="7.0358331056880816"/>
    <n v="20.357501782871765"/>
    <n v="5.5450759432088166"/>
    <m/>
    <n v="0.19878657542490225"/>
    <n v="0.08"/>
    <n v="112.75196195382756"/>
    <n v="62.981341145870978"/>
    <n v="1.5102474325742437"/>
    <m/>
    <m/>
    <m/>
    <m/>
    <m/>
    <m/>
    <m/>
    <m/>
    <m/>
    <m/>
    <m/>
    <n v="0.27235829554758018"/>
    <m/>
    <m/>
    <m/>
    <m/>
    <m/>
    <m/>
    <m/>
    <m/>
    <m/>
    <m/>
    <m/>
    <n v="943.36385050207298"/>
    <n v="0.34561377819000538"/>
    <n v="9.3716961541092256E-2"/>
    <n v="228.28465241826996"/>
    <n v="188.24013421495147"/>
    <x v="2"/>
    <n v="4.8813386259591285"/>
    <n v="1.3321822791215501"/>
    <n v="0.1"/>
    <n v="1"/>
    <n v="0.2"/>
    <x v="0"/>
    <n v="0.13333203334675872"/>
    <n v="0.08"/>
    <n v="188.24013421495147"/>
    <n v="0.13333203334675872"/>
    <n v="68.278095132136897"/>
    <n v="213.09770818573028"/>
    <n v="119638.30608612693"/>
    <n v="85.68013369244602"/>
    <n v="313144.54212719511"/>
    <x v="3"/>
    <n v="5.6853456551189147E-6"/>
    <n v="2396383.060861269"/>
    <n v="0.13067382558389884"/>
  </r>
  <r>
    <x v="7"/>
    <n v="1000"/>
    <n v="25"/>
    <x v="0"/>
    <n v="14.310533579865952"/>
    <n v="8.2333018214974185"/>
    <n v="19.203629823879254"/>
    <n v="5.6226825372886609"/>
    <m/>
    <n v="0.21148346777266111"/>
    <n v="0.08"/>
    <n v="114.57396886826416"/>
    <n v="63.999083427776988"/>
    <n v="1.3986730762090183"/>
    <m/>
    <m/>
    <m/>
    <m/>
    <m/>
    <m/>
    <m/>
    <m/>
    <m/>
    <m/>
    <m/>
    <n v="0.24875547693352054"/>
    <m/>
    <m/>
    <m/>
    <m/>
    <m/>
    <m/>
    <m/>
    <m/>
    <m/>
    <m/>
    <m/>
    <n v="837.43826482672591"/>
    <n v="0.42873674909414805"/>
    <n v="6.3240203424443059E-2"/>
    <n v="173.71145560966414"/>
    <n v="138.10172672221677"/>
    <x v="2"/>
    <n v="4.8813386259591285"/>
    <n v="1.3321822791215501"/>
    <n v="0.1"/>
    <n v="1"/>
    <n v="0.2"/>
    <x v="0"/>
    <n v="0.13713982807414321"/>
    <n v="0.08"/>
    <n v="138.10172672221677"/>
    <n v="0.13713982807414321"/>
    <n v="75.081422680934836"/>
    <n v="218.81578603904876"/>
    <n v="126159.62022203546"/>
    <n v="91.762347266787884"/>
    <n v="287270.51110041986"/>
    <x v="3"/>
    <n v="4.9572067642716546E-6"/>
    <n v="2461596.2022203547"/>
    <n v="0.11670090766361374"/>
  </r>
  <r>
    <x v="8"/>
    <n v="1000"/>
    <n v="25"/>
    <x v="0"/>
    <n v="9.9082695271853449"/>
    <n v="4.8706004639327327"/>
    <n v="12.775724771727731"/>
    <n v="3.6364604346889458"/>
    <m/>
    <n v="0.22408187314173697"/>
    <n v="0.08"/>
    <n v="74.326358427477942"/>
    <n v="41.517448167937268"/>
    <n v="1.0218386434052276"/>
    <m/>
    <m/>
    <m/>
    <m/>
    <m/>
    <m/>
    <m/>
    <m/>
    <m/>
    <m/>
    <m/>
    <n v="0.2809981468951781"/>
    <m/>
    <m/>
    <m/>
    <m/>
    <m/>
    <m/>
    <m/>
    <m/>
    <m/>
    <m/>
    <m/>
    <n v="681.05749478898917"/>
    <n v="0.38123868124579635"/>
    <n v="4.8284379916215342E-2"/>
    <n v="194.793480948114"/>
    <n v="170.13817308637516"/>
    <x v="2"/>
    <n v="4.8813386259591285"/>
    <n v="1.3321822791215501"/>
    <n v="0.1"/>
    <n v="1"/>
    <n v="0.2"/>
    <x v="0"/>
    <n v="0.14405223846070053"/>
    <n v="0.08"/>
    <n v="170.13817308637516"/>
    <n v="0.14405223846070053"/>
    <n v="46.040125394411263"/>
    <n v="118.21691802046546"/>
    <n v="62528.429170770389"/>
    <n v="54.645087009942799"/>
    <n v="659113.6928144712"/>
    <x v="3"/>
    <n v="3.6643901649484549E-6"/>
    <n v="1825284.2917077038"/>
    <n v="0.36110193672779378"/>
  </r>
  <r>
    <x v="9"/>
    <n v="1000"/>
    <n v="25"/>
    <x v="0"/>
    <n v="3.4955512572780614"/>
    <n v="1.0817146990425659"/>
    <n v="4.1457054462673453"/>
    <n v="1.0691703418035132"/>
    <m/>
    <n v="0.24531576535121413"/>
    <n v="0.08"/>
    <n v="21.847894991974403"/>
    <n v="12.203865050012951"/>
    <n v="0.3822327557306"/>
    <m/>
    <m/>
    <m/>
    <m/>
    <m/>
    <m/>
    <m/>
    <m/>
    <m/>
    <m/>
    <m/>
    <n v="0.3575040765588734"/>
    <m/>
    <m/>
    <m/>
    <m/>
    <m/>
    <m/>
    <m/>
    <m/>
    <m/>
    <m/>
    <m/>
    <n v="499.31553381646881"/>
    <n v="0.26092415707355804"/>
    <n v="4.2063045724578432E-2"/>
    <n v="316.897333584298"/>
    <n v="308.19915595116873"/>
    <x v="2"/>
    <n v="4.8813386259591285"/>
    <n v="1.3321822791215501"/>
    <n v="0.1"/>
    <n v="1"/>
    <n v="0.2"/>
    <x v="0"/>
    <n v="0.16737660325577136"/>
    <n v="0.08"/>
    <n v="308.19915595116873"/>
    <n v="0.16737660325577136"/>
    <n v="11.625193736191891"/>
    <n v="30.004810373552644"/>
    <n v="12198.754296960633"/>
    <n v="13.713925413647818"/>
    <n v="834110.55463861779"/>
    <x v="3"/>
    <n v="1.2407042372326262E-6"/>
    <n v="1321987.5429696064"/>
    <n v="0.63095190198611029"/>
  </r>
  <r>
    <x v="0"/>
    <n v="100"/>
    <n v="25"/>
    <x v="0"/>
    <n v="3.1127877074037436"/>
    <n v="0.38526775266080859"/>
    <n v="3.5077539616732523"/>
    <n v="4.2990824559767589"/>
    <m/>
    <n v="0.91274990869527328"/>
    <n v="0.36"/>
    <n v="21.648662918036344"/>
    <n v="7.9851625517347173"/>
    <n v="1.2814390109973024"/>
    <m/>
    <m/>
    <m/>
    <m/>
    <m/>
    <m/>
    <m/>
    <m/>
    <m/>
    <m/>
    <m/>
    <n v="0.29807267576731261"/>
    <m/>
    <m/>
    <m/>
    <m/>
    <m/>
    <m/>
    <m/>
    <m/>
    <m/>
    <m/>
    <m/>
    <n v="1015.2760173581283"/>
    <n v="0.1098331744102799"/>
    <n v="0.17588671854729823"/>
    <n v="382.30231518835984"/>
    <n v="374.55651185947744"/>
    <x v="3"/>
    <n v="19.525354503836514"/>
    <n v="5.3287291164862003"/>
    <n v="0.4"/>
    <n v="1"/>
    <n v="0.5"/>
    <x v="0"/>
    <n v="0.86954306927227554"/>
    <n v="0.36"/>
    <n v="374.55651185947744"/>
    <n v="0.86954306927227554"/>
    <n v="6.0071645732340846"/>
    <n v="70.52721376555327"/>
    <n v="24011.931330928306"/>
    <n v="10.405737410088324"/>
    <n v="16643.089779121074"/>
    <x v="0"/>
    <n v="1.9314532319002045E-6"/>
    <n v="1440119.313309283"/>
    <n v="1.1556743684574674E-2"/>
  </r>
  <r>
    <x v="0"/>
    <n v="200"/>
    <n v="25"/>
    <x v="0"/>
    <n v="5.9268927863369871"/>
    <n v="0.58722529565804016"/>
    <n v="6.5147268055750374"/>
    <n v="7.9438316953668826"/>
    <m/>
    <n v="0.97928218645982801"/>
    <n v="0.36"/>
    <n v="40.097571424977453"/>
    <n v="14.790087820688404"/>
    <n v="1.9454072842430383"/>
    <m/>
    <m/>
    <m/>
    <m/>
    <m/>
    <m/>
    <m/>
    <m/>
    <m/>
    <m/>
    <m/>
    <n v="0.24489532996748498"/>
    <m/>
    <m/>
    <m/>
    <m/>
    <m/>
    <m/>
    <m/>
    <m/>
    <m/>
    <m/>
    <m/>
    <n v="1328.20642519017"/>
    <n v="9.013813060518773E-2"/>
    <n v="0.19923028019951231"/>
    <n v="370.25104426695731"/>
    <n v="355.50278306865096"/>
    <x v="3"/>
    <n v="19.525354503836514"/>
    <n v="5.3287291164862003"/>
    <n v="0.4"/>
    <n v="1"/>
    <n v="0.5"/>
    <x v="0"/>
    <n v="0.96991841732132944"/>
    <n v="0.36"/>
    <n v="355.50278306865096"/>
    <n v="0.96991841732132944"/>
    <n v="10.066287247889772"/>
    <n v="102.57331827876276"/>
    <n v="37588.055402549733"/>
    <n v="15.115230284849217"/>
    <n v="47026.980531871435"/>
    <x v="0"/>
    <n v="3.4384986429305683E-6"/>
    <n v="1575880.5540254973"/>
    <n v="2.9841716373581541E-2"/>
  </r>
  <r>
    <x v="0"/>
    <n v="300"/>
    <n v="25"/>
    <x v="0"/>
    <n v="8.4196852364485668"/>
    <n v="0.73134576470381318"/>
    <n v="9.1463312320736279"/>
    <n v="11.147447009543161"/>
    <m/>
    <n v="0.9999999992867683"/>
    <n v="0.36"/>
    <n v="56.370671221836538"/>
    <n v="20.792460696579052"/>
    <n v="2.5472752198051829"/>
    <m/>
    <m/>
    <m/>
    <m/>
    <m/>
    <m/>
    <m/>
    <m/>
    <m/>
    <m/>
    <m/>
    <n v="0.22850749751261426"/>
    <m/>
    <m/>
    <m/>
    <m/>
    <m/>
    <m/>
    <m/>
    <m/>
    <m/>
    <m/>
    <m/>
    <n v="1613.1121129173887"/>
    <n v="7.9960559720293964E-2"/>
    <n v="0.21275633626647797"/>
    <n v="360.42568985629231"/>
    <n v="339.47450301479773"/>
    <x v="3"/>
    <n v="19.525354503836514"/>
    <n v="5.3287291164862003"/>
    <n v="0.4"/>
    <n v="1"/>
    <n v="0.5"/>
    <x v="0"/>
    <n v="0.99999999900000003"/>
    <n v="0.36"/>
    <n v="339.47450301479773"/>
    <n v="0.99999999900000003"/>
    <n v="13.339496674019024"/>
    <n v="125.47052883890838"/>
    <n v="48297.431060297713"/>
    <n v="18.918716470352862"/>
    <n v="82494.758388420276"/>
    <x v="0"/>
    <n v="4.5472866161977545E-6"/>
    <n v="1682974.3106029772"/>
    <n v="4.9017241599406229E-2"/>
  </r>
  <r>
    <x v="0"/>
    <n v="400"/>
    <n v="25"/>
    <x v="0"/>
    <n v="10.647713753494024"/>
    <n v="0.84210959185125123"/>
    <n v="11.483386014560075"/>
    <n v="14.001633961717115"/>
    <m/>
    <n v="0.9999999992613231"/>
    <n v="0.36"/>
    <n v="70.910898709252223"/>
    <n v="26.155659359970084"/>
    <n v="3.1466114797331635"/>
    <m/>
    <m/>
    <m/>
    <m/>
    <m/>
    <m/>
    <m/>
    <m/>
    <m/>
    <m/>
    <m/>
    <n v="0.22473173404879335"/>
    <m/>
    <m/>
    <m/>
    <m/>
    <m/>
    <m/>
    <m/>
    <m/>
    <m/>
    <m/>
    <m/>
    <n v="1898.8472321299732"/>
    <n v="7.3332864608358472E-2"/>
    <n v="0.22199781671323798"/>
    <n v="352.03685373515168"/>
    <n v="325.54149226339149"/>
    <x v="3"/>
    <n v="19.525354503836514"/>
    <n v="5.3287291164862003"/>
    <n v="0.4"/>
    <n v="1"/>
    <n v="0.5"/>
    <x v="0"/>
    <n v="0.99999999900000003"/>
    <n v="0.36"/>
    <n v="325.54149226339149"/>
    <n v="0.99999999900000003"/>
    <n v="16.136645444160642"/>
    <n v="143.52229965664409"/>
    <n v="57372.773874863393"/>
    <n v="22.324686399525927"/>
    <n v="120441.85231367966"/>
    <x v="0"/>
    <n v="5.3916363591327483E-6"/>
    <n v="1773727.7387486338"/>
    <n v="6.7903235475502838E-2"/>
  </r>
  <r>
    <x v="0"/>
    <n v="600"/>
    <n v="25"/>
    <x v="0"/>
    <n v="14.434019887868264"/>
    <n v="1.0106379246391475"/>
    <n v="15.435770207992661"/>
    <n v="18.863086219250331"/>
    <m/>
    <n v="0.99999999922840799"/>
    <n v="0.36"/>
    <n v="95.769366299153475"/>
    <n v="35.324766257884484"/>
    <n v="4.1808506576917299"/>
    <m/>
    <m/>
    <m/>
    <m/>
    <m/>
    <m/>
    <m/>
    <m/>
    <m/>
    <m/>
    <m/>
    <n v="0.22164192057952053"/>
    <m/>
    <m/>
    <m/>
    <m/>
    <m/>
    <m/>
    <m/>
    <m/>
    <m/>
    <m/>
    <m/>
    <n v="2392.81809963871"/>
    <n v="6.5473760688393626E-2"/>
    <n v="0.23397573859556448"/>
    <n v="338.30975820609336"/>
    <n v="302.39277079284489"/>
    <x v="3"/>
    <n v="19.525354503836514"/>
    <n v="5.3287291164862003"/>
    <n v="0.4"/>
    <n v="1"/>
    <n v="0.5"/>
    <x v="0"/>
    <n v="0.99999999900000003"/>
    <n v="0.36"/>
    <n v="302.39277079284489"/>
    <n v="0.99999999900000003"/>
    <n v="20.726830568761596"/>
    <n v="170.75652918849184"/>
    <n v="71853.319402201916"/>
    <n v="27.816013933437386"/>
    <n v="197686.90881158339"/>
    <x v="0"/>
    <n v="6.5770672709733782E-6"/>
    <n v="1918533.1940220192"/>
    <n v="0.10304065075733818"/>
  </r>
  <r>
    <x v="0"/>
    <n v="800"/>
    <n v="25"/>
    <x v="0"/>
    <n v="17.474915819599349"/>
    <n v="1.1331324699105878"/>
    <n v="18.596370445769704"/>
    <n v="22.784834198310651"/>
    <m/>
    <n v="0.99999999920793659"/>
    <n v="0.36"/>
    <n v="115.91838545285849"/>
    <n v="42.75678151949699"/>
    <n v="5.032474189120542"/>
    <m/>
    <m/>
    <m/>
    <m/>
    <m/>
    <m/>
    <m/>
    <m/>
    <m/>
    <m/>
    <m/>
    <n v="0.22086946717802614"/>
    <m/>
    <m/>
    <m/>
    <m/>
    <m/>
    <m/>
    <m/>
    <m/>
    <m/>
    <m/>
    <m/>
    <n v="2800.45231834269"/>
    <n v="6.0932990833614649E-2"/>
    <n v="0.24169691385650252"/>
    <n v="327.69905274845854"/>
    <n v="284.21522378241849"/>
    <x v="3"/>
    <n v="19.525354503836514"/>
    <n v="5.3287291164862003"/>
    <n v="0.4"/>
    <n v="1"/>
    <n v="0.5"/>
    <x v="0"/>
    <n v="0.99999999900000003"/>
    <n v="0.36"/>
    <n v="284.21522378241849"/>
    <n v="0.99999999900000003"/>
    <n v="24.313365187227678"/>
    <n v="189.95110628936027"/>
    <n v="82616.867069948144"/>
    <n v="32.004250196664209"/>
    <n v="271087.99121352885"/>
    <x v="0"/>
    <n v="7.3517935709977284E-6"/>
    <n v="2026168.6706994814"/>
    <n v="0.13379339792078754"/>
  </r>
  <r>
    <x v="0"/>
    <n v="1000"/>
    <n v="25"/>
    <x v="0"/>
    <n v="19.899984629758801"/>
    <n v="1.2241658810833336"/>
    <n v="21.108964388948841"/>
    <n v="25.927287279512818"/>
    <m/>
    <n v="0.99999999919405813"/>
    <n v="0.36"/>
    <n v="132.13906298749714"/>
    <n v="48.739818315060425"/>
    <n v="5.7288542470211929"/>
    <m/>
    <m/>
    <m/>
    <m/>
    <m/>
    <m/>
    <m/>
    <m/>
    <m/>
    <m/>
    <m/>
    <n v="0.22095848999783366"/>
    <m/>
    <m/>
    <m/>
    <m/>
    <m/>
    <m/>
    <m/>
    <m/>
    <m/>
    <m/>
    <m/>
    <n v="3134.4083625118888"/>
    <n v="5.7992701987986686E-2"/>
    <n v="0.24720325027001747"/>
    <n v="319.49950250240533"/>
    <n v="269.98123900129627"/>
    <x v="3"/>
    <n v="19.525354503836514"/>
    <n v="5.3287291164862003"/>
    <n v="0.4"/>
    <n v="1"/>
    <n v="0.5"/>
    <x v="0"/>
    <n v="0.99999999900000003"/>
    <n v="0.36"/>
    <n v="269.98123900129627"/>
    <n v="0.99999999900000003"/>
    <n v="27.125476418816433"/>
    <n v="203.54969306501246"/>
    <n v="90551.819459743492"/>
    <n v="35.209034394336427"/>
    <n v="336700.94083777047"/>
    <x v="0"/>
    <n v="7.8839828161105257E-6"/>
    <n v="2105518.1945974352"/>
    <n v="0.15991357457832181"/>
  </r>
  <r>
    <x v="0"/>
    <n v="1300"/>
    <n v="25"/>
    <x v="0"/>
    <n v="22.625108317046259"/>
    <n v="1.3199260911949819"/>
    <n v="23.923833384603093"/>
    <n v="29.478292475518188"/>
    <m/>
    <n v="0.99999999918021532"/>
    <n v="0.36"/>
    <n v="150.57216112100014"/>
    <n v="55.538911888893502"/>
    <n v="6.5338031546579813"/>
    <m/>
    <m/>
    <m/>
    <m/>
    <m/>
    <m/>
    <m/>
    <m/>
    <m/>
    <m/>
    <m/>
    <n v="0.22164795196615694"/>
    <m/>
    <m/>
    <m/>
    <m/>
    <m/>
    <m/>
    <m/>
    <m/>
    <m/>
    <m/>
    <m/>
    <n v="3521.1874475300983"/>
    <n v="5.5172014868004403E-2"/>
    <n v="0.2530353988172987"/>
    <n v="310.58520498397752"/>
    <n v="254.28587020110774"/>
    <x v="3"/>
    <n v="19.525354503836514"/>
    <n v="5.3287291164862003"/>
    <n v="0.4"/>
    <n v="1"/>
    <n v="0.5"/>
    <x v="0"/>
    <n v="0.99999999900000003"/>
    <n v="0.36"/>
    <n v="254.28587020110774"/>
    <n v="0.99999999900000003"/>
    <n v="30.24111208436797"/>
    <n v="216.84332476431084"/>
    <n v="98632.796945378112"/>
    <n v="38.661484019426922"/>
    <n v="417561.82362693083"/>
    <x v="0"/>
    <n v="8.4141303646147681E-6"/>
    <n v="2186327.9694537809"/>
    <n v="0.19098773352437692"/>
  </r>
  <r>
    <x v="0"/>
    <n v="1600"/>
    <n v="25"/>
    <x v="0"/>
    <n v="24.546878833018358"/>
    <n v="1.3833095369146726"/>
    <n v="25.902995705405228"/>
    <n v="31.997607078996214"/>
    <m/>
    <n v="0.99999999917121474"/>
    <n v="0.36"/>
    <n v="163.73601292504449"/>
    <n v="60.394430996942639"/>
    <n v="7.1184972015387302"/>
    <m/>
    <m/>
    <m/>
    <m/>
    <m/>
    <m/>
    <m/>
    <m/>
    <m/>
    <m/>
    <m/>
    <n v="0.22246967355916547"/>
    <m/>
    <m/>
    <m/>
    <m/>
    <m/>
    <m/>
    <m/>
    <m/>
    <m/>
    <m/>
    <m/>
    <n v="3802.6768808811553"/>
    <n v="5.3403457756278541E-2"/>
    <n v="0.25706139666730848"/>
    <n v="304.50966519571517"/>
    <n v="243.42828011178506"/>
    <x v="3"/>
    <n v="19.525354503836514"/>
    <n v="5.3287291164862003"/>
    <n v="0.4"/>
    <n v="1"/>
    <n v="0.5"/>
    <x v="0"/>
    <n v="0.99999999899999992"/>
    <n v="0.36"/>
    <n v="243.42828011178506"/>
    <n v="0.99999999899999992"/>
    <n v="32.411365596510784"/>
    <n v="224.78912863905339"/>
    <n v="103694.30130802085"/>
    <n v="40.995712932760469"/>
    <n v="478730.19171168981"/>
    <x v="0"/>
    <n v="8.7567004480877783E-6"/>
    <n v="2236943.0130802086"/>
    <n v="0.21401090189261979"/>
  </r>
  <r>
    <x v="0"/>
    <n v="1900"/>
    <n v="25"/>
    <x v="0"/>
    <n v="25.92275443977422"/>
    <n v="1.4265296203493396"/>
    <n v="27.316673054326444"/>
    <n v="33.81019508477798"/>
    <m/>
    <n v="0.99999999916502491"/>
    <n v="0.36"/>
    <n v="173.26403597456837"/>
    <n v="63.9088657283244"/>
    <n v="7.5471137505757504"/>
    <m/>
    <m/>
    <m/>
    <m/>
    <m/>
    <m/>
    <m/>
    <m/>
    <m/>
    <m/>
    <m/>
    <n v="0.223220059264716"/>
    <m/>
    <m/>
    <m/>
    <m/>
    <m/>
    <m/>
    <m/>
    <m/>
    <m/>
    <m/>
    <m/>
    <n v="4009.3302703422091"/>
    <n v="5.2221938502990735E-2"/>
    <n v="0.25995138560256198"/>
    <n v="300.27845252801478"/>
    <n v="235.77339505433679"/>
    <x v="3"/>
    <n v="19.525354503836514"/>
    <n v="5.3287291164862003"/>
    <n v="0.4"/>
    <n v="1"/>
    <n v="0.5"/>
    <x v="0"/>
    <n v="0.99999999900000003"/>
    <n v="0.36"/>
    <n v="235.77339505433679"/>
    <n v="0.99999999900000003"/>
    <n v="33.951542809076969"/>
    <n v="229.64850999307356"/>
    <n v="106936.01504898428"/>
    <n v="42.613011757947071"/>
    <n v="524338.52231013158"/>
    <x v="0"/>
    <n v="8.9914218878971225E-6"/>
    <n v="2269360.1504898425"/>
    <n v="0.23105126006418719"/>
  </r>
  <r>
    <x v="0"/>
    <n v="1000"/>
    <n v="25"/>
    <x v="1"/>
    <n v="19.890924030925369"/>
    <n v="1.3499043608790937"/>
    <n v="21.174802942326064"/>
    <n v="25.753897215252817"/>
    <m/>
    <n v="0.99999999917671201"/>
    <n v="0.36"/>
    <n v="133.86573232876722"/>
    <n v="49.376704547496104"/>
    <n v="5.5585098212057602"/>
    <m/>
    <m/>
    <m/>
    <m/>
    <m/>
    <m/>
    <m/>
    <m/>
    <m/>
    <m/>
    <m/>
    <n v="0.21583179333004859"/>
    <m/>
    <m/>
    <m/>
    <m/>
    <m/>
    <m/>
    <m/>
    <m/>
    <m/>
    <m/>
    <m/>
    <n v="2851.0982176903781"/>
    <n v="6.3750504056913126E-2"/>
    <n v="0.25286904464186832"/>
    <n v="121.33903120053166"/>
    <n v="71.84330708749907"/>
    <x v="3"/>
    <n v="19.525354503836514"/>
    <n v="5.3287291164862003"/>
    <n v="0.4"/>
    <n v="1"/>
    <n v="0.5"/>
    <x v="0"/>
    <n v="0.99999999900000003"/>
    <n v="0.36"/>
    <n v="71.84330708749907"/>
    <n v="0.99999999900000003"/>
    <n v="27.80949850947761"/>
    <n v="207.83361810550687"/>
    <n v="92755.896620164232"/>
    <n v="35.737074278952967"/>
    <n v="342144.05361428583"/>
    <x v="1"/>
    <n v="7.7893236747857969E-6"/>
    <n v="2127558.9662016425"/>
    <n v="0.16081530949298192"/>
  </r>
  <r>
    <x v="0"/>
    <n v="1000"/>
    <n v="25"/>
    <x v="2"/>
    <n v="19.884297997468646"/>
    <n v="1.2639843921746532"/>
    <n v="21.115864874234457"/>
    <n v="25.914462675492008"/>
    <m/>
    <n v="0.99999999919398608"/>
    <n v="0.36"/>
    <n v="132.53907703643642"/>
    <n v="48.887364480652785"/>
    <n v="5.7303773423999225"/>
    <m/>
    <m/>
    <m/>
    <m/>
    <m/>
    <m/>
    <m/>
    <m/>
    <m/>
    <m/>
    <m/>
    <n v="0.22112661235377618"/>
    <m/>
    <m/>
    <m/>
    <m/>
    <m/>
    <m/>
    <m/>
    <m/>
    <m/>
    <m/>
    <m/>
    <n v="3035.5685022634893"/>
    <n v="5.9859465842527E-2"/>
    <n v="0.24811660954806658"/>
    <n v="219.85906129506196"/>
    <n v="170.37983106352726"/>
    <x v="3"/>
    <n v="19.525354503836514"/>
    <n v="5.3287291164862003"/>
    <n v="0.4"/>
    <n v="1"/>
    <n v="0.5"/>
    <x v="0"/>
    <n v="0.99999999900000014"/>
    <n v="0.36"/>
    <n v="170.37983106352726"/>
    <n v="0.99999999900000014"/>
    <n v="27.328985037336857"/>
    <n v="204.53453591256937"/>
    <n v="91034.539137446685"/>
    <n v="35.295336358823569"/>
    <n v="337621.39419293328"/>
    <x v="1"/>
    <n v="7.8584187102330013E-6"/>
    <n v="2110345.3913744669"/>
    <n v="0.15998395123986819"/>
  </r>
  <r>
    <x v="0"/>
    <n v="1000"/>
    <n v="25"/>
    <x v="0"/>
    <n v="19.89998529546617"/>
    <n v="1.2241656342942122"/>
    <n v="21.108964979526576"/>
    <n v="25.9272896938275"/>
    <m/>
    <n v="0.9999999991940578"/>
    <n v="0.36"/>
    <n v="132.13907535728225"/>
    <n v="48.73982287768608"/>
    <n v="5.7288559714960456"/>
    <m/>
    <m/>
    <m/>
    <m/>
    <m/>
    <m/>
    <m/>
    <m/>
    <m/>
    <m/>
    <m/>
    <n v="0.22095853593443329"/>
    <m/>
    <m/>
    <m/>
    <m/>
    <m/>
    <m/>
    <m/>
    <m/>
    <m/>
    <m/>
    <m/>
    <n v="3134.4091362342942"/>
    <n v="5.7992688674291762E-2"/>
    <n v="0.24720330879220401"/>
    <n v="319.49951886690218"/>
    <n v="269.98115048627221"/>
    <x v="3"/>
    <n v="19.525354503836514"/>
    <n v="5.3287291164862003"/>
    <n v="0.4"/>
    <n v="1"/>
    <n v="0.5"/>
    <x v="0"/>
    <n v="0.99999999899999992"/>
    <n v="0.36"/>
    <n v="269.98115048627221"/>
    <n v="0.99999999899999992"/>
    <n v="27.125475754179156"/>
    <n v="203.54972344972407"/>
    <n v="90551.825256526121"/>
    <n v="35.209023315596795"/>
    <n v="336700.96922651329"/>
    <x v="1"/>
    <n v="7.8839827974202592E-6"/>
    <n v="2105518.252565261"/>
    <n v="0.15991358365869934"/>
  </r>
  <r>
    <x v="0"/>
    <n v="1000"/>
    <n v="25"/>
    <x v="3"/>
    <n v="19.916959263560805"/>
    <n v="1.1927689862462432"/>
    <n v="21.108455040230385"/>
    <n v="25.911316342000809"/>
    <m/>
    <n v="0.99999999919188454"/>
    <n v="0.36"/>
    <n v="131.85749900259071"/>
    <n v="48.635962746857238"/>
    <n v="5.6968014447638282"/>
    <m/>
    <m/>
    <m/>
    <m/>
    <m/>
    <m/>
    <m/>
    <m/>
    <m/>
    <m/>
    <m/>
    <n v="0.21985766255840999"/>
    <m/>
    <m/>
    <m/>
    <m/>
    <m/>
    <m/>
    <m/>
    <m/>
    <m/>
    <m/>
    <m/>
    <n v="3218.1321282862114"/>
    <n v="5.6506692885526538E-2"/>
    <n v="0.24677772637742382"/>
    <n v="419.29190873126186"/>
    <n v="369.73140590429637"/>
    <x v="3"/>
    <n v="19.525354503836514"/>
    <n v="5.3287291164862003"/>
    <n v="0.4"/>
    <n v="1"/>
    <n v="0.5"/>
    <x v="0"/>
    <n v="0.99999999900000003"/>
    <n v="0.36"/>
    <n v="369.73140590429637"/>
    <n v="0.99999999900000003"/>
    <n v="26.969697655014294"/>
    <n v="202.85918398403095"/>
    <n v="90237.945304554843"/>
    <n v="35.18532943455255"/>
    <n v="336235.93541010702"/>
    <x v="1"/>
    <n v="7.9029789502325805E-6"/>
    <n v="2102379.4530455484"/>
    <n v="0.15993113656196983"/>
  </r>
  <r>
    <x v="0"/>
    <n v="1000"/>
    <n v="25"/>
    <x v="4"/>
    <n v="19.934139098459745"/>
    <n v="1.1647414698897967"/>
    <n v="21.110160394843454"/>
    <n v="25.886290922588781"/>
    <m/>
    <n v="0.99999999918904348"/>
    <n v="0.36"/>
    <n v="131.61949988172688"/>
    <n v="48.548176185882866"/>
    <n v="5.6553265527403234"/>
    <m/>
    <m/>
    <m/>
    <m/>
    <m/>
    <m/>
    <m/>
    <m/>
    <m/>
    <m/>
    <m/>
    <n v="0.21846801342271083"/>
    <m/>
    <m/>
    <m/>
    <m/>
    <m/>
    <m/>
    <m/>
    <m/>
    <m/>
    <m/>
    <m/>
    <n v="3297.1941492156034"/>
    <n v="5.5174449085394262E-2"/>
    <n v="0.24650864020453211"/>
    <n v="519.13411602157203"/>
    <n v="469.53087284544057"/>
    <x v="3"/>
    <n v="19.525354503836514"/>
    <n v="5.3287291164862003"/>
    <n v="0.4"/>
    <n v="1"/>
    <n v="0.5"/>
    <x v="0"/>
    <n v="0.99999999900000003"/>
    <n v="0.36"/>
    <n v="469.53087284544057"/>
    <n v="0.99999999900000003"/>
    <n v="26.832717843884588"/>
    <n v="202.27724554651039"/>
    <n v="89985.207481258069"/>
    <n v="35.182979029013161"/>
    <n v="335929.85681525682"/>
    <x v="1"/>
    <n v="7.9195166016888476E-6"/>
    <n v="2099852.0748125808"/>
    <n v="0.15997786741489384"/>
  </r>
  <r>
    <x v="0"/>
    <n v="1000"/>
    <n v="25"/>
    <x v="5"/>
    <n v="19.952223779788326"/>
    <n v="1.1380212774671363"/>
    <n v="21.113617818010834"/>
    <n v="25.857068719068629"/>
    <m/>
    <n v="0.99913540664506684"/>
    <n v="0.36"/>
    <n v="131.40114108425928"/>
    <n v="48.467634006489085"/>
    <n v="5.6196567738661791"/>
    <m/>
    <m/>
    <m/>
    <m/>
    <m/>
    <m/>
    <m/>
    <m/>
    <m/>
    <m/>
    <m/>
    <n v="0.21733541550755484"/>
    <m/>
    <m/>
    <m/>
    <m/>
    <m/>
    <m/>
    <m/>
    <m/>
    <m/>
    <m/>
    <m/>
    <n v="3379.1776382133803"/>
    <n v="5.389987103471934E-2"/>
    <n v="0.24631705139445112"/>
    <n v="618.99779707967957"/>
    <n v="569.3492512802901"/>
    <x v="3"/>
    <n v="19.525354503836514"/>
    <n v="5.3287291164862003"/>
    <n v="0.4"/>
    <n v="1"/>
    <n v="0.5"/>
    <x v="0"/>
    <n v="0.99893844107391461"/>
    <n v="0.36"/>
    <n v="569.3492512802901"/>
    <n v="0.99893844107391461"/>
    <n v="26.708036211403211"/>
    <n v="201.74471791842907"/>
    <n v="89772.402112714393"/>
    <n v="35.208641877145723"/>
    <n v="335743.0731984115"/>
    <x v="1"/>
    <n v="7.934707769471119E-6"/>
    <n v="2097724.0211271439"/>
    <n v="0.1600511172189423"/>
  </r>
  <r>
    <x v="0"/>
    <n v="1000"/>
    <n v="25"/>
    <x v="6"/>
    <n v="20.018445533339097"/>
    <n v="1.0796155787392014"/>
    <n v="21.150210998328365"/>
    <n v="25.786473681985854"/>
    <m/>
    <n v="0.95840406994595106"/>
    <n v="0.36"/>
    <n v="130.99715491413227"/>
    <n v="48.318622714229122"/>
    <n v="6.0446137274977012"/>
    <m/>
    <m/>
    <m/>
    <m/>
    <m/>
    <m/>
    <m/>
    <m/>
    <m/>
    <m/>
    <m/>
    <n v="0.23441024942159508"/>
    <m/>
    <m/>
    <m/>
    <m/>
    <m/>
    <m/>
    <m/>
    <m/>
    <m/>
    <m/>
    <m/>
    <n v="3691.2633617334154"/>
    <n v="5.1045144600426459E-2"/>
    <n v="0.24644175732817564"/>
    <n v="718.77007472121932"/>
    <n v="668.95649798456293"/>
    <x v="3"/>
    <n v="19.525354503836514"/>
    <n v="5.3287291164862003"/>
    <n v="0.4"/>
    <n v="1"/>
    <n v="0.5"/>
    <x v="0"/>
    <n v="0.9502502104736047"/>
    <n v="0.36"/>
    <n v="668.95649798456293"/>
    <n v="0.9502502104736047"/>
    <n v="26.634917860034104"/>
    <n v="200.76296503178597"/>
    <n v="89884.948669125428"/>
    <n v="36.020105216080637"/>
    <n v="337369.76067361468"/>
    <x v="1"/>
    <n v="7.9523887200111487E-6"/>
    <n v="2098849.4866912542"/>
    <n v="0.16074033074447067"/>
  </r>
  <r>
    <x v="0"/>
    <n v="1000"/>
    <n v="25"/>
    <x v="7"/>
    <n v="20.079799286106418"/>
    <n v="1.0252042138064184"/>
    <n v="21.183689513018251"/>
    <n v="25.728801543887393"/>
    <m/>
    <n v="0.92751922757043104"/>
    <n v="0.36"/>
    <n v="130.67120698208302"/>
    <n v="48.198396017981445"/>
    <n v="6.4128618243283668"/>
    <m/>
    <m/>
    <m/>
    <m/>
    <m/>
    <m/>
    <m/>
    <m/>
    <m/>
    <m/>
    <m/>
    <n v="0.24924836912397594"/>
    <m/>
    <m/>
    <m/>
    <m/>
    <m/>
    <m/>
    <m/>
    <m/>
    <m/>
    <m/>
    <m/>
    <n v="3974.9995982767373"/>
    <n v="4.8395923343588852E-2"/>
    <n v="0.24648196817897808"/>
    <n v="818.53440868532073"/>
    <n v="768.56868611255254"/>
    <x v="3"/>
    <n v="19.525354503836514"/>
    <n v="5.3287291164862003"/>
    <n v="0.4"/>
    <n v="1"/>
    <n v="0.5"/>
    <x v="0"/>
    <n v="0.91495540771465078"/>
    <n v="0.36"/>
    <n v="768.56868611255254"/>
    <n v="0.91495540771465078"/>
    <n v="26.513692969734034"/>
    <n v="199.97412490253626"/>
    <n v="89888.839708393891"/>
    <n v="36.541123100913325"/>
    <n v="338618.11424089549"/>
    <x v="1"/>
    <n v="7.973015090176221E-6"/>
    <n v="2098888.3970839391"/>
    <n v="0.16133211975984516"/>
  </r>
  <r>
    <x v="0"/>
    <n v="1000"/>
    <n v="25"/>
    <x v="8"/>
    <n v="20.136058095978587"/>
    <n v="0.97526155676054738"/>
    <n v="21.214220731578873"/>
    <n v="25.680665789131783"/>
    <m/>
    <n v="0.90285789626777146"/>
    <n v="0.36"/>
    <n v="130.40166555668631"/>
    <n v="48.098975000417084"/>
    <n v="6.7384647486788296"/>
    <m/>
    <m/>
    <m/>
    <m/>
    <m/>
    <m/>
    <m/>
    <m/>
    <m/>
    <m/>
    <m/>
    <n v="0.2623944723244126"/>
    <m/>
    <m/>
    <m/>
    <m/>
    <m/>
    <m/>
    <m/>
    <m/>
    <m/>
    <m/>
    <m/>
    <n v="4237.43115317515"/>
    <n v="4.5972066054201149E-2"/>
    <n v="0.2464769833903028"/>
    <n v="918.30450933386908"/>
    <n v="868.19877883573633"/>
    <x v="3"/>
    <n v="19.525354503836514"/>
    <n v="5.3287291164862003"/>
    <n v="0.4"/>
    <n v="1"/>
    <n v="0.5"/>
    <x v="0"/>
    <n v="0.88769011927062769"/>
    <n v="0.36"/>
    <n v="868.19877883573633"/>
    <n v="0.88769011927062769"/>
    <n v="26.372830694808421"/>
    <n v="199.3239835309665"/>
    <n v="89838.020144985174"/>
    <n v="36.888759357038339"/>
    <n v="339621.26406919479"/>
    <x v="1"/>
    <n v="7.9942396078474487E-6"/>
    <n v="2098380.2014498515"/>
    <n v="0.16184925107210668"/>
  </r>
  <r>
    <x v="0"/>
    <n v="1000"/>
    <n v="25"/>
    <x v="9"/>
    <n v="20.187461722559512"/>
    <n v="0.92958482392689468"/>
    <n v="21.242011943905258"/>
    <n v="25.639569850851409"/>
    <m/>
    <n v="0.88229563779523779"/>
    <n v="0.36"/>
    <n v="130.17331195577572"/>
    <n v="48.014746213195956"/>
    <n v="7.03237224088004"/>
    <m/>
    <m/>
    <m/>
    <m/>
    <m/>
    <m/>
    <m/>
    <m/>
    <m/>
    <m/>
    <m/>
    <n v="0.27427808975689649"/>
    <m/>
    <m/>
    <m/>
    <m/>
    <m/>
    <m/>
    <m/>
    <m/>
    <m/>
    <m/>
    <m/>
    <n v="4484.0386880637452"/>
    <n v="4.3761618550149178E-2"/>
    <n v="0.24644776247568012"/>
    <n v="1018.0862446476801"/>
    <n v="967.85256762372421"/>
    <x v="3"/>
    <n v="19.525354503836514"/>
    <n v="5.3287291164862003"/>
    <n v="0.4"/>
    <n v="1"/>
    <n v="0.5"/>
    <x v="0"/>
    <n v="0.86552527361358766"/>
    <n v="0.36"/>
    <n v="967.85256762372421"/>
    <n v="0.86552527361358766"/>
    <n v="26.226176626661523"/>
    <n v="198.77472767714229"/>
    <n v="89759.382147471959"/>
    <n v="37.128396075777353"/>
    <n v="340452.97483396955"/>
    <x v="1"/>
    <n v="8.0150119915504294E-6"/>
    <n v="2097593.8214747198"/>
    <n v="0.16230643480567322"/>
  </r>
  <r>
    <x v="0"/>
    <n v="1000"/>
    <n v="25"/>
    <x v="0"/>
    <n v="19.899994413369775"/>
    <n v="1.2241660298670027"/>
    <n v="21.10897469474482"/>
    <n v="25.927301243989344"/>
    <m/>
    <n v="0.99999999919405835"/>
    <n v="0.36"/>
    <n v="132.13913321485887"/>
    <n v="48.739844218595486"/>
    <n v="5.7288582039901605"/>
    <m/>
    <m/>
    <m/>
    <m/>
    <m/>
    <m/>
    <m/>
    <m/>
    <m/>
    <m/>
    <m/>
    <n v="0.22095852360716742"/>
    <m/>
    <m/>
    <m/>
    <m/>
    <m/>
    <m/>
    <m/>
    <m/>
    <m/>
    <m/>
    <m/>
    <n v="3134.4102972365063"/>
    <n v="5.7992680723226442E-2"/>
    <n v="0.24720329740416314"/>
    <n v="319.49947827421397"/>
    <n v="269.98119524142641"/>
    <x v="3"/>
    <n v="19.525354503836514"/>
    <n v="5.3287291164862003"/>
    <n v="0.4"/>
    <n v="1"/>
    <n v="0.5"/>
    <x v="0"/>
    <n v="0.99999999900000003"/>
    <n v="0.36"/>
    <n v="269.98119524142641"/>
    <n v="0.99999999900000003"/>
    <n v="27.125486842212371"/>
    <n v="203.54986556912826"/>
    <n v="90551.898351377415"/>
    <n v="35.209041007488992"/>
    <n v="336701.34181273537"/>
    <x v="2"/>
    <n v="7.8839828068683086E-6"/>
    <n v="2105518.9835137744"/>
    <n v="0.15991370510031436"/>
  </r>
  <r>
    <x v="0"/>
    <n v="1000"/>
    <n v="25"/>
    <x v="0"/>
    <n v="19.183821758405013"/>
    <n v="1.1852830382834774"/>
    <n v="20.342696062165562"/>
    <n v="25.041676442737639"/>
    <m/>
    <n v="0.99999999919537841"/>
    <n v="0.36"/>
    <n v="127.67594104609641"/>
    <n v="47.09358481208475"/>
    <n v="5.574738298467782"/>
    <m/>
    <m/>
    <m/>
    <m/>
    <m/>
    <m/>
    <m/>
    <m/>
    <m/>
    <m/>
    <m/>
    <n v="0.22261841419504952"/>
    <m/>
    <m/>
    <m/>
    <m/>
    <m/>
    <m/>
    <m/>
    <m/>
    <m/>
    <m/>
    <m/>
    <n v="3062.5787722938821"/>
    <n v="5.8265779258626901E-2"/>
    <n v="0.24896536008169803"/>
    <n v="322.94581964290199"/>
    <n v="275.2096230599916"/>
    <x v="3"/>
    <n v="19.525354503836514"/>
    <n v="5.3287291164862003"/>
    <n v="0.4"/>
    <n v="1"/>
    <n v="0.5"/>
    <x v="1"/>
    <n v="0.99999999900000003"/>
    <n v="0.36"/>
    <n v="275.2096230599916"/>
    <n v="0.99999999900000003"/>
    <n v="26.212346640662371"/>
    <n v="192.85791191058755"/>
    <n v="84921.482189175164"/>
    <n v="33.635201936936213"/>
    <n v="381859.43140163907"/>
    <x v="2"/>
    <n v="7.617786998760139E-6"/>
    <n v="2049214.8218917516"/>
    <n v="0.18634426577547492"/>
  </r>
  <r>
    <x v="0"/>
    <n v="1000"/>
    <n v="25"/>
    <x v="0"/>
    <n v="16.68109738565947"/>
    <n v="1.0534096365008803"/>
    <n v="17.676305965665659"/>
    <n v="21.928322253051679"/>
    <m/>
    <n v="0.99999999920116833"/>
    <n v="0.36"/>
    <n v="111.95035873258013"/>
    <n v="41.293165106279552"/>
    <n v="5.0129729923855635"/>
    <m/>
    <m/>
    <m/>
    <m/>
    <m/>
    <m/>
    <m/>
    <m/>
    <m/>
    <m/>
    <m/>
    <n v="0.22860722925065222"/>
    <m/>
    <m/>
    <m/>
    <m/>
    <m/>
    <m/>
    <m/>
    <m/>
    <m/>
    <m/>
    <m/>
    <n v="2799.4291781906927"/>
    <n v="5.959444459419385E-2"/>
    <n v="0.25448364690943109"/>
    <n v="334.45120113515134"/>
    <n v="292.9426819979098"/>
    <x v="3"/>
    <n v="19.525354503836514"/>
    <n v="5.3287291164862003"/>
    <n v="0.4"/>
    <n v="1"/>
    <n v="0.5"/>
    <x v="2"/>
    <n v="0.99999999900000003"/>
    <n v="0.36"/>
    <n v="292.9426819979098"/>
    <n v="0.99999999900000003"/>
    <n v="23.042334871210628"/>
    <n v="158.92010980263061"/>
    <n v="67391.987442988757"/>
    <n v="28.481394899668704"/>
    <n v="499437.25462932826"/>
    <x v="2"/>
    <n v="6.7302788296982278E-6"/>
    <n v="1873919.8744298876"/>
    <n v="0.26652006921121674"/>
  </r>
  <r>
    <x v="0"/>
    <n v="1000"/>
    <n v="25"/>
    <x v="0"/>
    <n v="14.417631078329807"/>
    <n v="0.93828624394707716"/>
    <n v="15.276892310513816"/>
    <n v="19.087166951698418"/>
    <m/>
    <n v="0.99999999920828131"/>
    <n v="0.36"/>
    <n v="97.554915582383046"/>
    <n v="35.983370501698666"/>
    <n v="4.4744768235432471"/>
    <m/>
    <m/>
    <m/>
    <m/>
    <m/>
    <m/>
    <m/>
    <m/>
    <m/>
    <m/>
    <m/>
    <n v="0.23442330833414218"/>
    <m/>
    <m/>
    <m/>
    <m/>
    <m/>
    <m/>
    <m/>
    <m/>
    <m/>
    <m/>
    <m/>
    <n v="2545.6478132721745"/>
    <n v="6.1418659297698443E-2"/>
    <n v="0.25877754772968847"/>
    <n v="344.28561826627231"/>
    <n v="308.40940150055098"/>
    <x v="3"/>
    <n v="19.525354503836514"/>
    <n v="5.3287291164862003"/>
    <n v="0.4"/>
    <n v="1"/>
    <n v="0.5"/>
    <x v="3"/>
    <n v="0.99999999900000003"/>
    <n v="0.36"/>
    <n v="308.40940150055098"/>
    <n v="0.99999999900000003"/>
    <n v="20.19357400912115"/>
    <n v="131.86730275774835"/>
    <n v="53896.508810157968"/>
    <n v="24.179941326440304"/>
    <n v="569843.39229856734"/>
    <x v="2"/>
    <n v="5.9294404806894745E-6"/>
    <n v="1738965.0881015798"/>
    <n v="0.32769110558778541"/>
  </r>
  <r>
    <x v="0"/>
    <n v="1000"/>
    <n v="25"/>
    <x v="0"/>
    <n v="13.167927708084038"/>
    <n v="0.87582628457185274"/>
    <n v="13.955857298011185"/>
    <n v="17.507956467631494"/>
    <m/>
    <n v="0.99999999921314675"/>
    <n v="0.36"/>
    <n v="89.536494191792954"/>
    <n v="33.025756054349856"/>
    <n v="4.1650205406533143"/>
    <m/>
    <m/>
    <m/>
    <m/>
    <m/>
    <m/>
    <m/>
    <m/>
    <m/>
    <m/>
    <m/>
    <n v="0.23789301443338379"/>
    <m/>
    <m/>
    <m/>
    <m/>
    <m/>
    <m/>
    <m/>
    <m/>
    <m/>
    <m/>
    <m/>
    <n v="2399.2775406029577"/>
    <n v="6.2756895966302587E-2"/>
    <n v="0.26092627664633639"/>
    <n v="349.53391480026346"/>
    <n v="316.76727027630136"/>
    <x v="3"/>
    <n v="19.525354503836514"/>
    <n v="5.3287291164862003"/>
    <n v="0.4"/>
    <n v="1"/>
    <n v="0.5"/>
    <x v="4"/>
    <n v="0.99999999900000003"/>
    <n v="0.36"/>
    <n v="316.76727027630136"/>
    <n v="0.99999999900000003"/>
    <n v="18.623425880948375"/>
    <n v="118.09026923293945"/>
    <n v="47231.981634755568"/>
    <n v="21.916309823548627"/>
    <n v="598257.99502718006"/>
    <x v="2"/>
    <n v="5.4764144259537395E-6"/>
    <n v="1672319.8163475557"/>
    <n v="0.35774137768325348"/>
  </r>
  <r>
    <x v="0"/>
    <n v="1000"/>
    <n v="25"/>
    <x v="0"/>
    <n v="11.625338437039508"/>
    <n v="0.80932185341775797"/>
    <n v="12.332755030631454"/>
    <n v="15.495399581283531"/>
    <m/>
    <n v="0.99999999922198135"/>
    <n v="0.36"/>
    <n v="79.302559735091506"/>
    <n v="29.250944164582936"/>
    <n v="3.7186833152701695"/>
    <m/>
    <m/>
    <m/>
    <m/>
    <m/>
    <m/>
    <m/>
    <m/>
    <m/>
    <m/>
    <m/>
    <n v="0.23998628081600848"/>
    <m/>
    <m/>
    <m/>
    <m/>
    <m/>
    <m/>
    <m/>
    <m/>
    <m/>
    <m/>
    <m/>
    <n v="2185.8366275382432"/>
    <n v="6.5623767877299649E-2"/>
    <n v="0.2607923786935048"/>
    <n v="355.42301314448247"/>
    <n v="326.49496990315862"/>
    <x v="3"/>
    <n v="19.525354503836514"/>
    <n v="5.3287291164862003"/>
    <n v="0.4"/>
    <n v="1"/>
    <n v="0.5"/>
    <x v="5"/>
    <n v="0.99999999900000003"/>
    <n v="0.36"/>
    <n v="326.49496990315862"/>
    <n v="0.99999999900000003"/>
    <n v="16.743030562723799"/>
    <n v="101.60656634727395"/>
    <n v="39681.007350366854"/>
    <n v="19.495700405952824"/>
    <n v="626641.53155454528"/>
    <x v="2"/>
    <n v="4.8969878078445251E-6"/>
    <n v="1596810.0735036684"/>
    <n v="0.39243335319120887"/>
  </r>
  <r>
    <x v="0"/>
    <n v="1000"/>
    <n v="25"/>
    <x v="0"/>
    <n v="9.6184790378712179"/>
    <n v="0.72543675517286466"/>
    <n v="10.226165842990399"/>
    <n v="12.846153482613701"/>
    <m/>
    <n v="0.99999999923681071"/>
    <n v="0.36"/>
    <n v="65.804769244715743"/>
    <n v="24.272250950919744"/>
    <n v="3.1051902348126994"/>
    <m/>
    <m/>
    <m/>
    <m/>
    <m/>
    <m/>
    <m/>
    <m/>
    <m/>
    <m/>
    <m/>
    <n v="0.24172140236494449"/>
    <m/>
    <m/>
    <m/>
    <m/>
    <m/>
    <m/>
    <m/>
    <m/>
    <m/>
    <m/>
    <m/>
    <n v="1891.4411990888377"/>
    <n v="7.0939271503221379E-2"/>
    <n v="0.25842648107612604"/>
    <n v="362.78059818862818"/>
    <n v="338.84608168248946"/>
    <x v="3"/>
    <n v="19.525354503836514"/>
    <n v="5.3287291164862003"/>
    <n v="0.4"/>
    <n v="1"/>
    <n v="0.5"/>
    <x v="6"/>
    <n v="0.99999999900000003"/>
    <n v="0.36"/>
    <n v="338.84608168248946"/>
    <n v="0.99999999900000003"/>
    <n v="14.3063129291802"/>
    <n v="81.443730903550914"/>
    <n v="30869.740997697063"/>
    <n v="16.543640109548825"/>
    <n v="650789.63284014736"/>
    <x v="2"/>
    <n v="4.1134212081499995E-6"/>
    <n v="1508697.4099769706"/>
    <n v="0.43135862004965014"/>
  </r>
  <r>
    <x v="0"/>
    <n v="1000"/>
    <n v="25"/>
    <x v="0"/>
    <n v="8.3338804414056629"/>
    <n v="0.66767042068759097"/>
    <n v="8.8776565054578001"/>
    <n v="11.155839124157474"/>
    <m/>
    <n v="0.9999999992477846"/>
    <n v="0.36"/>
    <n v="57.177774005436142"/>
    <n v="21.090162542988743"/>
    <n v="2.7169882593095611"/>
    <m/>
    <m/>
    <m/>
    <m/>
    <m/>
    <m/>
    <m/>
    <m/>
    <m/>
    <m/>
    <m/>
    <n v="0.24354853355907974"/>
    <m/>
    <m/>
    <m/>
    <m/>
    <m/>
    <m/>
    <m/>
    <m/>
    <m/>
    <m/>
    <m/>
    <n v="1705.2865976681292"/>
    <n v="7.5207958347692436E-2"/>
    <n v="0.25666511229664757"/>
    <n v="367.53013930551822"/>
    <n v="346.79246801335017"/>
    <x v="3"/>
    <n v="19.525354503836514"/>
    <n v="5.3287291164862003"/>
    <n v="0.4"/>
    <n v="1"/>
    <n v="0.5"/>
    <x v="7"/>
    <n v="0.99999999899999992"/>
    <n v="0.36"/>
    <n v="346.79246801335017"/>
    <n v="0.99999999899999992"/>
    <n v="12.71651581430763"/>
    <n v="69.347071919687806"/>
    <n v="25759.708322466366"/>
    <n v="14.629269563648759"/>
    <n v="657519.47477718326"/>
    <x v="2"/>
    <n v="3.5950806963688701E-6"/>
    <n v="1457597.0832246637"/>
    <n v="0.45109823719085879"/>
  </r>
  <r>
    <x v="0"/>
    <n v="1000"/>
    <n v="25"/>
    <x v="0"/>
    <n v="6.7333246005449077"/>
    <n v="0.58958360726854531"/>
    <n v="7.1961662156864259"/>
    <n v="9.0544291383500468"/>
    <m/>
    <n v="0.99999999926332095"/>
    <n v="0.36"/>
    <n v="46.437705000786991"/>
    <n v="17.128661680618155"/>
    <n v="2.2370796349113444"/>
    <m/>
    <m/>
    <m/>
    <m/>
    <m/>
    <m/>
    <m/>
    <m/>
    <m/>
    <m/>
    <m/>
    <n v="0.24707020185692222"/>
    <m/>
    <m/>
    <m/>
    <m/>
    <m/>
    <m/>
    <m/>
    <m/>
    <m/>
    <m/>
    <m/>
    <n v="1475.293450983256"/>
    <n v="8.1930237517770607E-2"/>
    <n v="0.25416976127951824"/>
    <n v="373.50855362711673"/>
    <n v="356.75363352758393"/>
    <x v="3"/>
    <n v="19.525354503836514"/>
    <n v="5.3287291164862003"/>
    <n v="0.4"/>
    <n v="1"/>
    <n v="0.5"/>
    <x v="8"/>
    <n v="0.99999999900000003"/>
    <n v="0.36"/>
    <n v="356.75363352758393"/>
    <n v="0.99999999900000003"/>
    <n v="10.688121782551192"/>
    <n v="55.016154624592311"/>
    <n v="19909.363531538118"/>
    <n v="12.203769978305807"/>
    <n v="654396.05741000699"/>
    <x v="2"/>
    <n v="2.9302517838413979E-6"/>
    <n v="1399093.6353153812"/>
    <n v="0.46772856433050258"/>
  </r>
  <r>
    <x v="0"/>
    <n v="1000"/>
    <n v="25"/>
    <x v="0"/>
    <n v="4.5566884354698143"/>
    <n v="0.46714550442633451"/>
    <n v="4.9037939874102916"/>
    <n v="6.1996153121685893"/>
    <m/>
    <n v="0.99999999928784844"/>
    <n v="0.36"/>
    <n v="31.822689429463793"/>
    <n v="11.73787724857271"/>
    <n v="1.5861604789007444"/>
    <m/>
    <m/>
    <m/>
    <m/>
    <m/>
    <m/>
    <m/>
    <m/>
    <m/>
    <m/>
    <m/>
    <n v="0.25584820977318262"/>
    <m/>
    <m/>
    <m/>
    <m/>
    <m/>
    <m/>
    <m/>
    <m/>
    <m/>
    <m/>
    <m/>
    <n v="1163.532509619231"/>
    <n v="9.5262057424446461E-2"/>
    <n v="0.2502430733128666"/>
    <n v="381.79095079377959"/>
    <n v="370.45227016885912"/>
    <x v="3"/>
    <n v="19.525354503836514"/>
    <n v="5.3287291164862003"/>
    <n v="0.4"/>
    <n v="1"/>
    <n v="0.5"/>
    <x v="9"/>
    <n v="0.99999999900000003"/>
    <n v="0.36"/>
    <n v="370.45227016885912"/>
    <n v="0.99999999900000003"/>
    <n v="7.7977618612916144"/>
    <n v="36.619567492025148"/>
    <n v="12776.975198039803"/>
    <n v="8.7935523988990987"/>
    <n v="623411.64999697485"/>
    <x v="2"/>
    <n v="1.9862462375264213E-6"/>
    <n v="1327769.7519803981"/>
    <n v="0.46951788822357382"/>
  </r>
  <r>
    <x v="0"/>
    <n v="1000"/>
    <n v="25"/>
    <x v="0"/>
    <n v="19.899979648606173"/>
    <n v="1.2241651464750989"/>
    <n v="21.108958845918036"/>
    <n v="25.927283391163986"/>
    <m/>
    <n v="0.99999999919405835"/>
    <n v="0.36"/>
    <n v="132.13904328622007"/>
    <n v="48.739811048195932"/>
    <n v="5.7288554371120171"/>
    <m/>
    <m/>
    <m/>
    <m/>
    <m/>
    <m/>
    <m/>
    <m/>
    <m/>
    <m/>
    <m/>
    <n v="0.22095856903636923"/>
    <m/>
    <m/>
    <m/>
    <m/>
    <m/>
    <m/>
    <m/>
    <m/>
    <m/>
    <m/>
    <m/>
    <n v="3134.4090218062679"/>
    <n v="5.7992682415590711E-2"/>
    <n v="0.24720334921907683"/>
    <n v="319.49955487467776"/>
    <n v="269.98130325026239"/>
    <x v="3"/>
    <n v="19.525354503836514"/>
    <n v="5.3287291164862003"/>
    <n v="0.4"/>
    <n v="1"/>
    <n v="0.5"/>
    <x v="0"/>
    <n v="0.99999999900000003"/>
    <n v="0.36"/>
    <n v="269.98130325026239"/>
    <n v="0.99999999900000003"/>
    <n v="27.12546757674351"/>
    <n v="203.54964467148702"/>
    <n v="90551.779083117668"/>
    <n v="35.209004958237308"/>
    <n v="336700.73615016323"/>
    <x v="3"/>
    <n v="7.8839828296633069E-6"/>
    <n v="2105517.7908311766"/>
    <n v="0.15991350802941773"/>
  </r>
  <r>
    <x v="1"/>
    <n v="1000"/>
    <n v="25"/>
    <x v="0"/>
    <n v="19.898307850745905"/>
    <n v="1.2276354084247367"/>
    <n v="21.109233290696771"/>
    <n v="25.927891012635964"/>
    <m/>
    <n v="0.99999999919420213"/>
    <n v="0.36"/>
    <n v="132.17153853408769"/>
    <n v="48.751797000278245"/>
    <n v="5.7310293004421808"/>
    <m/>
    <m/>
    <m/>
    <m/>
    <m/>
    <m/>
    <m/>
    <m/>
    <m/>
    <m/>
    <m/>
    <n v="0.22103723352004073"/>
    <m/>
    <m/>
    <m/>
    <m/>
    <m/>
    <m/>
    <m/>
    <m/>
    <m/>
    <m/>
    <m/>
    <n v="3125.4667818899907"/>
    <n v="5.815632389480381E-2"/>
    <n v="0.21978892489885582"/>
    <n v="309.46628516471947"/>
    <n v="259.95213166890011"/>
    <x v="3"/>
    <n v="19.525354503836514"/>
    <n v="5.3287291164862003"/>
    <n v="0.4"/>
    <n v="1"/>
    <n v="0.5"/>
    <x v="0"/>
    <n v="0.99999999900000003"/>
    <n v="0.36"/>
    <n v="259.95213166890011"/>
    <n v="0.99999999900000003"/>
    <n v="27.142893928329755"/>
    <n v="203.62947973508312"/>
    <n v="90589.316129594954"/>
    <n v="35.213614560315555"/>
    <n v="336763.380119732"/>
    <x v="3"/>
    <n v="7.8818368329624931E-6"/>
    <n v="2105893.1612959495"/>
    <n v="0.15991475080933856"/>
  </r>
  <r>
    <x v="2"/>
    <n v="1000"/>
    <n v="25"/>
    <x v="0"/>
    <n v="19.896220194316324"/>
    <n v="1.2322166356732833"/>
    <n v="21.109722114396224"/>
    <n v="25.928312557448557"/>
    <m/>
    <n v="0.99999999919435556"/>
    <n v="0.36"/>
    <n v="132.21526356253835"/>
    <n v="48.767925084542831"/>
    <n v="5.7333955682079498"/>
    <m/>
    <m/>
    <m/>
    <m/>
    <m/>
    <m/>
    <m/>
    <m/>
    <m/>
    <m/>
    <m/>
    <n v="0.22112490180395053"/>
    <m/>
    <m/>
    <m/>
    <m/>
    <m/>
    <m/>
    <m/>
    <m/>
    <m/>
    <m/>
    <m/>
    <n v="3113.7671624780232"/>
    <n v="5.8371996987726667E-2"/>
    <n v="0.19237991830142537"/>
    <n v="296.5784975376564"/>
    <n v="247.06937837404936"/>
    <x v="3"/>
    <n v="19.525354503836514"/>
    <n v="5.3287291164862003"/>
    <n v="0.4"/>
    <n v="1"/>
    <n v="0.5"/>
    <x v="0"/>
    <n v="0.99999999900000003"/>
    <n v="0.36"/>
    <n v="247.06937837404936"/>
    <n v="0.99999999900000003"/>
    <n v="27.166018905277358"/>
    <n v="203.73695139015513"/>
    <n v="90640.294392608601"/>
    <n v="35.220489507148351"/>
    <n v="336852.08997069631"/>
    <x v="3"/>
    <n v="7.8789857294790679E-6"/>
    <n v="2106402.9439260857"/>
    <n v="0.15991816330395167"/>
  </r>
  <r>
    <x v="3"/>
    <n v="1000"/>
    <n v="25"/>
    <x v="0"/>
    <n v="19.893353629481851"/>
    <n v="1.2385613627694003"/>
    <n v="21.110429350405582"/>
    <n v="25.927841599902742"/>
    <m/>
    <n v="0.99999999919449289"/>
    <n v="0.36"/>
    <n v="132.27615043545651"/>
    <n v="48.790383357340524"/>
    <n v="5.7355904565400841"/>
    <m/>
    <m/>
    <m/>
    <m/>
    <m/>
    <m/>
    <m/>
    <m/>
    <m/>
    <m/>
    <m/>
    <n v="0.22121357207618852"/>
    <m/>
    <m/>
    <m/>
    <m/>
    <m/>
    <m/>
    <m/>
    <m/>
    <m/>
    <m/>
    <m/>
    <n v="3097.7133810584291"/>
    <n v="5.8670590835027459E-2"/>
    <n v="0.16498043218918801"/>
    <n v="279.41992049899864"/>
    <n v="229.91815278838723"/>
    <x v="3"/>
    <n v="19.525354503836514"/>
    <n v="5.3287291164862003"/>
    <n v="0.4"/>
    <n v="1"/>
    <n v="0.5"/>
    <x v="0"/>
    <n v="0.99999999900000003"/>
    <n v="0.36"/>
    <n v="229.91815278838723"/>
    <n v="0.99999999900000003"/>
    <n v="27.198075654637545"/>
    <n v="203.88669505047125"/>
    <n v="90712.160242969621"/>
    <n v="35.231320765139834"/>
    <n v="336978.56744426046"/>
    <x v="3"/>
    <n v="7.8749951282448163E-6"/>
    <n v="2107121.6024296964"/>
    <n v="0.15992364515445837"/>
  </r>
  <r>
    <x v="4"/>
    <n v="1000"/>
    <n v="25"/>
    <x v="0"/>
    <n v="19.88959435190613"/>
    <n v="1.2480311241799564"/>
    <n v="21.11203705865131"/>
    <n v="25.925239164762846"/>
    <m/>
    <n v="0.99999999919451554"/>
    <n v="0.36"/>
    <n v="132.3707620256009"/>
    <n v="48.825281075016726"/>
    <n v="5.7364312459657505"/>
    <m/>
    <m/>
    <m/>
    <m/>
    <m/>
    <m/>
    <m/>
    <m/>
    <m/>
    <m/>
    <m/>
    <n v="0.22126820931174329"/>
    <m/>
    <m/>
    <m/>
    <m/>
    <m/>
    <m/>
    <m/>
    <m/>
    <m/>
    <m/>
    <m/>
    <n v="3074.1776974356021"/>
    <n v="5.9114670967695043E-2"/>
    <n v="0.13760092132548399"/>
    <n v="255.45449724963046"/>
    <n v="205.96207445272896"/>
    <x v="3"/>
    <n v="19.525354503836514"/>
    <n v="5.3287291164862003"/>
    <n v="0.4"/>
    <n v="1"/>
    <n v="0.5"/>
    <x v="0"/>
    <n v="0.99999999900000003"/>
    <n v="0.36"/>
    <n v="205.96207445272896"/>
    <n v="0.99999999900000003"/>
    <n v="27.246443469177525"/>
    <n v="204.11958851388385"/>
    <n v="90826.003559032484"/>
    <n v="35.25126934819707"/>
    <n v="337194.47713479481"/>
    <x v="3"/>
    <n v="7.8689445772002466E-6"/>
    <n v="2108260.0355903246"/>
    <n v="0.15993969977255604"/>
  </r>
  <r>
    <x v="5"/>
    <n v="1000"/>
    <n v="25"/>
    <x v="0"/>
    <n v="19.884545089087055"/>
    <n v="1.2640846519865372"/>
    <n v="21.116180663350985"/>
    <n v="25.914722114782059"/>
    <m/>
    <n v="0.99999999919398042"/>
    <n v="0.36"/>
    <n v="132.54174853253971"/>
    <n v="48.888349868559736"/>
    <n v="5.730380406271788"/>
    <m/>
    <m/>
    <m/>
    <m/>
    <m/>
    <m/>
    <m/>
    <m/>
    <m/>
    <m/>
    <m/>
    <n v="0.22112451682447765"/>
    <m/>
    <m/>
    <m/>
    <m/>
    <m/>
    <m/>
    <m/>
    <m/>
    <m/>
    <m/>
    <m/>
    <n v="3035.3926240911628"/>
    <n v="5.9863318662568034E-2"/>
    <n v="0.11027503232213583"/>
    <n v="219.6822556260945"/>
    <n v="170.20242095527172"/>
    <x v="3"/>
    <n v="19.525354503836514"/>
    <n v="5.3287291164862003"/>
    <n v="0.4"/>
    <n v="1"/>
    <n v="0.5"/>
    <x v="0"/>
    <n v="0.99999999900000003"/>
    <n v="0.36"/>
    <n v="170.20242095527172"/>
    <n v="0.99999999900000003"/>
    <n v="27.329777409340011"/>
    <n v="204.54112844862763"/>
    <n v="91037.941862294538"/>
    <n v="35.296170859637535"/>
    <n v="337635.13255925436"/>
    <x v="3"/>
    <n v="7.8583597910802771E-6"/>
    <n v="2110379.4186229454"/>
    <n v="0.15998788160072486"/>
  </r>
  <r>
    <x v="6"/>
    <n v="1000"/>
    <n v="25"/>
    <x v="0"/>
    <n v="19.882378448071414"/>
    <n v="1.3011941802087499"/>
    <n v="21.135947462017484"/>
    <n v="25.863830429308383"/>
    <m/>
    <n v="0.99999999918951299"/>
    <n v="0.36"/>
    <n v="133.02228433123076"/>
    <n v="49.065596679552343"/>
    <n v="5.6799660226939004"/>
    <m/>
    <m/>
    <m/>
    <m/>
    <m/>
    <m/>
    <m/>
    <m/>
    <m/>
    <m/>
    <m/>
    <n v="0.21961039522813586"/>
    <m/>
    <m/>
    <m/>
    <m/>
    <m/>
    <m/>
    <m/>
    <m/>
    <m/>
    <m/>
    <m/>
    <n v="2951.5495627106739"/>
    <n v="6.1563087367957875E-2"/>
    <n v="8.320414392491142E-2"/>
    <n v="161.04100697178609"/>
    <n v="111.56655136372366"/>
    <x v="3"/>
    <n v="19.525354503836514"/>
    <n v="5.3287291164862003"/>
    <n v="0.4"/>
    <n v="1"/>
    <n v="0.5"/>
    <x v="0"/>
    <n v="0.99999999900000003"/>
    <n v="0.36"/>
    <n v="111.56655136372366"/>
    <n v="0.99999999900000003"/>
    <n v="27.531986891874453"/>
    <n v="205.73027808154521"/>
    <n v="91659.868263189157"/>
    <n v="35.458491455131337"/>
    <n v="339180.87822702539"/>
    <x v="3"/>
    <n v="7.8317038029804152E-6"/>
    <n v="2116598.6826318917"/>
    <n v="0.16024808151409686"/>
  </r>
  <r>
    <x v="7"/>
    <n v="1000"/>
    <n v="25"/>
    <x v="0"/>
    <n v="20.842711582839097"/>
    <n v="1.7355731769499583"/>
    <n v="22.445588269139716"/>
    <n v="25.984328869115476"/>
    <m/>
    <n v="0.9999999990346603"/>
    <n v="0.36"/>
    <n v="150.70696265137423"/>
    <n v="55.58863376485116"/>
    <n v="4.7740722384357177"/>
    <m/>
    <m/>
    <m/>
    <m/>
    <m/>
    <m/>
    <m/>
    <m/>
    <m/>
    <m/>
    <m/>
    <n v="0.18372890300469133"/>
    <m/>
    <m/>
    <m/>
    <m/>
    <m/>
    <m/>
    <m/>
    <m/>
    <m/>
    <m/>
    <m/>
    <n v="2410.3637675276291"/>
    <n v="7.7323577183146752E-2"/>
    <n v="6.4169280653971955E-2"/>
    <n v="75.191752651368176"/>
    <n v="23.327648309768833"/>
    <x v="3"/>
    <n v="19.525354503836514"/>
    <n v="5.3287291164862003"/>
    <n v="0.4"/>
    <n v="1"/>
    <n v="0.5"/>
    <x v="0"/>
    <n v="0.99999999900000003"/>
    <n v="0.36"/>
    <n v="23.327648309768833"/>
    <n v="0.99999999900000003"/>
    <n v="30.889768592024044"/>
    <n v="254.8436996322049"/>
    <n v="115821.22942254007"/>
    <n v="39.192339498051467"/>
    <n v="427298.45884407882"/>
    <x v="3"/>
    <n v="7.2109588744652106E-6"/>
    <n v="2358212.2942254008"/>
    <n v="0.18119592535854923"/>
  </r>
  <r>
    <x v="8"/>
    <n v="1000"/>
    <n v="25"/>
    <x v="0"/>
    <n v="14.15753932225782"/>
    <n v="1.0871281413063145"/>
    <n v="15.099502641193283"/>
    <n v="18.560222786932847"/>
    <m/>
    <n v="0.99999999916058002"/>
    <n v="0.36"/>
    <n v="99.173017444089382"/>
    <n v="36.580211352328057"/>
    <n v="4.2034838419149612"/>
    <m/>
    <m/>
    <m/>
    <m/>
    <m/>
    <m/>
    <m/>
    <m/>
    <m/>
    <m/>
    <m/>
    <n v="0.22647809189415469"/>
    <m/>
    <m/>
    <m/>
    <m/>
    <m/>
    <m/>
    <m/>
    <m/>
    <m/>
    <m/>
    <m/>
    <n v="2155.4236749884317"/>
    <n v="7.1997612579668455E-2"/>
    <n v="4.5509577394889825E-2"/>
    <n v="88.910771475378681"/>
    <n v="53.681754030951595"/>
    <x v="3"/>
    <n v="19.525354503836514"/>
    <n v="5.3287291164862003"/>
    <n v="0.4"/>
    <n v="1"/>
    <n v="0.5"/>
    <x v="0"/>
    <n v="0.99999999900000003"/>
    <n v="0.36"/>
    <n v="53.681754030951595"/>
    <n v="0.99999999900000003"/>
    <n v="20.815105573078423"/>
    <n v="134.750645679408"/>
    <n v="55287.46010682873"/>
    <n v="24.609053633513469"/>
    <n v="644144.20202489558"/>
    <x v="3"/>
    <n v="5.5809052965144886E-6"/>
    <n v="1752874.6010682872"/>
    <n v="0.36747876980607896"/>
  </r>
  <r>
    <x v="9"/>
    <n v="1000"/>
    <n v="25"/>
    <x v="0"/>
    <n v="4.4311273963463647"/>
    <n v="0.4988244709650404"/>
    <n v="4.7925606153791449"/>
    <n v="6.0751591451607965"/>
    <m/>
    <n v="0.99999999929884753"/>
    <n v="0.36"/>
    <n v="31.271745457105485"/>
    <n v="11.53466020958809"/>
    <n v="1.5880212586876086"/>
    <m/>
    <m/>
    <m/>
    <m/>
    <m/>
    <m/>
    <m/>
    <m/>
    <m/>
    <m/>
    <m/>
    <n v="0.2613958286101124"/>
    <m/>
    <m/>
    <m/>
    <m/>
    <m/>
    <m/>
    <m/>
    <m/>
    <m/>
    <m/>
    <m/>
    <n v="1059.3997697587524"/>
    <n v="0.10408308021485041"/>
    <n v="3.5855004386574123E-2"/>
    <n v="276.41537151768983"/>
    <n v="265.3891404149486"/>
    <x v="3"/>
    <n v="19.525354503836514"/>
    <n v="5.3287291164862003"/>
    <n v="0.4"/>
    <n v="1"/>
    <n v="0.5"/>
    <x v="0"/>
    <n v="0.99999999900000003"/>
    <n v="0.36"/>
    <n v="265.3891404149486"/>
    <n v="0.99999999900000003"/>
    <n v="7.8913122827978279"/>
    <n v="35.948159918953465"/>
    <n v="12614.403256029467"/>
    <n v="8.8602335011504909"/>
    <n v="897207.09517235169"/>
    <x v="3"/>
    <n v="1.6046770489303872E-6"/>
    <n v="1326144.0325602947"/>
    <n v="0.67655328014422078"/>
  </r>
  <r>
    <x v="0"/>
    <n v="100"/>
    <n v="25"/>
    <x v="0"/>
    <n v="3.2082586643919182"/>
    <n v="0.73436651774770823"/>
    <n v="3.7922848993419103"/>
    <n v="1.871566405235094"/>
    <m/>
    <n v="0.33047401233759771"/>
    <n v="0.18"/>
    <n v="18.830330449885111"/>
    <n v="9.3760981493203879"/>
    <n v="0.73609256756556762"/>
    <m/>
    <m/>
    <m/>
    <m/>
    <m/>
    <m/>
    <m/>
    <m/>
    <m/>
    <m/>
    <m/>
    <n v="0.39330293892142421"/>
    <m/>
    <m/>
    <m/>
    <m/>
    <m/>
    <m/>
    <m/>
    <m/>
    <m/>
    <m/>
    <m/>
    <n v="743.99975964337125"/>
    <n v="0.19364750730493527"/>
    <n v="0.19973098781311019"/>
    <n v="383.9371011002363"/>
    <n v="375.95347586058705"/>
    <x v="4"/>
    <n v="9.762677251918257"/>
    <n v="2.6643645582431001"/>
    <n v="0.2"/>
    <n v="1"/>
    <n v="0.3"/>
    <x v="0"/>
    <n v="0.2235655660545357"/>
    <n v="0.18"/>
    <n v="375.95347586058705"/>
    <n v="0.2235655660545357"/>
    <n v="8.8503633153560948"/>
    <n v="70.156440086234795"/>
    <n v="25494.883604683313"/>
    <n v="16.580750344220331"/>
    <n v="18055.200383162286"/>
    <x v="0"/>
    <n v="1.9723178111366849E-6"/>
    <n v="1454948.8360468331"/>
    <n v="1.2409508799099181E-2"/>
  </r>
  <r>
    <x v="0"/>
    <n v="200"/>
    <n v="25"/>
    <x v="0"/>
    <n v="5.9536750944228718"/>
    <n v="1.305340602296277"/>
    <n v="6.9258397729131636"/>
    <n v="3.4589975402565472"/>
    <m/>
    <n v="0.33087300611169285"/>
    <n v="0.18"/>
    <n v="34.870981353781346"/>
    <n v="17.363144242546728"/>
    <n v="1.1448574362455282"/>
    <m/>
    <m/>
    <m/>
    <m/>
    <m/>
    <m/>
    <m/>
    <m/>
    <m/>
    <m/>
    <m/>
    <n v="0.330979546218647"/>
    <m/>
    <m/>
    <m/>
    <m/>
    <m/>
    <m/>
    <m/>
    <m/>
    <m/>
    <m/>
    <m/>
    <n v="931.01923307775189"/>
    <n v="0.18847398223121489"/>
    <n v="0.22386783381519174"/>
    <n v="373.40540178122342"/>
    <n v="358.59051495498778"/>
    <x v="4"/>
    <n v="9.762677251918257"/>
    <n v="2.6643645582431001"/>
    <n v="0.2"/>
    <n v="1"/>
    <n v="0.3"/>
    <x v="0"/>
    <n v="0.23564223151758157"/>
    <n v="0.18"/>
    <n v="358.59051495498778"/>
    <n v="0.23564223151758157"/>
    <n v="15.843725957267278"/>
    <n v="102.12618177781232"/>
    <n v="40891.443168306818"/>
    <n v="25.671569159048985"/>
    <n v="50386.953294219362"/>
    <x v="0"/>
    <n v="3.3738903351585766E-6"/>
    <n v="1608914.4316830682"/>
    <n v="3.1317360514636017E-2"/>
  </r>
  <r>
    <x v="0"/>
    <n v="300"/>
    <n v="25"/>
    <x v="0"/>
    <n v="8.3189037940657915"/>
    <n v="1.8037659971389113"/>
    <n v="9.6158089374455216"/>
    <n v="4.8565027390542799"/>
    <m/>
    <n v="0.33234314954734145"/>
    <n v="0.18"/>
    <n v="49.032462773553718"/>
    <n v="24.414504285586919"/>
    <n v="1.4419868082468055"/>
    <m/>
    <m/>
    <m/>
    <m/>
    <m/>
    <m/>
    <m/>
    <m/>
    <m/>
    <m/>
    <m/>
    <n v="0.29691876762487063"/>
    <m/>
    <m/>
    <m/>
    <m/>
    <m/>
    <m/>
    <m/>
    <m/>
    <m/>
    <m/>
    <m/>
    <n v="1065.2230023864927"/>
    <n v="0.18758338574248845"/>
    <n v="0.23720852885585386"/>
    <n v="364.92999710343048"/>
    <n v="344.22959826308926"/>
    <x v="4"/>
    <n v="9.762677251918257"/>
    <n v="2.6643645582431001"/>
    <n v="0.2"/>
    <n v="1"/>
    <n v="0.3"/>
    <x v="0"/>
    <n v="0.24346358817014893"/>
    <n v="0.18"/>
    <n v="344.22959826308926"/>
    <n v="0.24346358817014893"/>
    <n v="21.859436233474472"/>
    <n v="125.09593979515407"/>
    <n v="53274.559682589759"/>
    <n v="32.912918128955567"/>
    <n v="87457.967438347347"/>
    <x v="0"/>
    <n v="4.347892465683656E-6"/>
    <n v="1732745.5968258977"/>
    <n v="5.0473634212983037E-2"/>
  </r>
  <r>
    <x v="0"/>
    <n v="400"/>
    <n v="25"/>
    <x v="0"/>
    <n v="10.383658189908195"/>
    <n v="2.2518033706708729"/>
    <n v="11.965564494790476"/>
    <n v="6.1051631826393491"/>
    <m/>
    <n v="0.33395916036055084"/>
    <n v="0.18"/>
    <n v="61.714123392221133"/>
    <n v="30.729024095711772"/>
    <n v="1.6766165172555398"/>
    <m/>
    <m/>
    <m/>
    <m/>
    <m/>
    <m/>
    <m/>
    <m/>
    <m/>
    <m/>
    <m/>
    <n v="0.27462271967163288"/>
    <m/>
    <m/>
    <m/>
    <m/>
    <m/>
    <m/>
    <m/>
    <m/>
    <m/>
    <m/>
    <m/>
    <n v="1170.2763362625371"/>
    <n v="0.18819031660823482"/>
    <n v="0.24609513589838089"/>
    <n v="357.80632497264844"/>
    <n v="331.96807763476767"/>
    <x v="4"/>
    <n v="9.762677251918257"/>
    <n v="2.6643645582431001"/>
    <n v="0.2"/>
    <n v="1"/>
    <n v="0.3"/>
    <x v="0"/>
    <n v="0.24909284213847901"/>
    <n v="0.18"/>
    <n v="331.96807763476767"/>
    <n v="0.24909284213847901"/>
    <n v="27.16924403021703"/>
    <n v="143.34691782971467"/>
    <n v="63817.16884790059"/>
    <n v="39.054929989023243"/>
    <n v="126325.94093139852"/>
    <x v="0"/>
    <n v="5.0556470059161717E-6"/>
    <n v="1838171.6884790058"/>
    <n v="6.8723689807194704E-2"/>
  </r>
  <r>
    <x v="0"/>
    <n v="600"/>
    <n v="25"/>
    <x v="0"/>
    <n v="13.802475953367356"/>
    <n v="3.0295587144570235"/>
    <n v="15.867627995101259"/>
    <n v="8.2416795094425428"/>
    <m/>
    <n v="0.33727915406237818"/>
    <n v="0.18"/>
    <n v="83.474028483955138"/>
    <n v="41.563831610268124"/>
    <n v="2.0293860887149613"/>
    <m/>
    <m/>
    <m/>
    <m/>
    <m/>
    <m/>
    <m/>
    <m/>
    <m/>
    <m/>
    <m/>
    <n v="0.2462345310066815"/>
    <m/>
    <m/>
    <m/>
    <m/>
    <m/>
    <m/>
    <m/>
    <m/>
    <m/>
    <m/>
    <m/>
    <n v="1326.7907931720208"/>
    <n v="0.19092700656911829"/>
    <n v="0.25771673319161059"/>
    <n v="346.44322942311504"/>
    <n v="312.09774881453995"/>
    <x v="4"/>
    <n v="9.762677251918257"/>
    <n v="2.6643645582431001"/>
    <n v="0.2"/>
    <n v="1"/>
    <n v="0.3"/>
    <x v="0"/>
    <n v="0.25708306246761281"/>
    <n v="0.18"/>
    <n v="312.09774881453995"/>
    <n v="0.25708306246761281"/>
    <n v="36.152132708533607"/>
    <n v="171.10140281291055"/>
    <n v="80937.774616203358"/>
    <n v="49.047670989245418"/>
    <n v="203861.19802989287"/>
    <x v="0"/>
    <n v="5.9933397492355912E-6"/>
    <n v="2009377.7461620336"/>
    <n v="0.10145488991269726"/>
  </r>
  <r>
    <x v="0"/>
    <n v="800"/>
    <n v="25"/>
    <x v="0"/>
    <n v="16.47346177596383"/>
    <n v="3.6738862491133144"/>
    <n v="18.929775117831014"/>
    <n v="9.9811176035017173"/>
    <m/>
    <n v="0.34069366085349406"/>
    <n v="0.18"/>
    <n v="101.25027356402241"/>
    <n v="50.415073973787102"/>
    <n v="2.2788694092783857"/>
    <m/>
    <m/>
    <m/>
    <m/>
    <m/>
    <m/>
    <m/>
    <m/>
    <m/>
    <m/>
    <m/>
    <n v="0.22831806014177014"/>
    <m/>
    <m/>
    <m/>
    <m/>
    <m/>
    <m/>
    <m/>
    <m/>
    <m/>
    <m/>
    <m/>
    <n v="1436.343081487757"/>
    <n v="0.19407976197523211"/>
    <n v="0.26527420018844433"/>
    <n v="337.90024900928364"/>
    <n v="296.90837684856388"/>
    <x v="4"/>
    <n v="9.762677251918257"/>
    <n v="2.6643645582431001"/>
    <n v="0.2"/>
    <n v="1"/>
    <n v="0.3"/>
    <x v="0"/>
    <n v="0.26290391537660135"/>
    <n v="0.18"/>
    <n v="296.90837684856388"/>
    <n v="0.26290391537660135"/>
    <n v="43.372068585632618"/>
    <n v="190.99714228304245"/>
    <n v="93987.304202282219"/>
    <n v="56.750944641167187"/>
    <n v="276071.05607315316"/>
    <x v="0"/>
    <n v="6.5653173884877364E-6"/>
    <n v="2139873.0420228224"/>
    <n v="0.12901282022422375"/>
  </r>
  <r>
    <x v="0"/>
    <n v="1000"/>
    <n v="25"/>
    <x v="0"/>
    <n v="18.564975390410659"/>
    <n v="4.2035317242072585"/>
    <n v="21.337215930614502"/>
    <n v="11.394262424718013"/>
    <m/>
    <n v="0.34418697129322251"/>
    <n v="0.18"/>
    <n v="115.73755102149451"/>
    <n v="57.628656110287729"/>
    <n v="2.4572396259435241"/>
    <m/>
    <m/>
    <m/>
    <m/>
    <m/>
    <m/>
    <m/>
    <m/>
    <m/>
    <m/>
    <m/>
    <n v="0.21565587436471004"/>
    <m/>
    <m/>
    <m/>
    <m/>
    <m/>
    <m/>
    <m/>
    <m/>
    <m/>
    <m/>
    <m/>
    <n v="1513.830201378533"/>
    <n v="0.19700469535840701"/>
    <n v="0.27065300375401075"/>
    <n v="331.40672694220729"/>
    <n v="285.21038840676994"/>
    <x v="4"/>
    <n v="9.762677251918257"/>
    <n v="2.6643645582431001"/>
    <n v="0.2"/>
    <n v="1"/>
    <n v="0.3"/>
    <x v="0"/>
    <n v="0.26761882884080335"/>
    <n v="0.18"/>
    <n v="285.21038840676994"/>
    <n v="0.26761882884080335"/>
    <n v="49.161240942842738"/>
    <n v="205.47321632665557"/>
    <n v="103911.40354067719"/>
    <n v="62.716654913430204"/>
    <n v="339938.92219327088"/>
    <x v="0"/>
    <n v="6.9368589669630596E-6"/>
    <n v="2239114.035406772"/>
    <n v="0.15181849464469788"/>
  </r>
  <r>
    <x v="0"/>
    <n v="1300"/>
    <n v="25"/>
    <x v="0"/>
    <n v="20.950500987798186"/>
    <n v="4.8392736475788221"/>
    <n v="24.096706076186514"/>
    <n v="13.049898908833882"/>
    <m/>
    <n v="0.34677325441527912"/>
    <n v="0.18"/>
    <n v="132.76845753628183"/>
    <n v="66.108775536737838"/>
    <n v="2.6672666242681906"/>
    <m/>
    <m/>
    <m/>
    <m/>
    <m/>
    <m/>
    <m/>
    <m/>
    <m/>
    <m/>
    <m/>
    <n v="0.20438983036586092"/>
    <m/>
    <m/>
    <m/>
    <m/>
    <m/>
    <m/>
    <m/>
    <m/>
    <m/>
    <m/>
    <m/>
    <n v="1605.5364958446069"/>
    <n v="0.2008271849388252"/>
    <n v="0.27579330926653151"/>
    <n v="324.03549947054279"/>
    <n v="271.90318371051148"/>
    <x v="4"/>
    <n v="9.762677251918257"/>
    <n v="2.6643645582431001"/>
    <n v="0.2"/>
    <n v="1"/>
    <n v="0.3"/>
    <x v="0"/>
    <n v="0.27182150886717904"/>
    <n v="0.18"/>
    <n v="271.90318371051148"/>
    <n v="0.27182150886717904"/>
    <n v="55.962056232977844"/>
    <n v="220.8186880491736"/>
    <n v="115105.63231097723"/>
    <n v="69.808617790392972"/>
    <n v="421583.88322741748"/>
    <x v="0"/>
    <n v="7.2851983300454702E-6"/>
    <n v="2351056.3231097721"/>
    <n v="0.1793167943632176"/>
  </r>
  <r>
    <x v="0"/>
    <n v="1600"/>
    <n v="25"/>
    <x v="0"/>
    <n v="22.505140628968064"/>
    <n v="5.2541859583100941"/>
    <n v="25.889853900144399"/>
    <n v="14.205127505656556"/>
    <m/>
    <n v="0.35051383699669786"/>
    <n v="0.18"/>
    <n v="144.70989970965553"/>
    <n v="72.05472184713139"/>
    <n v="2.7966323617813362"/>
    <m/>
    <m/>
    <m/>
    <m/>
    <m/>
    <m/>
    <m/>
    <m/>
    <m/>
    <m/>
    <m/>
    <n v="0.19687485104710975"/>
    <m/>
    <m/>
    <m/>
    <m/>
    <m/>
    <m/>
    <m/>
    <m/>
    <m/>
    <m/>
    <m/>
    <n v="1662.0851311005349"/>
    <n v="0.20294382419364634"/>
    <n v="0.28050766166598806"/>
    <n v="319.76996102243419"/>
    <n v="263.76895020986598"/>
    <x v="4"/>
    <n v="9.762677251918257"/>
    <n v="2.6643645582431001"/>
    <n v="0.2"/>
    <n v="1"/>
    <n v="0.3"/>
    <x v="0"/>
    <n v="0.276146775753977"/>
    <n v="0.18"/>
    <n v="263.76895020986598"/>
    <n v="0.276146775753977"/>
    <n v="60.351682824781463"/>
    <n v="229.33514060910454"/>
    <n v="121358.20631844086"/>
    <n v="73.712976199410164"/>
    <n v="477672.8732493"/>
    <x v="0"/>
    <n v="7.5067664773056308E-6"/>
    <n v="2413582.0631844085"/>
    <n v="0.1979103509822544"/>
  </r>
  <r>
    <x v="0"/>
    <n v="1900"/>
    <n v="25"/>
    <x v="0"/>
    <n v="23.683629531781119"/>
    <n v="5.5914713921010115"/>
    <n v="27.260550181229565"/>
    <n v="15.079813775851497"/>
    <m/>
    <n v="0.35350455601650566"/>
    <n v="0.18"/>
    <n v="153.78022732918205"/>
    <n v="76.571067549800205"/>
    <n v="2.8756630537899017"/>
    <m/>
    <m/>
    <m/>
    <m/>
    <m/>
    <m/>
    <m/>
    <m/>
    <m/>
    <m/>
    <m/>
    <n v="0.19069619138101887"/>
    <m/>
    <m/>
    <m/>
    <m/>
    <m/>
    <m/>
    <m/>
    <m/>
    <m/>
    <m/>
    <m/>
    <n v="1695.1503883082362"/>
    <n v="0.2051121989442112"/>
    <n v="0.28279697599953374"/>
    <n v="316.25218251336548"/>
    <n v="257.31886141328488"/>
    <x v="4"/>
    <n v="9.762677251918257"/>
    <n v="2.6643645582431001"/>
    <n v="0.2"/>
    <n v="1"/>
    <n v="0.3"/>
    <x v="0"/>
    <n v="0.2792178715768136"/>
    <n v="0.18"/>
    <n v="257.31886141328488"/>
    <n v="0.2792178715768136"/>
    <n v="63.818947365431356"/>
    <n v="235.33107314938167"/>
    <n v="126275.73031232956"/>
    <n v="77.14290820979484"/>
    <n v="523558.17710365879"/>
    <x v="0"/>
    <n v="7.6489036197490899E-6"/>
    <n v="2462757.3031232953"/>
    <n v="0.21259024445473237"/>
  </r>
  <r>
    <x v="0"/>
    <n v="1000"/>
    <n v="25"/>
    <x v="1"/>
    <n v="15.120005487145923"/>
    <n v="6.7415101727468771"/>
    <n v="19.22941511007204"/>
    <n v="11.813055894443417"/>
    <m/>
    <n v="0.3957186640533264"/>
    <n v="0.18"/>
    <n v="120.86122885860065"/>
    <n v="60.179864991834357"/>
    <n v="1.7169778698481117"/>
    <m/>
    <m/>
    <m/>
    <m/>
    <m/>
    <m/>
    <m/>
    <m/>
    <m/>
    <m/>
    <m/>
    <n v="0.14534578395212178"/>
    <m/>
    <m/>
    <m/>
    <m/>
    <m/>
    <m/>
    <m/>
    <m/>
    <m/>
    <m/>
    <m/>
    <n v="965.19974197193324"/>
    <n v="0.35058321504619189"/>
    <n v="0.27162388057291836"/>
    <n v="144.33477109871825"/>
    <n v="106.71080704787772"/>
    <x v="4"/>
    <n v="9.762677251918257"/>
    <n v="2.6643645582431001"/>
    <n v="0.2"/>
    <n v="1"/>
    <n v="0.3"/>
    <x v="0"/>
    <n v="0.28004482780085821"/>
    <n v="0.18"/>
    <n v="106.71080704787772"/>
    <n v="0.28004482780085821"/>
    <n v="62.91509040287653"/>
    <n v="220.57881462983912"/>
    <n v="118663.84787251973"/>
    <n v="74.882999991232396"/>
    <n v="289247.01518087229"/>
    <x v="1"/>
    <n v="5.4000242091279088E-6"/>
    <n v="2386638.4787251973"/>
    <n v="0.1211943148320357"/>
  </r>
  <r>
    <x v="0"/>
    <n v="1000"/>
    <n v="25"/>
    <x v="2"/>
    <n v="17.14036491603219"/>
    <n v="5.1385588303958123"/>
    <n v="20.403948679128163"/>
    <n v="11.571067439574822"/>
    <m/>
    <n v="0.36170027136437227"/>
    <n v="0.18"/>
    <n v="117.75019081003965"/>
    <n v="58.630800403339251"/>
    <n v="2.160600165874591"/>
    <m/>
    <m/>
    <m/>
    <m/>
    <m/>
    <m/>
    <m/>
    <m/>
    <m/>
    <m/>
    <m/>
    <n v="0.18672436032003475"/>
    <m/>
    <m/>
    <m/>
    <m/>
    <m/>
    <m/>
    <m/>
    <m/>
    <m/>
    <m/>
    <m/>
    <n v="1275.1602128053719"/>
    <n v="0.25184139164455971"/>
    <n v="0.27429626389475414"/>
    <n v="237.51148968398326"/>
    <n v="194.86012986807668"/>
    <x v="4"/>
    <n v="9.762677251918257"/>
    <n v="2.6643645582431001"/>
    <n v="0.2"/>
    <n v="1"/>
    <n v="0.3"/>
    <x v="0"/>
    <n v="0.27106529046011346"/>
    <n v="0.18"/>
    <n v="194.86012986807668"/>
    <n v="0.27106529046011346"/>
    <n v="54.186872775032882"/>
    <n v="211.28026507632302"/>
    <n v="108836.74864817457"/>
    <n v="66.441474082905003"/>
    <n v="318298.91629327566"/>
    <x v="1"/>
    <n v="6.3186037629029683E-6"/>
    <n v="2288367.4864817457"/>
    <n v="0.13909431862390462"/>
  </r>
  <r>
    <x v="0"/>
    <n v="1000"/>
    <n v="25"/>
    <x v="0"/>
    <n v="18.563425062831552"/>
    <n v="4.202863130280269"/>
    <n v="21.335249719915211"/>
    <n v="11.39363800108795"/>
    <m/>
    <n v="0.34417252621665806"/>
    <n v="0.18"/>
    <n v="115.73125559101393"/>
    <n v="57.625521456106526"/>
    <n v="2.4575825707746048"/>
    <m/>
    <m/>
    <m/>
    <m/>
    <m/>
    <m/>
    <m/>
    <m/>
    <m/>
    <m/>
    <m/>
    <n v="0.21569779297358196"/>
    <m/>
    <m/>
    <m/>
    <m/>
    <m/>
    <m/>
    <m/>
    <m/>
    <m/>
    <m/>
    <m/>
    <n v="1514.0178519385263"/>
    <n v="0.19699151336190554"/>
    <n v="0.27067947300318929"/>
    <n v="331.41916209282397"/>
    <n v="285.2265665512225"/>
    <x v="4"/>
    <n v="9.762677251918257"/>
    <n v="2.6643645582431001"/>
    <n v="0.2"/>
    <n v="1"/>
    <n v="0.3"/>
    <x v="0"/>
    <n v="0.26761526124357304"/>
    <n v="0.18"/>
    <n v="285.2265665512225"/>
    <n v="0.26761526124357304"/>
    <n v="49.155126877552426"/>
    <n v="205.45529727055396"/>
    <n v="103894.0787649744"/>
    <n v="62.701939506855631"/>
    <n v="339867.42381095845"/>
    <x v="1"/>
    <n v="6.936948061224043E-6"/>
    <n v="2238940.7876497442"/>
    <n v="0.15179830823830018"/>
  </r>
  <r>
    <x v="0"/>
    <n v="1000"/>
    <n v="25"/>
    <x v="3"/>
    <n v="19.515240343509227"/>
    <n v="3.5294649378431862"/>
    <n v="21.932999121568564"/>
    <n v="11.277612255731501"/>
    <m/>
    <n v="0.33558083273014377"/>
    <n v="0.18"/>
    <n v="114.44487583891069"/>
    <n v="56.985000417714872"/>
    <n v="2.6744285789648874"/>
    <m/>
    <m/>
    <m/>
    <m/>
    <m/>
    <m/>
    <m/>
    <m/>
    <m/>
    <m/>
    <m/>
    <n v="0.23714493088780303"/>
    <m/>
    <m/>
    <m/>
    <m/>
    <m/>
    <m/>
    <m/>
    <m/>
    <m/>
    <m/>
    <m/>
    <n v="1715.8785887719198"/>
    <n v="0.16092030635118962"/>
    <n v="0.26816021406516721"/>
    <n v="427.22544464121472"/>
    <n v="378.66429928947554"/>
    <x v="4"/>
    <n v="9.762677251918257"/>
    <n v="2.6643645582431001"/>
    <n v="0.2"/>
    <n v="1"/>
    <n v="0.3"/>
    <x v="0"/>
    <n v="0.26791086923224777"/>
    <n v="0.18"/>
    <n v="378.66429928947554"/>
    <n v="0.26791086923224777"/>
    <n v="45.375569418001547"/>
    <n v="201.82491658555691"/>
    <n v="100167.59036334838"/>
    <n v="59.385607069539823"/>
    <n v="352319.801840019"/>
    <x v="1"/>
    <n v="7.3766863642381527E-6"/>
    <n v="2201675.9036334837"/>
    <n v="0.16002346269883608"/>
  </r>
  <r>
    <x v="0"/>
    <n v="1000"/>
    <n v="25"/>
    <x v="4"/>
    <n v="20.199888872131467"/>
    <n v="3.0388555333478728"/>
    <n v="22.35959252175607"/>
    <n v="11.195896916781344"/>
    <m/>
    <n v="0.33054090323102897"/>
    <n v="0.18"/>
    <n v="113.55159512600612"/>
    <n v="56.540213340749936"/>
    <n v="2.8355392729460895"/>
    <m/>
    <m/>
    <m/>
    <m/>
    <m/>
    <m/>
    <m/>
    <m/>
    <m/>
    <m/>
    <m/>
    <n v="0.25326593251282503"/>
    <m/>
    <m/>
    <m/>
    <m/>
    <m/>
    <m/>
    <m/>
    <m/>
    <m/>
    <m/>
    <m/>
    <n v="1891.642883304507"/>
    <n v="0.13590835925972447"/>
    <n v="0.26627233289168628"/>
    <n v="524.13823602038167"/>
    <n v="473.87324683146102"/>
    <x v="4"/>
    <n v="9.762677251918257"/>
    <n v="2.6643645582431001"/>
    <n v="0.2"/>
    <n v="1"/>
    <n v="0.3"/>
    <x v="0"/>
    <n v="0.2691126273135358"/>
    <n v="0.18"/>
    <n v="473.87324683146102"/>
    <n v="0.2691126273135358"/>
    <n v="42.581069688932594"/>
    <n v="199.33965802655743"/>
    <n v="97397.520402930677"/>
    <n v="56.770695153709973"/>
    <n v="360406.57531861454"/>
    <x v="1"/>
    <n v="7.7039785166608931E-6"/>
    <n v="2173975.2040293068"/>
    <n v="0.16578228429221586"/>
  </r>
  <r>
    <x v="0"/>
    <n v="1000"/>
    <n v="25"/>
    <x v="5"/>
    <n v="20.716946437354363"/>
    <n v="2.6683968804319305"/>
    <n v="22.681873786031851"/>
    <n v="11.136150197281887"/>
    <m/>
    <n v="0.32694290624157418"/>
    <n v="0.18"/>
    <n v="112.903479645277"/>
    <n v="56.217500238312205"/>
    <n v="2.9636794592270874"/>
    <m/>
    <m/>
    <m/>
    <m/>
    <m/>
    <m/>
    <m/>
    <m/>
    <m/>
    <m/>
    <m/>
    <n v="0.26613141945144225"/>
    <m/>
    <m/>
    <m/>
    <m/>
    <m/>
    <m/>
    <m/>
    <m/>
    <m/>
    <m/>
    <m/>
    <n v="2052.0371879929125"/>
    <n v="0.11764446383945606"/>
    <n v="0.2647486821697505"/>
    <n v="621.74863244806954"/>
    <n v="570.1974583793691"/>
    <x v="4"/>
    <n v="9.762677251918257"/>
    <n v="2.6643645582431001"/>
    <n v="0.2"/>
    <n v="1"/>
    <n v="0.3"/>
    <x v="0"/>
    <n v="0.2703374369747315"/>
    <n v="0.18"/>
    <n v="570.1974583793691"/>
    <n v="0.2703374369747315"/>
    <n v="40.4581802816774"/>
    <n v="197.55436676042422"/>
    <n v="95311.490769535565"/>
    <n v="54.737196624185813"/>
    <n v="366131.11446786596"/>
    <x v="1"/>
    <n v="7.9556485828883893E-6"/>
    <n v="2153114.9076953558"/>
    <n v="0.17004717823433038"/>
  </r>
  <r>
    <x v="0"/>
    <n v="1000"/>
    <n v="25"/>
    <x v="6"/>
    <n v="21.116755386027894"/>
    <n v="2.3786887895493316"/>
    <n v="22.929295028334288"/>
    <n v="11.08964676276622"/>
    <m/>
    <n v="0.32405469433018363"/>
    <n v="0.18"/>
    <n v="112.40236616053683"/>
    <n v="55.96798315047478"/>
    <n v="3.0702677808482068"/>
    <m/>
    <m/>
    <m/>
    <m/>
    <m/>
    <m/>
    <m/>
    <m/>
    <m/>
    <m/>
    <m/>
    <n v="0.27685893397044092"/>
    <m/>
    <m/>
    <m/>
    <m/>
    <m/>
    <m/>
    <m/>
    <m/>
    <m/>
    <m/>
    <m/>
    <n v="2202.4684448564863"/>
    <n v="0.10374016238222449"/>
    <n v="0.26356625726653499"/>
    <n v="719.88065693601561"/>
    <n v="667.33455443238245"/>
    <x v="4"/>
    <n v="9.762677251918257"/>
    <n v="2.6643645582431001"/>
    <n v="0.2"/>
    <n v="1"/>
    <n v="0.3"/>
    <x v="0"/>
    <n v="0.271385269959314"/>
    <n v="0.18"/>
    <n v="667.33455443238245"/>
    <n v="0.271385269959314"/>
    <n v="38.78732119609991"/>
    <n v="196.18412580957153"/>
    <n v="93660.309205838072"/>
    <n v="53.093973203120761"/>
    <n v="370208.56208793307"/>
    <x v="1"/>
    <n v="8.1548324644753831E-6"/>
    <n v="2136603.0920583806"/>
    <n v="0.17326969312361992"/>
  </r>
  <r>
    <x v="0"/>
    <n v="1000"/>
    <n v="25"/>
    <x v="7"/>
    <n v="21.436984445734677"/>
    <n v="2.1466189093079961"/>
    <n v="23.12748947328943"/>
    <n v="11.053013964159309"/>
    <m/>
    <n v="0.32154199897349878"/>
    <n v="0.18"/>
    <n v="112.00910841547376"/>
    <n v="55.772170165381134"/>
    <n v="3.1615400665370679"/>
    <m/>
    <m/>
    <m/>
    <m/>
    <m/>
    <m/>
    <m/>
    <m/>
    <m/>
    <m/>
    <m/>
    <n v="0.2860342054021402"/>
    <m/>
    <m/>
    <m/>
    <m/>
    <m/>
    <m/>
    <m/>
    <m/>
    <m/>
    <m/>
    <m/>
    <n v="2345.7887569724039"/>
    <n v="9.2816771651206886E-2"/>
    <n v="0.26258497023624905"/>
    <n v="818.3617233444561"/>
    <n v="765.01872370386911"/>
    <x v="4"/>
    <n v="9.762677251918257"/>
    <n v="2.6643645582431001"/>
    <n v="0.2"/>
    <n v="1"/>
    <n v="0.3"/>
    <x v="0"/>
    <n v="0.27219538505040336"/>
    <n v="0.18"/>
    <n v="765.01872370386911"/>
    <n v="0.27219538505040336"/>
    <n v="37.445691725085304"/>
    <n v="195.11490229498423"/>
    <n v="92342.882395328779"/>
    <n v="51.763326865317708"/>
    <n v="373324.77907030017"/>
    <x v="1"/>
    <n v="8.3161652274187166E-6"/>
    <n v="2123428.8239532877"/>
    <n v="0.17581224049472202"/>
  </r>
  <r>
    <x v="0"/>
    <n v="1000"/>
    <n v="25"/>
    <x v="8"/>
    <n v="21.698640787231611"/>
    <n v="1.9565162507290179"/>
    <n v="23.289188719906452"/>
    <n v="11.023290492497658"/>
    <m/>
    <n v="0.31926143765508669"/>
    <n v="0.18"/>
    <n v="111.6910214195927"/>
    <n v="55.613786598967337"/>
    <n v="3.2414299262038284"/>
    <m/>
    <m/>
    <m/>
    <m/>
    <m/>
    <m/>
    <m/>
    <m/>
    <m/>
    <m/>
    <m/>
    <n v="0.29405284460297165"/>
    <m/>
    <m/>
    <m/>
    <m/>
    <m/>
    <m/>
    <m/>
    <m/>
    <m/>
    <m/>
    <m/>
    <n v="2483.8284732986313"/>
    <n v="8.4009635297286431E-2"/>
    <n v="0.26176876559504819"/>
    <n v="917.10760167315368"/>
    <n v="863.11351019671793"/>
    <x v="4"/>
    <n v="9.762677251918257"/>
    <n v="2.6643645582431001"/>
    <n v="0.2"/>
    <n v="1"/>
    <n v="0.3"/>
    <x v="0"/>
    <n v="0.27278573808535189"/>
    <n v="0.18"/>
    <n v="863.11351019671793"/>
    <n v="0.27278573808535189"/>
    <n v="36.344243461721859"/>
    <n v="194.25394080919509"/>
    <n v="91264.423304292475"/>
    <n v="50.661982114937437"/>
    <n v="375754.84632768272"/>
    <x v="1"/>
    <n v="8.4494520529463978E-6"/>
    <n v="2112644.2330429247"/>
    <n v="0.1778599730378968"/>
  </r>
  <r>
    <x v="0"/>
    <n v="1000"/>
    <n v="25"/>
    <x v="9"/>
    <n v="21.917662542277252"/>
    <n v="1.7980922602614287"/>
    <n v="23.424955504108375"/>
    <n v="10.998961362723264"/>
    <m/>
    <n v="0.31713575353850726"/>
    <n v="0.18"/>
    <n v="111.4311325409349"/>
    <n v="55.484381348183348"/>
    <n v="3.3124411452513467"/>
    <m/>
    <m/>
    <m/>
    <m/>
    <m/>
    <m/>
    <m/>
    <m/>
    <m/>
    <m/>
    <m/>
    <n v="0.30115944915286164"/>
    <m/>
    <m/>
    <m/>
    <m/>
    <m/>
    <m/>
    <m/>
    <m/>
    <m/>
    <m/>
    <m/>
    <n v="2617.72413250419"/>
    <n v="7.6759687332002446E-2"/>
    <n v="0.26105678086859718"/>
    <n v="1016.042546493709"/>
    <n v="961.50355987851572"/>
    <x v="4"/>
    <n v="9.762677251918257"/>
    <n v="2.6643645582431001"/>
    <n v="0.2"/>
    <n v="1"/>
    <n v="0.3"/>
    <x v="0"/>
    <n v="0.27318147912300988"/>
    <n v="0.18"/>
    <n v="961.50355987851572"/>
    <n v="0.27318147912300988"/>
    <n v="35.426286407120763"/>
    <n v="193.55305812638116"/>
    <n v="90374.92860104861"/>
    <n v="49.745674553782329"/>
    <n v="377749.96021027415"/>
    <x v="1"/>
    <n v="8.561388608368046E-6"/>
    <n v="2103749.2860104861"/>
    <n v="0.17956035099915954"/>
  </r>
  <r>
    <x v="0"/>
    <n v="1000"/>
    <n v="25"/>
    <x v="0"/>
    <n v="18.562781272876187"/>
    <n v="4.2025851576668929"/>
    <n v="21.334433043525518"/>
    <n v="11.393378928247397"/>
    <m/>
    <n v="0.34416674166501615"/>
    <n v="0.18"/>
    <n v="115.72864351101612"/>
    <n v="57.624220835360731"/>
    <n v="2.4577223578465048"/>
    <m/>
    <m/>
    <m/>
    <m/>
    <m/>
    <m/>
    <m/>
    <m/>
    <m/>
    <m/>
    <m/>
    <n v="0.21571496685264444"/>
    <m/>
    <m/>
    <m/>
    <m/>
    <m/>
    <m/>
    <m/>
    <m/>
    <m/>
    <m/>
    <m/>
    <n v="1514.0945199699654"/>
    <n v="0.19698602484973349"/>
    <n v="0.27069046822925569"/>
    <n v="331.42432611570638"/>
    <n v="285.23334104671267"/>
    <x v="4"/>
    <n v="9.762677251918257"/>
    <n v="2.6643645582431001"/>
    <n v="0.2"/>
    <n v="1"/>
    <n v="0.3"/>
    <x v="0"/>
    <n v="0.26761390881908864"/>
    <n v="0.18"/>
    <n v="285.23334104671267"/>
    <n v="0.26761390881908864"/>
    <n v="49.15258357952122"/>
    <n v="205.44786279323088"/>
    <n v="103886.87728262701"/>
    <n v="62.69581393312221"/>
    <n v="339837.7196467641"/>
    <x v="2"/>
    <n v="6.9369853028100998E-6"/>
    <n v="2238868.7728262702"/>
    <n v="0.15178992345217482"/>
  </r>
  <r>
    <x v="0"/>
    <n v="1000"/>
    <n v="25"/>
    <x v="0"/>
    <n v="17.922521691138776"/>
    <n v="4.0199146390367044"/>
    <n v="20.567629735911808"/>
    <n v="10.998082185039125"/>
    <m/>
    <n v="0.34740887538440124"/>
    <n v="0.18"/>
    <n v="111.75175570531215"/>
    <n v="55.644027737084897"/>
    <n v="2.3748505170827432"/>
    <m/>
    <m/>
    <m/>
    <m/>
    <m/>
    <m/>
    <m/>
    <m/>
    <m/>
    <m/>
    <m/>
    <n v="0.21593314880964354"/>
    <m/>
    <m/>
    <m/>
    <m/>
    <m/>
    <m/>
    <m/>
    <m/>
    <m/>
    <m/>
    <m/>
    <n v="1476.9672055193748"/>
    <n v="0.19544860981320525"/>
    <n v="0.27212914116922127"/>
    <n v="334.13964555896717"/>
    <n v="289.54194697800244"/>
    <x v="4"/>
    <n v="9.762677251918257"/>
    <n v="2.6643645582431001"/>
    <n v="0.2"/>
    <n v="1"/>
    <n v="0.3"/>
    <x v="1"/>
    <n v="0.26963488938344887"/>
    <n v="0.18"/>
    <n v="289.54194697800244"/>
    <n v="0.26963488938344887"/>
    <n v="47.185044156799478"/>
    <n v="194.41806284042761"/>
    <n v="97309.258823968441"/>
    <n v="59.642227261443352"/>
    <n v="386818.70421316777"/>
    <x v="2"/>
    <n v="6.7307113680643545E-6"/>
    <n v="2173092.5882396847"/>
    <n v="0.17800378424120003"/>
  </r>
  <r>
    <x v="0"/>
    <n v="1000"/>
    <n v="25"/>
    <x v="0"/>
    <n v="15.616619487891356"/>
    <n v="3.4017787117966023"/>
    <n v="17.838799964898296"/>
    <n v="9.5846043397355203"/>
    <m/>
    <n v="0.35931357584812068"/>
    <n v="0.18"/>
    <n v="97.50214138443998"/>
    <n v="48.548784091837341"/>
    <n v="2.0823886363282114"/>
    <m/>
    <m/>
    <m/>
    <m/>
    <m/>
    <m/>
    <m/>
    <m/>
    <m/>
    <m/>
    <m/>
    <n v="0.21726391226136657"/>
    <m/>
    <m/>
    <m/>
    <m/>
    <m/>
    <m/>
    <m/>
    <m/>
    <m/>
    <m/>
    <m/>
    <n v="1345.9169950840994"/>
    <n v="0.19069549064344793"/>
    <n v="0.27680423618640509"/>
    <n v="343.58244041693484"/>
    <n v="304.72267691999343"/>
    <x v="4"/>
    <n v="9.762677251918257"/>
    <n v="2.6643645582431001"/>
    <n v="0.2"/>
    <n v="1"/>
    <n v="0.3"/>
    <x v="2"/>
    <n v="0.27689563483078339"/>
    <n v="0.18"/>
    <n v="304.72267691999343"/>
    <n v="0.27689563483078339"/>
    <n v="40.399936512423764"/>
    <n v="158.97175766188508"/>
    <n v="76477.257628460487"/>
    <n v="49.54469078157026"/>
    <n v="507306.26735411806"/>
    <x v="2"/>
    <n v="6.0214344832497438E-6"/>
    <n v="1964772.5762846048"/>
    <n v="0.25820101190206801"/>
  </r>
  <r>
    <x v="0"/>
    <n v="1000"/>
    <n v="25"/>
    <x v="0"/>
    <n v="13.503995028165214"/>
    <n v="2.8824273001830969"/>
    <n v="15.375799906057386"/>
    <n v="8.2964597698868197"/>
    <m/>
    <n v="0.37099899552819288"/>
    <n v="0.18"/>
    <n v="84.479869235646319"/>
    <n v="42.064665179574931"/>
    <n v="1.8159478718331741"/>
    <m/>
    <m/>
    <m/>
    <m/>
    <m/>
    <m/>
    <m/>
    <m/>
    <m/>
    <m/>
    <m/>
    <n v="0.21888226089209945"/>
    <m/>
    <m/>
    <m/>
    <m/>
    <m/>
    <m/>
    <m/>
    <m/>
    <m/>
    <m/>
    <m/>
    <n v="1226.2020671006017"/>
    <n v="0.18746519321232502"/>
    <n v="0.2803456655184276"/>
    <n v="351.83091201644572"/>
    <n v="318.22813118401484"/>
    <x v="4"/>
    <n v="9.762677251918257"/>
    <n v="2.6643645582431001"/>
    <n v="0.2"/>
    <n v="1"/>
    <n v="0.3"/>
    <x v="3"/>
    <n v="0.28376828278114874"/>
    <n v="0.18"/>
    <n v="318.22813118401484"/>
    <n v="0.28376828278114874"/>
    <n v="34.533644722209608"/>
    <n v="130.92348352155821"/>
    <n v="60528.364096978767"/>
    <n v="41.313007598691421"/>
    <n v="576941.61381997843"/>
    <x v="2"/>
    <n v="5.3556272782233339E-6"/>
    <n v="1805283.6409697877"/>
    <n v="0.31958502294412239"/>
  </r>
  <r>
    <x v="0"/>
    <n v="1000"/>
    <n v="25"/>
    <x v="0"/>
    <n v="12.346254038389155"/>
    <n v="2.6148380057428411"/>
    <n v="14.038347082744131"/>
    <n v="7.5666489144083684"/>
    <m/>
    <n v="0.37401083022937881"/>
    <n v="0.18"/>
    <n v="77.088693889967786"/>
    <n v="38.384411895419653"/>
    <n v="1.6893080810273995"/>
    <m/>
    <m/>
    <m/>
    <m/>
    <m/>
    <m/>
    <m/>
    <m/>
    <m/>
    <m/>
    <m/>
    <n v="0.22325709837159605"/>
    <m/>
    <m/>
    <m/>
    <m/>
    <m/>
    <m/>
    <m/>
    <m/>
    <m/>
    <m/>
    <m/>
    <n v="1169.9665957719526"/>
    <n v="0.18626395189765521"/>
    <n v="0.2808176770329246"/>
    <n v="356.03462656326434"/>
    <n v="325.31255525825316"/>
    <x v="4"/>
    <n v="9.762677251918257"/>
    <n v="2.6643645582431001"/>
    <n v="0.2"/>
    <n v="1"/>
    <n v="0.3"/>
    <x v="4"/>
    <n v="0.28512665140948001"/>
    <n v="0.18"/>
    <n v="325.31255525825316"/>
    <n v="0.28512665140948001"/>
    <n v="31.459673978591567"/>
    <n v="116.42128917326671"/>
    <n v="52829.149584280611"/>
    <n v="37.448327420155877"/>
    <n v="605503.92618107726"/>
    <x v="2"/>
    <n v="4.9691272618244079E-6"/>
    <n v="1728291.4958428061"/>
    <n v="0.35034826453612883"/>
  </r>
  <r>
    <x v="0"/>
    <n v="1000"/>
    <n v="25"/>
    <x v="0"/>
    <n v="10.903327902204207"/>
    <n v="2.2920846864519779"/>
    <n v="12.380264135900395"/>
    <n v="6.6556635279262446"/>
    <m/>
    <n v="0.37610254086153699"/>
    <n v="0.18"/>
    <n v="67.84968976897963"/>
    <n v="33.78407789326787"/>
    <n v="1.5389866315405252"/>
    <m/>
    <m/>
    <m/>
    <m/>
    <m/>
    <m/>
    <m/>
    <m/>
    <m/>
    <m/>
    <m/>
    <n v="0.23122963249015668"/>
    <m/>
    <m/>
    <m/>
    <m/>
    <m/>
    <m/>
    <m/>
    <m/>
    <m/>
    <m/>
    <m/>
    <n v="1103.5395121483891"/>
    <n v="0.18514020874606149"/>
    <n v="0.28085150399667796"/>
    <n v="361.17760543545751"/>
    <n v="334.04619637812726"/>
    <x v="4"/>
    <n v="9.762677251918257"/>
    <n v="2.6643645582431001"/>
    <n v="0.2"/>
    <n v="1"/>
    <n v="0.3"/>
    <x v="5"/>
    <n v="0.28563557273766832"/>
    <n v="0.18"/>
    <n v="334.04619637812726"/>
    <n v="0.28563557273766832"/>
    <n v="27.707826570601874"/>
    <n v="99.466973363080399"/>
    <n v="44090.965838126816"/>
    <n v="32.890582824998766"/>
    <n v="631748.05378838675"/>
    <x v="2"/>
    <n v="4.4678882116576725E-6"/>
    <n v="1640909.6583812681"/>
    <n v="0.38499868079976834"/>
  </r>
  <r>
    <x v="0"/>
    <n v="1000"/>
    <n v="25"/>
    <x v="0"/>
    <n v="9.0432506966053481"/>
    <n v="1.8924931618660632"/>
    <n v="10.255983752257842"/>
    <n v="5.4956972837975"/>
    <m/>
    <n v="0.38039366955850185"/>
    <n v="0.18"/>
    <n v="56.066116532180878"/>
    <n v="27.916738522247741"/>
    <n v="1.3288566228773027"/>
    <m/>
    <m/>
    <m/>
    <m/>
    <m/>
    <m/>
    <m/>
    <m/>
    <m/>
    <m/>
    <m/>
    <n v="0.24179945769485128"/>
    <m/>
    <m/>
    <m/>
    <m/>
    <m/>
    <m/>
    <m/>
    <m/>
    <m/>
    <m/>
    <m/>
    <n v="1009.6934802589086"/>
    <n v="0.18452575662958057"/>
    <n v="0.2805675873823455"/>
    <n v="367.76801347234169"/>
    <n v="345.26516882025749"/>
    <x v="4"/>
    <n v="9.762677251918257"/>
    <n v="2.6643645582431001"/>
    <n v="0.2"/>
    <n v="1"/>
    <n v="0.3"/>
    <x v="6"/>
    <n v="0.28714701591422132"/>
    <n v="0.18"/>
    <n v="345.26516882025749"/>
    <n v="0.28714701591422132"/>
    <n v="22.973840862111434"/>
    <n v="79.419588875154943"/>
    <n v="34044.681386973629"/>
    <n v="27.175001012629679"/>
    <n v="654170.83986516402"/>
    <x v="2"/>
    <n v="3.7815459228008409E-6"/>
    <n v="1540446.8138697362"/>
    <n v="0.42466304839297248"/>
  </r>
  <r>
    <x v="0"/>
    <n v="1000"/>
    <n v="25"/>
    <x v="0"/>
    <n v="7.8306172275642147"/>
    <n v="1.641544752277432"/>
    <n v="8.8783611787359149"/>
    <n v="4.7481445732700909"/>
    <m/>
    <n v="0.38599625208634719"/>
    <n v="0.18"/>
    <n v="48.461464045493742"/>
    <n v="24.130189566220956"/>
    <n v="1.1729608026360721"/>
    <m/>
    <m/>
    <m/>
    <m/>
    <m/>
    <m/>
    <m/>
    <m/>
    <m/>
    <m/>
    <m/>
    <n v="0.24703561244518785"/>
    <m/>
    <m/>
    <m/>
    <m/>
    <m/>
    <m/>
    <m/>
    <m/>
    <m/>
    <m/>
    <m/>
    <n v="939.03551857610182"/>
    <n v="0.18489276559383588"/>
    <n v="0.28006992599190195"/>
    <n v="372.04049238835222"/>
    <n v="352.55511725806645"/>
    <x v="4"/>
    <n v="9.762677251918257"/>
    <n v="2.6643645582431001"/>
    <n v="0.2"/>
    <n v="1"/>
    <n v="0.3"/>
    <x v="7"/>
    <n v="0.28987696604798191"/>
    <n v="0.18"/>
    <n v="352.55511725806645"/>
    <n v="0.28987696604798191"/>
    <n v="19.944030532777226"/>
    <n v="67.269126553950656"/>
    <n v="28158.877224998971"/>
    <n v="23.519503459242703"/>
    <n v="654641.58370473736"/>
    <x v="2"/>
    <n v="3.3226153400821799E-6"/>
    <n v="1481588.7722499897"/>
    <n v="0.44185106958564285"/>
  </r>
  <r>
    <x v="0"/>
    <n v="1000"/>
    <n v="25"/>
    <x v="0"/>
    <n v="6.3530236515016982"/>
    <n v="1.3367022118667533"/>
    <n v="7.2023999253057127"/>
    <n v="3.8473853505002964"/>
    <m/>
    <n v="0.38938106295421376"/>
    <n v="0.18"/>
    <n v="39.288080192230765"/>
    <n v="19.562529556297477"/>
    <n v="1.0037632079737446"/>
    <m/>
    <m/>
    <m/>
    <m/>
    <m/>
    <m/>
    <m/>
    <m/>
    <m/>
    <m/>
    <m/>
    <n v="0.26089489784100256"/>
    <m/>
    <m/>
    <m/>
    <m/>
    <m/>
    <m/>
    <m/>
    <m/>
    <m/>
    <m/>
    <m/>
    <n v="863.39405607961407"/>
    <n v="0.18559122316579993"/>
    <n v="0.2801306093616055"/>
    <n v="377.32120861058451"/>
    <n v="361.51245209274202"/>
    <x v="4"/>
    <n v="9.762677251918257"/>
    <n v="2.6643645582431001"/>
    <n v="0.2"/>
    <n v="1"/>
    <n v="0.3"/>
    <x v="8"/>
    <n v="0.29137440858198876"/>
    <n v="0.18"/>
    <n v="361.51245209274202"/>
    <n v="0.29137440858198876"/>
    <n v="16.25742700246834"/>
    <n v="53.308630769433087"/>
    <n v="21614.305830120236"/>
    <n v="19.101436378821735"/>
    <n v="649801.36923077493"/>
    <x v="2"/>
    <n v="2.7283377286941544E-6"/>
    <n v="1416143.0583012025"/>
    <n v="0.4588529142036491"/>
  </r>
  <r>
    <x v="0"/>
    <n v="1000"/>
    <n v="25"/>
    <x v="0"/>
    <n v="4.3350670578685939"/>
    <n v="0.93003353015712154"/>
    <n v="4.9215326441539178"/>
    <n v="2.6282842401387745"/>
    <m/>
    <n v="0.4003447743113569"/>
    <n v="0.18"/>
    <n v="26.856533861368813"/>
    <n v="13.372547980764557"/>
    <n v="0.73487746777422958"/>
    <m/>
    <m/>
    <m/>
    <m/>
    <m/>
    <m/>
    <m/>
    <m/>
    <m/>
    <m/>
    <m/>
    <n v="0.2796034981876343"/>
    <m/>
    <m/>
    <m/>
    <m/>
    <m/>
    <m/>
    <m/>
    <m/>
    <m/>
    <m/>
    <m/>
    <n v="741.15922557319982"/>
    <n v="0.18897233796912216"/>
    <n v="0.27982047548420852"/>
    <n v="384.50768461326112"/>
    <n v="373.72049168608504"/>
    <x v="4"/>
    <n v="9.762677251918257"/>
    <n v="2.6643645582431001"/>
    <n v="0.2"/>
    <n v="1"/>
    <n v="0.3"/>
    <x v="9"/>
    <n v="0.29870129294729764"/>
    <n v="0.18"/>
    <n v="373.72049168608504"/>
    <n v="0.29870129294729764"/>
    <n v="11.265406924610943"/>
    <n v="35.427129114849244"/>
    <n v="13694.946001319131"/>
    <n v="13.152399367855953"/>
    <n v="615515.76848730736"/>
    <x v="2"/>
    <n v="1.8731874282937155E-6"/>
    <n v="1336949.4600131912"/>
    <n v="0.46038820979907069"/>
  </r>
  <r>
    <x v="0"/>
    <n v="1000"/>
    <n v="25"/>
    <x v="0"/>
    <n v="18.562969045343202"/>
    <n v="4.202663588839382"/>
    <n v="21.334669786729719"/>
    <n v="11.393453788310659"/>
    <m/>
    <n v="0.34416826572671227"/>
    <n v="0.18"/>
    <n v="115.72939798961114"/>
    <n v="57.624596509349949"/>
    <n v="2.4576844587263977"/>
    <m/>
    <m/>
    <m/>
    <m/>
    <m/>
    <m/>
    <m/>
    <m/>
    <m/>
    <m/>
    <m/>
    <n v="0.21571022311495291"/>
    <m/>
    <m/>
    <m/>
    <m/>
    <m/>
    <m/>
    <m/>
    <m/>
    <m/>
    <m/>
    <m/>
    <n v="1514.0737791300344"/>
    <n v="0.19698751519713989"/>
    <n v="0.2706873257976245"/>
    <n v="331.42283632732205"/>
    <n v="285.23154976683543"/>
    <x v="4"/>
    <n v="9.762677251918257"/>
    <n v="2.6643645582431001"/>
    <n v="0.2"/>
    <n v="1"/>
    <n v="0.3"/>
    <x v="0"/>
    <n v="0.26761423173408805"/>
    <n v="0.18"/>
    <n v="285.23154976683543"/>
    <n v="0.26761423173408805"/>
    <n v="49.15330824286557"/>
    <n v="205.45001015652471"/>
    <n v="103888.94747691668"/>
    <n v="62.69756863020551"/>
    <n v="339846.31811493868"/>
    <x v="3"/>
    <n v="6.9369754697924193E-6"/>
    <n v="2238889.4747691667"/>
    <n v="0.15179236042903699"/>
  </r>
  <r>
    <x v="1"/>
    <n v="1000"/>
    <n v="25"/>
    <x v="0"/>
    <n v="18.463694076398895"/>
    <n v="4.2709732652670338"/>
    <n v="21.271252390060177"/>
    <n v="11.405179848331443"/>
    <m/>
    <n v="0.34520614234968844"/>
    <n v="0.18"/>
    <n v="115.86124971024728"/>
    <n v="57.69024881838039"/>
    <n v="2.4355406381038271"/>
    <m/>
    <m/>
    <m/>
    <m/>
    <m/>
    <m/>
    <m/>
    <m/>
    <m/>
    <m/>
    <m/>
    <n v="0.21354688575648742"/>
    <m/>
    <m/>
    <m/>
    <m/>
    <m/>
    <m/>
    <m/>
    <m/>
    <m/>
    <m/>
    <m/>
    <n v="1495.1666548120131"/>
    <n v="0.20078616843749234"/>
    <n v="0.24085365581942933"/>
    <n v="323.34061107114218"/>
    <n v="277.39633576009925"/>
    <x v="4"/>
    <n v="9.762677251918257"/>
    <n v="2.6643645582431001"/>
    <n v="0.2"/>
    <n v="1"/>
    <n v="0.3"/>
    <x v="0"/>
    <n v="0.26769897574082463"/>
    <n v="0.18"/>
    <n v="277.39633576009925"/>
    <n v="0.26769897574082463"/>
    <n v="49.530359314350463"/>
    <n v="205.82561198995734"/>
    <n v="104250.17645662859"/>
    <n v="63.00306042114871"/>
    <n v="338431.97506855795"/>
    <x v="3"/>
    <n v="6.8926885388735974E-6"/>
    <n v="2242501.764566286"/>
    <n v="0.15091714995105604"/>
  </r>
  <r>
    <x v="2"/>
    <n v="1000"/>
    <n v="25"/>
    <x v="0"/>
    <n v="18.334326954010525"/>
    <n v="4.361057672823927"/>
    <n v="21.18921645994272"/>
    <n v="11.421135970747191"/>
    <m/>
    <n v="0.34663891400172525"/>
    <n v="0.18"/>
    <n v="116.04055884807876"/>
    <n v="57.779531376636733"/>
    <n v="2.4060961476020513"/>
    <m/>
    <m/>
    <m/>
    <m/>
    <m/>
    <m/>
    <m/>
    <m/>
    <m/>
    <m/>
    <m/>
    <n v="0.21067047566588423"/>
    <m/>
    <m/>
    <m/>
    <m/>
    <m/>
    <m/>
    <m/>
    <m/>
    <m/>
    <m/>
    <m/>
    <n v="1470.5373807536221"/>
    <n v="0.20581495691774701"/>
    <n v="0.21101030641209198"/>
    <n v="313.11169930152818"/>
    <n v="267.48930695259548"/>
    <x v="4"/>
    <n v="9.762677251918257"/>
    <n v="2.6643645582431001"/>
    <n v="0.2"/>
    <n v="1"/>
    <n v="0.3"/>
    <x v="0"/>
    <n v="0.26785201248362817"/>
    <n v="0.18"/>
    <n v="267.48930695259548"/>
    <n v="0.26785201248362817"/>
    <n v="50.027830433040805"/>
    <n v="206.33746463027785"/>
    <n v="104734.22906177421"/>
    <n v="63.406803177814709"/>
    <n v="336603.08858231793"/>
    <x v="3"/>
    <n v="6.8346864368702089E-6"/>
    <n v="2247342.2906177421"/>
    <n v="0.1497782914456674"/>
  </r>
  <r>
    <x v="3"/>
    <n v="1000"/>
    <n v="25"/>
    <x v="0"/>
    <n v="18.136016918975759"/>
    <n v="4.4662017373757923"/>
    <n v="21.045399094328197"/>
    <n v="11.430325102237106"/>
    <m/>
    <n v="0.34523141422765624"/>
    <n v="0.18"/>
    <n v="116.15933064531123"/>
    <n v="57.838670860735881"/>
    <n v="2.4135304165613434"/>
    <m/>
    <m/>
    <m/>
    <m/>
    <m/>
    <m/>
    <m/>
    <m/>
    <m/>
    <m/>
    <m/>
    <n v="0.21115151100024049"/>
    <m/>
    <m/>
    <m/>
    <m/>
    <m/>
    <m/>
    <m/>
    <m/>
    <m/>
    <m/>
    <m/>
    <n v="1461.7112091383453"/>
    <n v="0.2122174883620738"/>
    <n v="0.18149606318557593"/>
    <n v="300.07487434902617"/>
    <n v="254.94600085767348"/>
    <x v="4"/>
    <n v="9.762677251918257"/>
    <n v="2.6643645582431001"/>
    <n v="0.2"/>
    <n v="1"/>
    <n v="0.3"/>
    <x v="0"/>
    <n v="0.2662904320393189"/>
    <n v="0.18"/>
    <n v="254.94600085767348"/>
    <n v="0.2662904320393189"/>
    <n v="50.592557401849064"/>
    <n v="206.67718393372519"/>
    <n v="105164.29774748313"/>
    <n v="63.835338732091742"/>
    <n v="333123.17518424144"/>
    <x v="3"/>
    <n v="6.7563582836016532E-6"/>
    <n v="2251642.977474831"/>
    <n v="0.14794671203062215"/>
  </r>
  <r>
    <x v="4"/>
    <n v="1000"/>
    <n v="25"/>
    <x v="0"/>
    <n v="17.896780590254046"/>
    <n v="4.6530407093208117"/>
    <n v="20.905630448640743"/>
    <n v="11.475841370097692"/>
    <m/>
    <n v="0.34875566832344063"/>
    <n v="0.18"/>
    <n v="116.65874422327819"/>
    <n v="58.087341521964248"/>
    <n v="2.349845458208728"/>
    <m/>
    <m/>
    <m/>
    <m/>
    <m/>
    <m/>
    <m/>
    <m/>
    <m/>
    <m/>
    <m/>
    <n v="0.20476454687946982"/>
    <m/>
    <m/>
    <m/>
    <m/>
    <m/>
    <m/>
    <m/>
    <m/>
    <m/>
    <m/>
    <m/>
    <n v="1412.1409520441825"/>
    <n v="0.22257356556416821"/>
    <n v="0.15134927695914577"/>
    <n v="281.75179327031083"/>
    <n v="237.2182229398197"/>
    <x v="4"/>
    <n v="9.762677251918257"/>
    <n v="2.6643645582431001"/>
    <n v="0.2"/>
    <n v="1"/>
    <n v="0.3"/>
    <x v="0"/>
    <n v="0.26702342546789321"/>
    <n v="0.18"/>
    <n v="237.2182229398197"/>
    <n v="0.26702342546789321"/>
    <n v="51.644809763353791"/>
    <n v="208.11157424260443"/>
    <n v="106423.90571995439"/>
    <n v="64.820227247910978"/>
    <n v="330403.75060309365"/>
    <x v="3"/>
    <n v="6.6381636655150452E-6"/>
    <n v="2264239.0571995438"/>
    <n v="0.14592264432172794"/>
  </r>
  <r>
    <x v="5"/>
    <n v="1000"/>
    <n v="25"/>
    <x v="0"/>
    <n v="17.470985552151657"/>
    <n v="4.9174377732784134"/>
    <n v="20.618154574705997"/>
    <n v="11.523486526935775"/>
    <m/>
    <n v="0.35560233774016808"/>
    <n v="0.18"/>
    <n v="117.20798372047449"/>
    <n v="58.36082176953088"/>
    <n v="2.2453215529312018"/>
    <m/>
    <m/>
    <m/>
    <m/>
    <m/>
    <m/>
    <m/>
    <m/>
    <m/>
    <m/>
    <m/>
    <n v="0.19484741425113275"/>
    <m/>
    <m/>
    <m/>
    <m/>
    <m/>
    <m/>
    <m/>
    <m/>
    <m/>
    <m/>
    <m/>
    <n v="1335.4977271246432"/>
    <n v="0.2385003835072147"/>
    <n v="0.12158889820094368"/>
    <n v="256.31101349994748"/>
    <n v="212.83695065904308"/>
    <x v="4"/>
    <n v="9.762677251918257"/>
    <n v="2.6643645582431001"/>
    <n v="0.2"/>
    <n v="1"/>
    <n v="0.3"/>
    <x v="0"/>
    <n v="0.26910388085659287"/>
    <n v="0.18"/>
    <n v="212.83695065904308"/>
    <n v="0.26910388085659287"/>
    <n v="53.021956902356692"/>
    <n v="209.70025899564715"/>
    <n v="107664.42384398"/>
    <n v="65.679795370405856"/>
    <n v="323410.43888680625"/>
    <x v="3"/>
    <n v="6.461421712284817E-6"/>
    <n v="2276644.2384398002"/>
    <n v="0.1420557649834836"/>
  </r>
  <r>
    <x v="6"/>
    <n v="1000"/>
    <n v="25"/>
    <x v="0"/>
    <n v="16.746687882411454"/>
    <n v="5.3925413954236951"/>
    <n v="20.143677651371632"/>
    <n v="11.626574007279457"/>
    <m/>
    <n v="0.37007913360886258"/>
    <n v="0.18"/>
    <n v="118.39154948264314"/>
    <n v="58.950149119988289"/>
    <n v="2.0580635983302837"/>
    <m/>
    <m/>
    <m/>
    <m/>
    <m/>
    <m/>
    <m/>
    <m/>
    <m/>
    <m/>
    <m/>
    <n v="0.17701376149515066"/>
    <m/>
    <m/>
    <m/>
    <m/>
    <m/>
    <m/>
    <m/>
    <m/>
    <m/>
    <m/>
    <m/>
    <n v="1204.8348110316124"/>
    <n v="0.26770391627352635"/>
    <n v="9.1749989388745262E-2"/>
    <n v="217.47477036258135"/>
    <n v="175.80301186647031"/>
    <x v="4"/>
    <n v="9.762677251918257"/>
    <n v="2.6643645582431001"/>
    <n v="0.2"/>
    <n v="1"/>
    <n v="0.3"/>
    <x v="0"/>
    <n v="0.2740943318433105"/>
    <n v="0.18"/>
    <n v="175.80301186647031"/>
    <n v="0.2740943318433105"/>
    <n v="55.486351893807544"/>
    <n v="213.16440126823605"/>
    <n v="110082.71333821362"/>
    <n v="67.123227231097403"/>
    <n v="311830.54970458726"/>
    <x v="3"/>
    <n v="6.1541301513340781E-6"/>
    <n v="2300827.133382136"/>
    <n v="0.13552976022418825"/>
  </r>
  <r>
    <x v="7"/>
    <n v="1000"/>
    <n v="25"/>
    <x v="0"/>
    <n v="15.204807442485764"/>
    <n v="6.5970615228076976"/>
    <n v="19.235743929541467"/>
    <n v="11.774016420067168"/>
    <m/>
    <n v="0.39216643928451361"/>
    <n v="0.18"/>
    <n v="120.40361052397184"/>
    <n v="59.952005240151955"/>
    <n v="1.7551030161371521"/>
    <m/>
    <m/>
    <m/>
    <m/>
    <m/>
    <m/>
    <m/>
    <m/>
    <m/>
    <m/>
    <m/>
    <n v="0.14906578634847356"/>
    <m/>
    <m/>
    <m/>
    <m/>
    <m/>
    <m/>
    <m/>
    <m/>
    <m/>
    <m/>
    <m/>
    <n v="988.86062522114628"/>
    <n v="0.34295848119896216"/>
    <n v="6.0611719097886298E-2"/>
    <n v="149.14409838911831"/>
    <n v="111.30911715256961"/>
    <x v="4"/>
    <n v="9.762677251918257"/>
    <n v="2.6643645582431001"/>
    <n v="0.2"/>
    <n v="1"/>
    <n v="0.3"/>
    <x v="0"/>
    <n v="0.27887145478590375"/>
    <n v="0.18"/>
    <n v="111.30911715256961"/>
    <n v="0.27887145478590375"/>
    <n v="62.056240102487962"/>
    <n v="219.18541120306415"/>
    <n v="117492.57501549528"/>
    <n v="73.776879057677306"/>
    <n v="295292.2379972107"/>
    <x v="3"/>
    <n v="5.4426121256540907E-6"/>
    <n v="2374925.7501549525"/>
    <n v="0.1243374610671278"/>
  </r>
  <r>
    <x v="8"/>
    <n v="1000"/>
    <n v="25"/>
    <x v="0"/>
    <n v="10.60207295808722"/>
    <n v="4.1839635707488592"/>
    <n v="13.119570417981471"/>
    <n v="7.7873263635893455"/>
    <m/>
    <n v="0.39551396988464166"/>
    <n v="0.18"/>
    <n v="79.87067261572922"/>
    <n v="39.769629518205427"/>
    <n v="1.3936525833036235"/>
    <m/>
    <m/>
    <m/>
    <m/>
    <m/>
    <m/>
    <m/>
    <m/>
    <m/>
    <m/>
    <m/>
    <n v="0.17896419364415328"/>
    <m/>
    <m/>
    <m/>
    <m/>
    <m/>
    <m/>
    <m/>
    <m/>
    <m/>
    <m/>
    <m/>
    <n v="836.82028837369967"/>
    <n v="0.31891010432890288"/>
    <n v="4.5380876505797349E-2"/>
    <n v="166.37575616828778"/>
    <n v="139.99399672188733"/>
    <x v="4"/>
    <n v="9.762677251918257"/>
    <n v="2.6643645582431001"/>
    <n v="0.2"/>
    <n v="1"/>
    <n v="0.3"/>
    <x v="0"/>
    <n v="0.2808518990745465"/>
    <n v="0.18"/>
    <n v="139.99399672188733"/>
    <n v="0.2808518990745465"/>
    <n v="40.760783329515839"/>
    <n v="121.7738292381178"/>
    <n v="61473.564065366816"/>
    <n v="48.432440569811156"/>
    <n v="659738.41591756803"/>
    <x v="3"/>
    <n v="3.9601547623106661E-6"/>
    <n v="1814735.6406536682"/>
    <n v="0.36354519145275072"/>
  </r>
  <r>
    <x v="9"/>
    <n v="1000"/>
    <n v="25"/>
    <x v="0"/>
    <n v="3.6675800806825714"/>
    <n v="0.96293842527000628"/>
    <n v="4.2588799536935102"/>
    <n v="2.3331797754840982"/>
    <m/>
    <n v="0.40461678687124941"/>
    <n v="0.18"/>
    <n v="23.877599216079066"/>
    <n v="11.889261020454308"/>
    <n v="0.67758872545108906"/>
    <m/>
    <m/>
    <m/>
    <m/>
    <m/>
    <m/>
    <m/>
    <m/>
    <m/>
    <m/>
    <m/>
    <n v="0.29041428036144368"/>
    <m/>
    <m/>
    <m/>
    <m/>
    <m/>
    <m/>
    <m/>
    <m/>
    <m/>
    <m/>
    <m/>
    <n v="638.1349942605425"/>
    <n v="0.22610133080527398"/>
    <n v="4.0068338540868421E-2"/>
    <n v="308.46687898122462"/>
    <n v="299.34063153499807"/>
    <x v="4"/>
    <n v="9.762677251918257"/>
    <n v="2.6643645582431001"/>
    <n v="0.2"/>
    <n v="1"/>
    <n v="0.3"/>
    <x v="0"/>
    <n v="0.29490697744392935"/>
    <n v="0.18"/>
    <n v="299.34063153499807"/>
    <n v="0.29490697744392935"/>
    <n v="10.839262488359537"/>
    <n v="31.298033524377292"/>
    <n v="12348.830471490024"/>
    <n v="12.634230625996951"/>
    <n v="854648.58923364116"/>
    <x v="3"/>
    <n v="1.3007064438672341E-6"/>
    <n v="1323488.3047149002"/>
    <n v="0.64575454591398573"/>
  </r>
  <r>
    <x v="0"/>
    <n v="100"/>
    <n v="25"/>
    <x v="0"/>
    <n v="3.1516217977836862"/>
    <n v="0.57729161618363278"/>
    <n v="3.6504495904667689"/>
    <n v="2.9833762269216635"/>
    <m/>
    <n v="0.54172191878309128"/>
    <n v="0.27"/>
    <n v="20.019548299691991"/>
    <n v="8.7222098401147683"/>
    <n v="1.0063451077589667"/>
    <m/>
    <m/>
    <m/>
    <m/>
    <m/>
    <m/>
    <m/>
    <m/>
    <m/>
    <m/>
    <m/>
    <n v="0.33731753262555947"/>
    <m/>
    <m/>
    <m/>
    <m/>
    <m/>
    <m/>
    <m/>
    <m/>
    <m/>
    <m/>
    <m/>
    <n v="878.78963304382808"/>
    <n v="0.15814260733561225"/>
    <n v="0.1905408509158005"/>
    <n v="383.45960048653092"/>
    <n v="375.61707916434472"/>
    <x v="5"/>
    <n v="14.644015877877388"/>
    <n v="3.9965468373646496"/>
    <n v="0.3"/>
    <n v="1"/>
    <n v="0.4"/>
    <x v="0"/>
    <n v="0.4191795646422381"/>
    <n v="0.27"/>
    <n v="375.61707916434472"/>
    <n v="0.4191795646422381"/>
    <n v="7.5643632204377447"/>
    <n v="70.227437741929563"/>
    <n v="24890.548721571271"/>
    <n v="13.845356094576992"/>
    <n v="17371.455359111642"/>
    <x v="0"/>
    <n v="1.943875435356706E-6"/>
    <n v="1448905.4872157127"/>
    <n v="1.1989364049199286E-2"/>
  </r>
  <r>
    <x v="0"/>
    <n v="200"/>
    <n v="25"/>
    <x v="0"/>
    <n v="5.9195865059708046"/>
    <n v="0.97868336770494146"/>
    <n v="6.7169199291420219"/>
    <n v="5.5129434514067555"/>
    <m/>
    <n v="0.55488421953399858"/>
    <n v="0.27"/>
    <n v="37.073361345438542"/>
    <n v="16.152294362120529"/>
    <n v="1.5486046065806338"/>
    <m/>
    <m/>
    <m/>
    <m/>
    <m/>
    <m/>
    <m/>
    <m/>
    <m/>
    <m/>
    <m/>
    <n v="0.28090340853858592"/>
    <m/>
    <m/>
    <m/>
    <m/>
    <m/>
    <m/>
    <m/>
    <m/>
    <m/>
    <m/>
    <m/>
    <n v="1131.9901038725252"/>
    <n v="0.14570418853123837"/>
    <n v="0.21461651006876986"/>
    <n v="372.41784192616876"/>
    <n v="357.68780058220881"/>
    <x v="5"/>
    <n v="14.644015877877388"/>
    <n v="3.9965468373646496"/>
    <n v="0.3"/>
    <n v="1"/>
    <n v="0.4"/>
    <x v="0"/>
    <n v="0.44970223909927259"/>
    <n v="0.27"/>
    <n v="357.68780058220881"/>
    <n v="0.44970223909927259"/>
    <n v="13.214975098750902"/>
    <n v="102.20030666477788"/>
    <n v="39514.477675298112"/>
    <n v="20.996389062720549"/>
    <n v="48797.491872152328"/>
    <x v="0"/>
    <n v="3.3869960007955598E-6"/>
    <n v="1595144.7767529811"/>
    <n v="3.0591262049255951E-2"/>
  </r>
  <r>
    <x v="0"/>
    <n v="300"/>
    <n v="25"/>
    <x v="0"/>
    <n v="8.3301306179622561"/>
    <n v="1.3164484473251954"/>
    <n v="9.367609713175387"/>
    <n v="7.739603155702004"/>
    <m/>
    <n v="0.56603615038545829"/>
    <n v="0.27"/>
    <n v="52.131475658657855"/>
    <n v="22.712883585722302"/>
    <n v="1.9411401782181752"/>
    <m/>
    <m/>
    <m/>
    <m/>
    <m/>
    <m/>
    <m/>
    <m/>
    <m/>
    <m/>
    <m/>
    <n v="0.25080616398116967"/>
    <m/>
    <m/>
    <m/>
    <m/>
    <m/>
    <m/>
    <m/>
    <m/>
    <m/>
    <m/>
    <m/>
    <n v="1313.3047785698789"/>
    <n v="0.14053194866494412"/>
    <n v="0.22799279131663994"/>
    <n v="363.46318420921807"/>
    <n v="342.73468946079214"/>
    <x v="5"/>
    <n v="14.644015877877388"/>
    <n v="3.9965468373646496"/>
    <n v="0.3"/>
    <n v="1"/>
    <n v="0.4"/>
    <x v="0"/>
    <n v="0.46975836032237495"/>
    <n v="0.27"/>
    <n v="342.73468946079214"/>
    <n v="0.46975836032237495"/>
    <n v="17.961381981987206"/>
    <n v="125.18470515449869"/>
    <n v="51090.343633588287"/>
    <n v="26.517243465714444"/>
    <n v="84977.301313214208"/>
    <x v="0"/>
    <n v="4.4163836886344462E-6"/>
    <n v="1710903.4363358829"/>
    <n v="4.9668087344078224E-2"/>
  </r>
  <r>
    <x v="0"/>
    <n v="400"/>
    <n v="25"/>
    <x v="0"/>
    <n v="10.452043408171031"/>
    <n v="1.6132373386183083"/>
    <n v="11.695005647721555"/>
    <n v="9.7292108003944797"/>
    <m/>
    <n v="0.57595832220748056"/>
    <n v="0.27"/>
    <n v="65.619823943773696"/>
    <n v="28.589549851021733"/>
    <n v="2.2477854388890464"/>
    <m/>
    <m/>
    <m/>
    <m/>
    <m/>
    <m/>
    <m/>
    <m/>
    <m/>
    <m/>
    <m/>
    <n v="0.23103471442903753"/>
    <m/>
    <m/>
    <m/>
    <m/>
    <m/>
    <m/>
    <m/>
    <m/>
    <m/>
    <m/>
    <m/>
    <n v="1453.7657836911146"/>
    <n v="0.13794241637947413"/>
    <n v="0.2369087461493633"/>
    <n v="355.88156377484961"/>
    <n v="329.87306424659056"/>
    <x v="5"/>
    <n v="14.644015877877388"/>
    <n v="3.9965468373646496"/>
    <n v="0.3"/>
    <n v="1"/>
    <n v="0.4"/>
    <x v="0"/>
    <n v="0.48512383142134685"/>
    <n v="0.27"/>
    <n v="329.87306424659056"/>
    <n v="0.48512383142134685"/>
    <n v="22.076490744543356"/>
    <n v="143.46248087409276"/>
    <n v="60824.176303215019"/>
    <n v="31.074947222455251"/>
    <n v="123031.16818258942"/>
    <x v="0"/>
    <n v="5.1822681895515938E-6"/>
    <n v="1808241.7630321502"/>
    <n v="6.8039114402647469E-2"/>
  </r>
  <r>
    <x v="0"/>
    <n v="600"/>
    <n v="25"/>
    <x v="0"/>
    <n v="14.000751877810762"/>
    <n v="2.1162289209274694"/>
    <n v="15.58262627110147"/>
    <n v="13.134513391820606"/>
    <m/>
    <n v="0.59390875397374998"/>
    <n v="0.27"/>
    <n v="88.777830353898366"/>
    <n v="38.6791377060553"/>
    <n v="2.6966501511514096"/>
    <m/>
    <m/>
    <m/>
    <m/>
    <m/>
    <m/>
    <m/>
    <m/>
    <m/>
    <m/>
    <m/>
    <n v="0.20531024414126547"/>
    <m/>
    <m/>
    <m/>
    <m/>
    <m/>
    <m/>
    <m/>
    <m/>
    <m/>
    <m/>
    <m/>
    <n v="1657.1551242359101"/>
    <n v="0.13580694833528098"/>
    <n v="0.24854408263446917"/>
    <n v="343.6689390090952"/>
    <n v="308.83004866020616"/>
    <x v="5"/>
    <n v="14.644015877877388"/>
    <n v="3.9965468373646496"/>
    <n v="0.3"/>
    <n v="1"/>
    <n v="0.4"/>
    <x v="0"/>
    <n v="0.50927468169857837"/>
    <n v="0.27"/>
    <n v="308.83004866020616"/>
    <n v="0.50927468169857837"/>
    <n v="28.88370339501639"/>
    <n v="171.29607575314407"/>
    <n v="76378.598078341383"/>
    <n v="38.207897377645345"/>
    <n v="199212.55282013689"/>
    <x v="0"/>
    <n v="6.2298638227265422E-6"/>
    <n v="1963785.9807834139"/>
    <n v="0.10144310773654924"/>
  </r>
  <r>
    <x v="0"/>
    <n v="800"/>
    <n v="25"/>
    <x v="0"/>
    <n v="16.804627256101373"/>
    <n v="2.52302735543977"/>
    <n v="18.652969969004996"/>
    <n v="15.911145329656406"/>
    <m/>
    <n v="0.61111434165982115"/>
    <n v="0.27"/>
    <n v="107.73256197695461"/>
    <n v="46.93742326796778"/>
    <n v="2.9933680860020146"/>
    <m/>
    <m/>
    <m/>
    <m/>
    <m/>
    <m/>
    <m/>
    <m/>
    <m/>
    <m/>
    <m/>
    <n v="0.18813027120195722"/>
    <m/>
    <m/>
    <m/>
    <m/>
    <m/>
    <m/>
    <m/>
    <m/>
    <m/>
    <m/>
    <m/>
    <n v="1789.2423507998381"/>
    <n v="0.13526142805313032"/>
    <n v="0.25606746344591663"/>
    <n v="334.37421908289167"/>
    <n v="292.55830779882996"/>
    <x v="5"/>
    <n v="14.644015877877388"/>
    <n v="3.9965468373646496"/>
    <n v="0.3"/>
    <n v="1"/>
    <n v="0.4"/>
    <x v="0"/>
    <n v="0.52967260107755099"/>
    <n v="0.27"/>
    <n v="292.55830779882996"/>
    <n v="0.52967260107755099"/>
    <n v="34.204038374896093"/>
    <n v="191.34129575487844"/>
    <n v="87989.939974688808"/>
    <n v="43.390318318615741"/>
    <n v="270392.73439187353"/>
    <x v="0"/>
    <n v="6.896328042710937E-6"/>
    <n v="2079899.3997468881"/>
    <n v="0.13000279457015027"/>
  </r>
  <r>
    <x v="0"/>
    <n v="1000"/>
    <n v="25"/>
    <x v="0"/>
    <n v="19.01600292335506"/>
    <n v="2.8493094172478228"/>
    <n v="21.073382747053913"/>
    <n v="18.169860065099968"/>
    <m/>
    <n v="0.62739254463426919"/>
    <n v="0.27"/>
    <n v="123.20683522668183"/>
    <n v="53.679326551043964"/>
    <n v="3.1918476780559182"/>
    <m/>
    <m/>
    <m/>
    <m/>
    <m/>
    <m/>
    <m/>
    <m/>
    <m/>
    <m/>
    <m/>
    <n v="0.17566715795388582"/>
    <m/>
    <m/>
    <m/>
    <m/>
    <m/>
    <m/>
    <m/>
    <m/>
    <m/>
    <m/>
    <m/>
    <n v="1875.8827520280456"/>
    <n v="0.1352089245209652"/>
    <n v="0.26148725848921839"/>
    <n v="327.27751618483114"/>
    <n v="279.95891300008589"/>
    <x v="5"/>
    <n v="14.644015877877388"/>
    <n v="3.9965468373646496"/>
    <n v="0.3"/>
    <n v="1"/>
    <n v="0.4"/>
    <x v="0"/>
    <n v="0.54783855993825326"/>
    <n v="0.27"/>
    <n v="279.95891300008589"/>
    <n v="0.54783855993825326"/>
    <n v="38.343789957000794"/>
    <n v="205.9694846575583"/>
    <n v="96594.685021773563"/>
    <n v="47.120561372417797"/>
    <n v="333258.58247325075"/>
    <x v="0"/>
    <n v="7.3465914105454071E-6"/>
    <n v="2165946.8502177354"/>
    <n v="0.15386277019666914"/>
  </r>
  <r>
    <x v="0"/>
    <n v="1300"/>
    <n v="25"/>
    <x v="0"/>
    <n v="21.549413411874596"/>
    <n v="3.2411642481716956"/>
    <n v="23.851501557092654"/>
    <n v="20.778207896975772"/>
    <m/>
    <n v="0.64312576127637167"/>
    <n v="0.27"/>
    <n v="141.15368890401567"/>
    <n v="61.49849516564997"/>
    <n v="3.405318070739586"/>
    <m/>
    <m/>
    <m/>
    <m/>
    <m/>
    <m/>
    <m/>
    <m/>
    <m/>
    <m/>
    <m/>
    <n v="0.16388892091291585"/>
    <m/>
    <m/>
    <m/>
    <m/>
    <m/>
    <m/>
    <m/>
    <m/>
    <m/>
    <m/>
    <m/>
    <n v="1967.9458253763921"/>
    <n v="0.13588931667104537"/>
    <n v="0.26574494659342296"/>
    <n v="318.90941412765915"/>
    <n v="265.28679000659992"/>
    <x v="5"/>
    <n v="14.644015877877388"/>
    <n v="3.9965468373646496"/>
    <n v="0.3"/>
    <n v="1"/>
    <n v="0.4"/>
    <x v="0"/>
    <n v="0.56552991197480229"/>
    <n v="0.27"/>
    <n v="265.28679000659992"/>
    <n v="0.56552991197480229"/>
    <n v="43.142538123987926"/>
    <n v="220.88491853045758"/>
    <n v="106077.93640246238"/>
    <n v="51.717489922426296"/>
    <n v="413359.5340888286"/>
    <x v="0"/>
    <n v="7.7863137666607514E-6"/>
    <n v="2260779.3640246238"/>
    <n v="0.18283939630135726"/>
  </r>
  <r>
    <x v="0"/>
    <n v="1600"/>
    <n v="25"/>
    <x v="0"/>
    <n v="23.392760631490379"/>
    <n v="3.5549817311437066"/>
    <n v="25.8836431886341"/>
    <n v="22.585612099845829"/>
    <m/>
    <n v="0.64236365928093109"/>
    <n v="0.27"/>
    <n v="153.67088343852097"/>
    <n v="66.952044651637777"/>
    <n v="3.6080197651236645"/>
    <m/>
    <m/>
    <m/>
    <m/>
    <m/>
    <m/>
    <m/>
    <m/>
    <m/>
    <m/>
    <m/>
    <n v="0.15974859344849429"/>
    <m/>
    <m/>
    <m/>
    <m/>
    <m/>
    <m/>
    <m/>
    <m/>
    <m/>
    <m/>
    <m/>
    <n v="2057.9534786117802"/>
    <n v="0.1373447201862508"/>
    <n v="0.26629018029013457"/>
    <n v="312.15312331080719"/>
    <n v="253.9435960499475"/>
    <x v="5"/>
    <n v="14.644015877877388"/>
    <n v="3.9965468373646496"/>
    <n v="0.3"/>
    <n v="1"/>
    <n v="0.4"/>
    <x v="0"/>
    <n v="0.566543380629563"/>
    <n v="0.27"/>
    <n v="253.9435960499475"/>
    <n v="0.566543380629563"/>
    <n v="46.896940236891652"/>
    <n v="229.0401339283215"/>
    <n v="112724.54796829741"/>
    <n v="56.316542700425963"/>
    <n v="477338.83572937327"/>
    <x v="0"/>
    <n v="8.0614747507576404E-6"/>
    <n v="2327245.4796829741"/>
    <n v="0.20510893238232786"/>
  </r>
  <r>
    <x v="0"/>
    <n v="1900"/>
    <n v="25"/>
    <x v="0"/>
    <n v="24.718225779259988"/>
    <n v="3.7989340228605872"/>
    <n v="27.351965180965387"/>
    <n v="23.883639231021505"/>
    <m/>
    <n v="0.64330941613433412"/>
    <n v="0.27"/>
    <n v="162.70836434844574"/>
    <n v="70.88953633438507"/>
    <n v="3.7218152490522165"/>
    <m/>
    <m/>
    <m/>
    <m/>
    <m/>
    <m/>
    <m/>
    <m/>
    <m/>
    <m/>
    <m/>
    <n v="0.15583116178618622"/>
    <m/>
    <m/>
    <m/>
    <m/>
    <m/>
    <m/>
    <m/>
    <m/>
    <m/>
    <m/>
    <m/>
    <n v="2106.557220881502"/>
    <n v="0.13889071581241696"/>
    <n v="0.26623794159241848"/>
    <n v="307.15738849460865"/>
    <n v="245.64959635539148"/>
    <x v="5"/>
    <n v="14.644015877877388"/>
    <n v="3.9965468373646496"/>
    <n v="0.3"/>
    <n v="1"/>
    <n v="0.4"/>
    <x v="0"/>
    <n v="0.5683330576932496"/>
    <n v="0.27"/>
    <n v="245.64959635539148"/>
    <n v="0.5683330576932496"/>
    <n v="49.679123877666385"/>
    <n v="233.94694558778457"/>
    <n v="117157.91025507322"/>
    <n v="59.762010522257867"/>
    <n v="525788.34503975557"/>
    <x v="0"/>
    <n v="8.24658412424018E-6"/>
    <n v="2371579.102550732"/>
    <n v="0.22170390372990229"/>
  </r>
  <r>
    <x v="0"/>
    <n v="1000"/>
    <n v="25"/>
    <x v="1"/>
    <n v="17.594298155173171"/>
    <n v="4.6241680724572412"/>
    <n v="20.586051868926358"/>
    <n v="18.576778925913604"/>
    <m/>
    <n v="0.76847952851401635"/>
    <n v="0.27"/>
    <n v="127.57690260112858"/>
    <n v="55.583297813769718"/>
    <n v="1.8406328382993635"/>
    <m/>
    <m/>
    <m/>
    <m/>
    <m/>
    <m/>
    <m/>
    <m/>
    <m/>
    <m/>
    <m/>
    <n v="9.9082453725698377E-2"/>
    <m/>
    <m/>
    <m/>
    <m/>
    <m/>
    <m/>
    <m/>
    <m/>
    <m/>
    <m/>
    <m/>
    <n v="1003.4646057448115"/>
    <n v="0.22462627131709492"/>
    <n v="0.24078389370517217"/>
    <n v="126.92909029573005"/>
    <n v="83.148186595130042"/>
    <x v="5"/>
    <n v="14.644015877877388"/>
    <n v="3.9965468373646496"/>
    <n v="0.3"/>
    <n v="1"/>
    <n v="0.4"/>
    <x v="0"/>
    <n v="0.6651773811008358"/>
    <n v="0.27"/>
    <n v="83.148186595130042"/>
    <n v="0.6651773811008358"/>
    <n v="46.599895545019884"/>
    <n v="218.03338911134921"/>
    <n v="106241.34354492713"/>
    <n v="53.83448189847747"/>
    <n v="323358.04470251745"/>
    <x v="1"/>
    <n v="6.5459162065195497E-6"/>
    <n v="2262413.4354492715"/>
    <n v="0.1429261511781576"/>
  </r>
  <r>
    <x v="0"/>
    <n v="1000"/>
    <n v="25"/>
    <x v="2"/>
    <n v="18.363719850894832"/>
    <n v="3.4352802951086732"/>
    <n v="20.728101186023867"/>
    <n v="18.333278703521572"/>
    <m/>
    <n v="0.67015352983575038"/>
    <n v="0.27"/>
    <n v="124.6276800191538"/>
    <n v="54.298366813324265"/>
    <n v="2.6492962965041755"/>
    <m/>
    <m/>
    <m/>
    <m/>
    <m/>
    <m/>
    <m/>
    <m/>
    <m/>
    <m/>
    <m/>
    <n v="0.14450750132300569"/>
    <m/>
    <m/>
    <m/>
    <m/>
    <m/>
    <m/>
    <m/>
    <m/>
    <m/>
    <m/>
    <m/>
    <n v="1507.6026447298461"/>
    <n v="0.16573058305142518"/>
    <n v="0.25737516014656764"/>
    <n v="228.6499915514876"/>
    <n v="182.95449647775837"/>
    <x v="5"/>
    <n v="14.644015877877388"/>
    <n v="3.9965468373646496"/>
    <n v="0.3"/>
    <n v="1"/>
    <n v="0.4"/>
    <x v="0"/>
    <n v="0.57745269624431639"/>
    <n v="0.27"/>
    <n v="182.95449647775837"/>
    <n v="0.57745269624431639"/>
    <n v="41.096645798528705"/>
    <n v="209.81765885969477"/>
    <n v="99419.465537797558"/>
    <n v="48.878816170184805"/>
    <n v="325853.41574600292"/>
    <x v="1"/>
    <n v="7.0267093363119978E-6"/>
    <n v="2194194.6553779757"/>
    <n v="0.14850706838945921"/>
  </r>
  <r>
    <x v="0"/>
    <n v="1000"/>
    <n v="25"/>
    <x v="0"/>
    <n v="19.015216668850236"/>
    <n v="2.8487822457272687"/>
    <n v="21.072281002258485"/>
    <n v="18.168434826203391"/>
    <m/>
    <n v="0.62711208207895686"/>
    <n v="0.27"/>
    <n v="123.19728016572179"/>
    <n v="53.67516355767961"/>
    <n v="3.1944594914484483"/>
    <m/>
    <m/>
    <m/>
    <m/>
    <m/>
    <m/>
    <m/>
    <m/>
    <m/>
    <m/>
    <m/>
    <n v="0.17582469387188185"/>
    <m/>
    <m/>
    <m/>
    <m/>
    <m/>
    <m/>
    <m/>
    <m/>
    <m/>
    <m/>
    <m/>
    <n v="1877.1972835689489"/>
    <n v="0.13519097649760564"/>
    <n v="0.26150116118043071"/>
    <n v="327.28438916670774"/>
    <n v="279.96753784472673"/>
    <x v="5"/>
    <n v="14.644015877877388"/>
    <n v="3.9965468373646496"/>
    <n v="0.3"/>
    <n v="1"/>
    <n v="0.4"/>
    <x v="0"/>
    <n v="0.54759791940136859"/>
    <n v="0.27"/>
    <n v="279.96753784472673"/>
    <n v="0.54759791940136859"/>
    <n v="38.342058931522295"/>
    <n v="205.94383892802261"/>
    <n v="96587.124221390957"/>
    <n v="47.125445289822999"/>
    <n v="333224.4821289609"/>
    <x v="1"/>
    <n v="7.3466144521064674E-6"/>
    <n v="2165871.2422139095"/>
    <n v="0.15385239696351738"/>
  </r>
  <r>
    <x v="0"/>
    <n v="1000"/>
    <n v="25"/>
    <x v="3"/>
    <n v="19.590690619282157"/>
    <n v="2.4783346369163222"/>
    <n v="21.455086641910938"/>
    <n v="18.021834190695895"/>
    <m/>
    <n v="0.59410297783429711"/>
    <n v="0.27"/>
    <n v="122.06636296333888"/>
    <n v="53.182440295230634"/>
    <n v="3.6487390772324542"/>
    <m/>
    <m/>
    <m/>
    <m/>
    <m/>
    <m/>
    <m/>
    <m/>
    <m/>
    <m/>
    <m/>
    <n v="0.20246213779484129"/>
    <m/>
    <m/>
    <m/>
    <m/>
    <m/>
    <m/>
    <m/>
    <m/>
    <m/>
    <m/>
    <m/>
    <n v="2200.1764061750441"/>
    <n v="0.1155126836950207"/>
    <n v="0.25967018817882709"/>
    <n v="424.55548803395698"/>
    <n v="375.80686755881914"/>
    <x v="5"/>
    <n v="14.644015877877388"/>
    <n v="3.9965468373646496"/>
    <n v="0.3"/>
    <n v="1"/>
    <n v="0.4"/>
    <x v="0"/>
    <n v="0.52437065218979861"/>
    <n v="0.27"/>
    <n v="375.80686755881914"/>
    <n v="0.52437065218979861"/>
    <n v="36.710940433076445"/>
    <n v="202.92996869476022"/>
    <n v="95340.402678905142"/>
    <n v="47.161512973487859"/>
    <n v="342329.95779097854"/>
    <x v="1"/>
    <n v="7.5856601541006954E-6"/>
    <n v="2153404.0267890515"/>
    <n v="0.15897154158359589"/>
  </r>
  <r>
    <x v="0"/>
    <n v="1000"/>
    <n v="25"/>
    <x v="4"/>
    <n v="20.009360463993538"/>
    <n v="2.191632192406507"/>
    <n v="21.723945061315415"/>
    <n v="17.917459886800572"/>
    <m/>
    <n v="0.57549517454883647"/>
    <n v="0.27"/>
    <n v="121.28031802470107"/>
    <n v="52.839972583375989"/>
    <n v="3.9921525817295684"/>
    <m/>
    <m/>
    <m/>
    <m/>
    <m/>
    <m/>
    <m/>
    <m/>
    <m/>
    <m/>
    <m/>
    <n v="0.22280795419391486"/>
    <m/>
    <m/>
    <m/>
    <m/>
    <m/>
    <m/>
    <m/>
    <m/>
    <m/>
    <m/>
    <m/>
    <n v="2468.8383548608927"/>
    <n v="0.10088555215089466"/>
    <n v="0.25836026291259134"/>
    <n v="522.55248450972852"/>
    <n v="472.76206399611044"/>
    <x v="5"/>
    <n v="14.644015877877388"/>
    <n v="3.9965468373646496"/>
    <n v="0.3"/>
    <n v="1"/>
    <n v="0.4"/>
    <x v="0"/>
    <n v="0.51274005813050194"/>
    <n v="0.27"/>
    <n v="472.76206399611044"/>
    <n v="0.51274005813050194"/>
    <n v="35.325172195641912"/>
    <n v="200.8598941892009"/>
    <n v="94126.842454897909"/>
    <n v="46.64750625824874"/>
    <n v="348083.1061602144"/>
    <x v="1"/>
    <n v="7.7727276104972466E-6"/>
    <n v="2141268.4245489789"/>
    <n v="0.16255930464838012"/>
  </r>
  <r>
    <x v="0"/>
    <n v="1000"/>
    <n v="25"/>
    <x v="5"/>
    <n v="20.329289555785962"/>
    <n v="1.9659174376177702"/>
    <n v="21.925718941552944"/>
    <n v="17.839281087578978"/>
    <m/>
    <n v="0.56291106315351824"/>
    <n v="0.27"/>
    <n v="120.69992612187013"/>
    <n v="52.587104741893633"/>
    <n v="4.2695709253627392"/>
    <m/>
    <m/>
    <m/>
    <m/>
    <m/>
    <m/>
    <m/>
    <m/>
    <m/>
    <m/>
    <m/>
    <n v="0.23933536920024928"/>
    <m/>
    <m/>
    <m/>
    <m/>
    <m/>
    <m/>
    <m/>
    <m/>
    <m/>
    <m/>
    <m/>
    <n v="2705.2021397051612"/>
    <n v="8.9662621456486166E-2"/>
    <n v="0.25734319151833052"/>
    <n v="621.00319640926693"/>
    <n v="570.41667702379266"/>
    <x v="5"/>
    <n v="14.644015877877388"/>
    <n v="3.9965468373646496"/>
    <n v="0.3"/>
    <n v="1"/>
    <n v="0.4"/>
    <x v="0"/>
    <n v="0.50543862332252865"/>
    <n v="0.27"/>
    <n v="570.41667702379266"/>
    <n v="0.50543862332252865"/>
    <n v="34.187966864285521"/>
    <n v="199.3441525442131"/>
    <n v="93088.933106355995"/>
    <n v="46.044114239026158"/>
    <n v="352097.53083535947"/>
    <x v="1"/>
    <n v="7.9212581847122003E-6"/>
    <n v="2130889.3310635602"/>
    <n v="0.16523501511907335"/>
  </r>
  <r>
    <x v="0"/>
    <n v="1000"/>
    <n v="25"/>
    <x v="6"/>
    <n v="20.581828961262421"/>
    <n v="1.7840692681516559"/>
    <n v="22.082967409651555"/>
    <n v="17.777960753985315"/>
    <m/>
    <n v="0.55329165401634495"/>
    <n v="0.27"/>
    <n v="120.2493316440291"/>
    <n v="52.390787645738818"/>
    <n v="4.5045068843057212"/>
    <m/>
    <m/>
    <m/>
    <m/>
    <m/>
    <m/>
    <m/>
    <m/>
    <m/>
    <m/>
    <m/>
    <n v="0.25337590439308055"/>
    <m/>
    <m/>
    <m/>
    <m/>
    <m/>
    <m/>
    <m/>
    <m/>
    <m/>
    <m/>
    <m/>
    <n v="2920.8071855382254"/>
    <n v="8.0789381021859979E-2"/>
    <n v="0.25653131655143602"/>
    <n v="719.76874699765699"/>
    <n v="668.55374338536421"/>
    <x v="5"/>
    <n v="14.644015877877388"/>
    <n v="3.9965468373646496"/>
    <n v="0.3"/>
    <n v="1"/>
    <n v="0.4"/>
    <x v="0"/>
    <n v="0.50003025383345168"/>
    <n v="0.27"/>
    <n v="668.55374338536421"/>
    <n v="0.50003025383345168"/>
    <n v="33.250086034748819"/>
    <n v="198.17473719066422"/>
    <n v="92215.23424035222"/>
    <n v="45.46678853465886"/>
    <n v="355051.01055142208"/>
    <x v="1"/>
    <n v="8.0416078055595496E-6"/>
    <n v="2122152.3424035222"/>
    <n v="0.16730703232610336"/>
  </r>
  <r>
    <x v="0"/>
    <n v="1000"/>
    <n v="25"/>
    <x v="7"/>
    <n v="20.786492437460243"/>
    <n v="1.6345288809170229"/>
    <n v="22.209221427500502"/>
    <n v="17.728426530256652"/>
    <m/>
    <n v="0.54536214249970294"/>
    <n v="0.27"/>
    <n v="119.88804388177999"/>
    <n v="52.23338011446846"/>
    <n v="4.7094256253185733"/>
    <m/>
    <m/>
    <m/>
    <m/>
    <m/>
    <m/>
    <m/>
    <m/>
    <m/>
    <m/>
    <m/>
    <n v="0.26564261736827671"/>
    <m/>
    <m/>
    <m/>
    <m/>
    <m/>
    <m/>
    <m/>
    <m/>
    <m/>
    <m/>
    <m/>
    <n v="3121.7496070391148"/>
    <n v="7.3596856434285998E-2"/>
    <n v="0.25586839230704544"/>
    <n v="818.76099955122174"/>
    <n v="767.03679437982737"/>
    <x v="5"/>
    <n v="14.644015877877388"/>
    <n v="3.9965468373646496"/>
    <n v="0.3"/>
    <n v="1"/>
    <n v="0.4"/>
    <x v="0"/>
    <n v="0.49557880740837706"/>
    <n v="0.27"/>
    <n v="767.03679437982737"/>
    <n v="0.49557880740837706"/>
    <n v="32.467261998931569"/>
    <n v="197.24168411437421"/>
    <n v="91477.972846474178"/>
    <n v="44.944135718325143"/>
    <n v="357314.1533662721"/>
    <x v="1"/>
    <n v="8.1410043542858855E-6"/>
    <n v="2114779.7284647417"/>
    <n v="0.16896045888697356"/>
  </r>
  <r>
    <x v="0"/>
    <n v="1000"/>
    <n v="25"/>
    <x v="8"/>
    <n v="20.956656285851643"/>
    <n v="1.5094757944823161"/>
    <n v="22.313814948339537"/>
    <n v="17.68789507250429"/>
    <m/>
    <n v="0.53853790116602585"/>
    <n v="0.27"/>
    <n v="119.5938648434813"/>
    <n v="52.105210823923393"/>
    <n v="4.8911485892323441"/>
    <m/>
    <m/>
    <m/>
    <m/>
    <m/>
    <m/>
    <m/>
    <m/>
    <m/>
    <m/>
    <m/>
    <n v="0.27652519246541668"/>
    <m/>
    <m/>
    <m/>
    <m/>
    <m/>
    <m/>
    <m/>
    <m/>
    <m/>
    <m/>
    <m/>
    <n v="3311.3413302391709"/>
    <n v="6.7647589530388325E-2"/>
    <n v="0.25530340820393949"/>
    <n v="917.91470222320254"/>
    <n v="865.76703562299951"/>
    <x v="5"/>
    <n v="14.644015877877388"/>
    <n v="3.9965468373646496"/>
    <n v="0.3"/>
    <n v="1"/>
    <n v="0.4"/>
    <x v="0"/>
    <n v="0.49169675562238657"/>
    <n v="0.27"/>
    <n v="865.76703562299951"/>
    <n v="0.49169675562238657"/>
    <n v="31.806594779351158"/>
    <n v="196.4849322869789"/>
    <n v="90856.31182569309"/>
    <n v="44.483373811716504"/>
    <n v="359134.30441659578"/>
    <x v="1"/>
    <n v="8.2244770392477182E-6"/>
    <n v="2108563.1182569312"/>
    <n v="0.17032181835442442"/>
  </r>
  <r>
    <x v="0"/>
    <n v="1000"/>
    <n v="25"/>
    <x v="9"/>
    <n v="21.100090314283705"/>
    <n v="1.4031972215131212"/>
    <n v="22.40151085492068"/>
    <n v="17.653809090085993"/>
    <m/>
    <n v="0.53244124481504984"/>
    <n v="0.27"/>
    <n v="119.34756331112037"/>
    <n v="51.997901027666551"/>
    <n v="5.0553710843872874"/>
    <m/>
    <m/>
    <m/>
    <m/>
    <m/>
    <m/>
    <m/>
    <m/>
    <m/>
    <m/>
    <m/>
    <n v="0.28636149051970189"/>
    <m/>
    <m/>
    <m/>
    <m/>
    <m/>
    <m/>
    <m/>
    <m/>
    <m/>
    <m/>
    <m/>
    <n v="3492.3785009423777"/>
    <n v="6.2638508206016699E-2"/>
    <n v="0.25482433099191837"/>
    <n v="1017.1975053082632"/>
    <n v="964.69295874873558"/>
    <x v="5"/>
    <n v="14.644015877877388"/>
    <n v="3.9965468373646496"/>
    <n v="0.3"/>
    <n v="1"/>
    <n v="0.4"/>
    <x v="0"/>
    <n v="0.48814346088951327"/>
    <n v="0.27"/>
    <n v="964.69295874873558"/>
    <n v="0.48814346088951327"/>
    <n v="31.240964980570268"/>
    <n v="195.85338889785481"/>
    <n v="90322.513120253774"/>
    <n v="44.075383054309967"/>
    <n v="360613.79316842614"/>
    <x v="1"/>
    <n v="8.2956056463049083E-6"/>
    <n v="2103225.1312025376"/>
    <n v="0.1714575333940794"/>
  </r>
  <r>
    <x v="0"/>
    <n v="1000"/>
    <n v="25"/>
    <x v="0"/>
    <n v="19.015655467619943"/>
    <n v="2.849074831236349"/>
    <n v="21.072894959286796"/>
    <n v="18.169225986120559"/>
    <m/>
    <n v="0.62726755132123446"/>
    <n v="0.27"/>
    <n v="123.20258412879039"/>
    <n v="53.677474412958468"/>
    <n v="3.1930109380482357"/>
    <m/>
    <m/>
    <m/>
    <m/>
    <m/>
    <m/>
    <m/>
    <m/>
    <m/>
    <m/>
    <m/>
    <n v="0.17573731211705834"/>
    <m/>
    <m/>
    <m/>
    <m/>
    <m/>
    <m/>
    <m/>
    <m/>
    <m/>
    <m/>
    <m/>
    <n v="1876.4682753683637"/>
    <n v="0.13520092216759072"/>
    <n v="0.26149340650235781"/>
    <n v="327.28055471085662"/>
    <n v="279.96280634424579"/>
    <x v="5"/>
    <n v="14.644015877877388"/>
    <n v="3.9965468373646496"/>
    <n v="0.3"/>
    <n v="1"/>
    <n v="0.4"/>
    <x v="0"/>
    <n v="0.54773129951118171"/>
    <n v="0.27"/>
    <n v="279.96280634424579"/>
    <n v="0.54773129951118171"/>
    <n v="38.34302370189905"/>
    <n v="205.95807435529349"/>
    <n v="96591.335583965018"/>
    <n v="47.122756064176919"/>
    <n v="333243.49377916491"/>
    <x v="2"/>
    <n v="7.3466019029843281E-6"/>
    <n v="2165913.3558396501"/>
    <n v="0.15385818314508609"/>
  </r>
  <r>
    <x v="0"/>
    <n v="1000"/>
    <n v="25"/>
    <x v="0"/>
    <n v="18.352690734332384"/>
    <n v="2.7340487432636991"/>
    <n v="20.319806396449188"/>
    <n v="17.555026057617958"/>
    <m/>
    <n v="0.63131716834124563"/>
    <n v="0.27"/>
    <n v="119.08088601373633"/>
    <n v="51.881713823412092"/>
    <n v="3.0977115290346049"/>
    <m/>
    <m/>
    <m/>
    <m/>
    <m/>
    <m/>
    <m/>
    <m/>
    <m/>
    <m/>
    <m/>
    <n v="0.17645724471541646"/>
    <m/>
    <m/>
    <m/>
    <m/>
    <m/>
    <m/>
    <m/>
    <m/>
    <m/>
    <m/>
    <m/>
    <n v="1833.4224788903505"/>
    <n v="0.13455092484254497"/>
    <n v="0.2630636639203125"/>
    <n v="330.23479388665476"/>
    <n v="284.56671437304738"/>
    <x v="5"/>
    <n v="14.644015877877388"/>
    <n v="3.9965468373646496"/>
    <n v="0.3"/>
    <n v="1"/>
    <n v="0.4"/>
    <x v="1"/>
    <n v="0.5512943094749756"/>
    <n v="0.27"/>
    <n v="284.56671437304738"/>
    <n v="0.5512943094749756"/>
    <n v="36.911617225765276"/>
    <n v="195.1716899036451"/>
    <n v="90559.848176296116"/>
    <n v="44.864826290337284"/>
    <n v="378758.78178680199"/>
    <x v="2"/>
    <n v="7.1161525127004508E-6"/>
    <n v="2105598.481762961"/>
    <n v="0.17988176998953639"/>
  </r>
  <r>
    <x v="0"/>
    <n v="1000"/>
    <n v="25"/>
    <x v="0"/>
    <n v="16.047686912842234"/>
    <n v="2.3691477950578159"/>
    <n v="17.728866736193684"/>
    <n v="15.352311417719315"/>
    <m/>
    <n v="0.63941148501665956"/>
    <n v="0.27"/>
    <n v="104.26909773291472"/>
    <n v="45.428445070357029"/>
    <n v="2.7693943375407404"/>
    <m/>
    <m/>
    <m/>
    <m/>
    <m/>
    <m/>
    <m/>
    <m/>
    <m/>
    <m/>
    <m/>
    <n v="0.18038940601116021"/>
    <m/>
    <m/>
    <m/>
    <m/>
    <m/>
    <m/>
    <m/>
    <m/>
    <m/>
    <m/>
    <m/>
    <n v="1684.3736904027987"/>
    <n v="0.13363221859077848"/>
    <n v="0.26572930778651166"/>
    <n v="339.60889355217444"/>
    <n v="299.67652163242707"/>
    <x v="5"/>
    <n v="14.644015877877388"/>
    <n v="3.9965468373646496"/>
    <n v="0.3"/>
    <n v="1"/>
    <n v="0.4"/>
    <x v="2"/>
    <n v="0.55739529864706627"/>
    <n v="0.27"/>
    <n v="299.67652163242707"/>
    <n v="0.55739529864706627"/>
    <n v="32.214175457404671"/>
    <n v="160.33756504887458"/>
    <n v="72035.319200143786"/>
    <n v="38.304805280142297"/>
    <n v="501271.30248729262"/>
    <x v="2"/>
    <n v="6.3302280931683166E-6"/>
    <n v="1920353.1920014378"/>
    <n v="0.26103078567794902"/>
  </r>
  <r>
    <x v="0"/>
    <n v="1000"/>
    <n v="25"/>
    <x v="0"/>
    <n v="13.920295958727795"/>
    <n v="2.0542117877178896"/>
    <n v="15.359855119886923"/>
    <n v="13.268020180429433"/>
    <m/>
    <n v="0.63638826608673082"/>
    <n v="0.27"/>
    <n v="90.21186144874828"/>
    <n v="39.303923037836391"/>
    <n v="2.5056614456053499"/>
    <m/>
    <m/>
    <m/>
    <m/>
    <m/>
    <m/>
    <m/>
    <m/>
    <m/>
    <m/>
    <m/>
    <n v="0.18884968605197369"/>
    <m/>
    <m/>
    <m/>
    <m/>
    <m/>
    <m/>
    <m/>
    <m/>
    <m/>
    <m/>
    <m/>
    <n v="1565.8653356711548"/>
    <n v="0.13373900806253258"/>
    <n v="0.26602648584284977"/>
    <n v="347.67327052182708"/>
    <n v="313.03461286848068"/>
    <x v="5"/>
    <n v="14.644015877877388"/>
    <n v="3.9965468373646496"/>
    <n v="0.3"/>
    <n v="1"/>
    <n v="0.4"/>
    <x v="3"/>
    <n v="0.55271801197795523"/>
    <n v="0.27"/>
    <n v="313.03461286848068"/>
    <n v="0.55271801197795523"/>
    <n v="28.078451857660319"/>
    <n v="131.71568252709199"/>
    <n v="57625.13011744582"/>
    <n v="33.265624392980961"/>
    <n v="576054.77017687878"/>
    <x v="2"/>
    <n v="5.6034413827234296E-6"/>
    <n v="1776251.3011744581"/>
    <n v="0.32430927414155369"/>
  </r>
  <r>
    <x v="0"/>
    <n v="1000"/>
    <n v="25"/>
    <x v="0"/>
    <n v="12.72569405656928"/>
    <n v="1.8786101970930256"/>
    <n v="14.03421446157318"/>
    <n v="12.113030161396091"/>
    <m/>
    <n v="0.63341683760180556"/>
    <n v="0.27"/>
    <n v="82.405510927837796"/>
    <n v="35.902815964410657"/>
    <n v="2.3656847898922315"/>
    <m/>
    <m/>
    <m/>
    <m/>
    <m/>
    <m/>
    <m/>
    <m/>
    <m/>
    <m/>
    <m/>
    <n v="0.19530082550538069"/>
    <m/>
    <m/>
    <m/>
    <m/>
    <m/>
    <m/>
    <m/>
    <m/>
    <m/>
    <m/>
    <m/>
    <n v="1503.4283075010692"/>
    <n v="0.13385930521703321"/>
    <n v="0.26651773423755826"/>
    <n v="352.25198018070216"/>
    <n v="320.58591255495378"/>
    <x v="5"/>
    <n v="14.644015877877388"/>
    <n v="3.9965468373646496"/>
    <n v="0.3"/>
    <n v="1"/>
    <n v="0.4"/>
    <x v="4"/>
    <n v="0.54888203796386192"/>
    <n v="0.27"/>
    <n v="320.58591255495378"/>
    <n v="0.54888203796386192"/>
    <n v="25.759117047323734"/>
    <n v="117.2550432606678"/>
    <n v="50447.280633009417"/>
    <n v="30.431079322287104"/>
    <n v="605600.16445984168"/>
    <x v="2"/>
    <n v="5.1864448456072252E-6"/>
    <n v="1704472.8063300941"/>
    <n v="0.3553005728285929"/>
  </r>
  <r>
    <x v="0"/>
    <n v="1000"/>
    <n v="25"/>
    <x v="0"/>
    <n v="11.230155035307703"/>
    <n v="1.6677896824220859"/>
    <n v="12.382368017896999"/>
    <n v="10.674318103003801"/>
    <m/>
    <n v="0.63218161489897273"/>
    <n v="0.27"/>
    <n v="72.666663620029794"/>
    <n v="31.659749709971486"/>
    <n v="2.1607030507347194"/>
    <m/>
    <m/>
    <m/>
    <m/>
    <m/>
    <m/>
    <m/>
    <m/>
    <m/>
    <m/>
    <m/>
    <n v="0.20242071014603621"/>
    <m/>
    <m/>
    <m/>
    <m/>
    <m/>
    <m/>
    <m/>
    <m/>
    <m/>
    <m/>
    <m/>
    <n v="1410.2792143457555"/>
    <n v="0.13469068921320435"/>
    <n v="0.26657477013685749"/>
    <n v="357.87240094198626"/>
    <n v="329.92768897839591"/>
    <x v="5"/>
    <n v="14.644015877877388"/>
    <n v="3.9965468373646496"/>
    <n v="0.3"/>
    <n v="1"/>
    <n v="0.4"/>
    <x v="5"/>
    <n v="0.54589661649726362"/>
    <n v="0.27"/>
    <n v="329.92768897839591"/>
    <n v="0.54589661649726362"/>
    <n v="22.890435631633316"/>
    <n v="100.38005428049664"/>
    <n v="42230.378285004757"/>
    <n v="26.947202270804176"/>
    <n v="632530.04713277624"/>
    <x v="2"/>
    <n v="4.6495699333768827E-6"/>
    <n v="1622303.7828500476"/>
    <n v="0.38989617963015138"/>
  </r>
  <r>
    <x v="0"/>
    <n v="1000"/>
    <n v="25"/>
    <x v="0"/>
    <n v="9.3084732907993608"/>
    <n v="1.4009238930864947"/>
    <n v="10.266215496407792"/>
    <n v="8.8416437889776507"/>
    <m/>
    <n v="0.63017393694898227"/>
    <n v="0.27"/>
    <n v="60.238780722934976"/>
    <n v="26.245111933228934"/>
    <n v="1.8899766883914273"/>
    <m/>
    <m/>
    <m/>
    <m/>
    <m/>
    <m/>
    <m/>
    <m/>
    <m/>
    <m/>
    <m/>
    <n v="0.21375851973900467"/>
    <m/>
    <m/>
    <m/>
    <m/>
    <m/>
    <m/>
    <m/>
    <m/>
    <m/>
    <m/>
    <m/>
    <n v="1286.9196373144678"/>
    <n v="0.1364596226892652"/>
    <n v="0.26667330881786333"/>
    <n v="365.09409459813241"/>
    <n v="341.93129311875384"/>
    <x v="5"/>
    <n v="14.644015877877388"/>
    <n v="3.9965468373646496"/>
    <n v="0.3"/>
    <n v="1"/>
    <n v="0.4"/>
    <x v="6"/>
    <n v="0.54129267327926589"/>
    <n v="0.27"/>
    <n v="341.93129311875384"/>
    <n v="0.54129267327926589"/>
    <n v="19.210776978067635"/>
    <n v="80.41248221237548"/>
    <n v="32775.601969297772"/>
    <n v="22.499621413697778"/>
    <n v="657357.04506259202"/>
    <x v="2"/>
    <n v="3.9195610492480834E-6"/>
    <n v="1527756.0196929777"/>
    <n v="0.43027619370447412"/>
  </r>
  <r>
    <x v="0"/>
    <n v="1000"/>
    <n v="25"/>
    <x v="0"/>
    <n v="8.0545247095989456"/>
    <n v="1.2316304550208899"/>
    <n v="8.8899699008236972"/>
    <n v="7.6502752822237188"/>
    <m/>
    <n v="0.63099987039895422"/>
    <n v="0.27"/>
    <n v="52.147584238137462"/>
    <n v="22.719901846491421"/>
    <n v="1.6899802788567895"/>
    <m/>
    <m/>
    <m/>
    <m/>
    <m/>
    <m/>
    <m/>
    <m/>
    <m/>
    <m/>
    <m/>
    <n v="0.22090450559127592"/>
    <m/>
    <m/>
    <m/>
    <m/>
    <m/>
    <m/>
    <m/>
    <m/>
    <m/>
    <m/>
    <m/>
    <n v="1194.682305144011"/>
    <n v="0.13854157761622721"/>
    <n v="0.26613061944367195"/>
    <n v="369.73469371379969"/>
    <n v="349.69216571561657"/>
    <x v="5"/>
    <n v="14.644015877877388"/>
    <n v="3.9965468373646496"/>
    <n v="0.3"/>
    <n v="1"/>
    <n v="0.4"/>
    <x v="7"/>
    <n v="0.53977948856626445"/>
    <n v="0.27"/>
    <n v="349.69216571561657"/>
    <n v="0.53977948856626445"/>
    <n v="16.822435138728263"/>
    <n v="68.205267928962115"/>
    <n v="27203.590872170942"/>
    <n v="19.646717556759974"/>
    <n v="659474.06818518625"/>
    <x v="2"/>
    <n v="3.4344048249248412E-6"/>
    <n v="1472035.9087217094"/>
    <n v="0.44800134580810747"/>
  </r>
  <r>
    <x v="0"/>
    <n v="1000"/>
    <n v="25"/>
    <x v="0"/>
    <n v="6.5114280360258707"/>
    <n v="1.0198581418075496"/>
    <n v="7.1965982218224944"/>
    <n v="6.1983381127578872"/>
    <m/>
    <n v="0.63000768366191218"/>
    <n v="0.27"/>
    <n v="42.274583800927786"/>
    <n v="18.418387133184307"/>
    <n v="1.4510562274744423"/>
    <m/>
    <m/>
    <m/>
    <m/>
    <m/>
    <m/>
    <m/>
    <m/>
    <m/>
    <m/>
    <m/>
    <n v="0.23410407775073916"/>
    <m/>
    <m/>
    <m/>
    <m/>
    <m/>
    <m/>
    <m/>
    <m/>
    <m/>
    <m/>
    <m/>
    <n v="1084.873256930905"/>
    <n v="0.14171391960093013"/>
    <n v="0.26629550083981574"/>
    <n v="375.54811096886431"/>
    <n v="359.34514319368407"/>
    <x v="5"/>
    <n v="14.644015877877388"/>
    <n v="3.9965468373646496"/>
    <n v="0.3"/>
    <n v="1"/>
    <n v="0.4"/>
    <x v="8"/>
    <n v="0.53601996635711391"/>
    <n v="0.27"/>
    <n v="359.34514319368407"/>
    <n v="0.53601996635711391"/>
    <n v="13.84601857086956"/>
    <n v="54.026948478672104"/>
    <n v="20910.596328759668"/>
    <n v="16.069497478467376"/>
    <n v="652761.54683498747"/>
    <x v="2"/>
    <n v="2.8102836144244771E-6"/>
    <n v="1409105.9632875966"/>
    <n v="0.46324518087484651"/>
  </r>
  <r>
    <x v="0"/>
    <n v="1000"/>
    <n v="25"/>
    <x v="0"/>
    <n v="4.4284246782205994"/>
    <n v="0.73293260384020165"/>
    <n v="4.9129508840433864"/>
    <n v="4.2432799984849217"/>
    <m/>
    <n v="0.63138733522392199"/>
    <n v="0.27"/>
    <n v="28.961322842678431"/>
    <n v="12.618003728137907"/>
    <n v="1.0889244434072052"/>
    <m/>
    <m/>
    <m/>
    <m/>
    <m/>
    <m/>
    <m/>
    <m/>
    <m/>
    <m/>
    <m/>
    <n v="0.25662328288399766"/>
    <m/>
    <m/>
    <m/>
    <m/>
    <m/>
    <m/>
    <m/>
    <m/>
    <m/>
    <m/>
    <m/>
    <n v="916.79192262802621"/>
    <n v="0.14918378407174182"/>
    <n v="0.26595884935617847"/>
    <n v="383.34921101914551"/>
    <n v="372.32970092442332"/>
    <x v="5"/>
    <n v="14.644015877877388"/>
    <n v="3.9965468373646496"/>
    <n v="0.3"/>
    <n v="1"/>
    <n v="0.4"/>
    <x v="9"/>
    <n v="0.53303527284274121"/>
    <n v="0.27"/>
    <n v="372.32970092442332"/>
    <n v="0.53303527284274121"/>
    <n v="9.7776592139716563"/>
    <n v="35.971860145308725"/>
    <n v="13338.484213584401"/>
    <n v="11.252101415765832"/>
    <n v="620688.48122423049"/>
    <x v="2"/>
    <n v="1.9180218798200367E-6"/>
    <n v="1333384.8421358441"/>
    <n v="0.46549837797015792"/>
  </r>
  <r>
    <x v="0"/>
    <n v="1000"/>
    <n v="25"/>
    <x v="0"/>
    <n v="19.015061281440008"/>
    <n v="2.8486783460120915"/>
    <n v="21.072063393174993"/>
    <n v="18.168154731887356"/>
    <m/>
    <n v="0.62705750425320927"/>
    <n v="0.27"/>
    <n v="123.1954019855379"/>
    <n v="53.674345263408625"/>
    <n v="3.1949682932853989"/>
    <m/>
    <m/>
    <m/>
    <m/>
    <m/>
    <m/>
    <m/>
    <m/>
    <m/>
    <m/>
    <m/>
    <n v="0.17585540966787536"/>
    <m/>
    <m/>
    <m/>
    <m/>
    <m/>
    <m/>
    <m/>
    <m/>
    <m/>
    <m/>
    <m/>
    <n v="1877.4535548671186"/>
    <n v="0.13518744191585655"/>
    <n v="0.26150389023164677"/>
    <n v="327.28574223275996"/>
    <n v="279.96940822441934"/>
    <x v="5"/>
    <n v="14.644015877877388"/>
    <n v="3.9965468373646496"/>
    <n v="0.3"/>
    <n v="1"/>
    <n v="0.4"/>
    <x v="0"/>
    <n v="0.54755111277368762"/>
    <n v="0.27"/>
    <n v="279.96940822441934"/>
    <n v="0.54755111277368762"/>
    <n v="38.341711045243336"/>
    <n v="205.93879826452215"/>
    <n v="96585.619451025006"/>
    <n v="47.126377227052615"/>
    <n v="333217.71854707669"/>
    <x v="3"/>
    <n v="7.3466194020563751E-6"/>
    <n v="2165856.1945102504"/>
    <n v="0.15385034306140757"/>
  </r>
  <r>
    <x v="1"/>
    <n v="1000"/>
    <n v="25"/>
    <x v="0"/>
    <n v="18.951497836663741"/>
    <n v="2.886744282730481"/>
    <n v="21.028175435346824"/>
    <n v="18.183374221910654"/>
    <m/>
    <n v="0.63120283386377429"/>
    <n v="0.27"/>
    <n v="123.31618126459171"/>
    <n v="53.726966941004683"/>
    <n v="3.1477227725261976"/>
    <m/>
    <m/>
    <m/>
    <m/>
    <m/>
    <m/>
    <m/>
    <m/>
    <m/>
    <m/>
    <m/>
    <n v="0.17310993735877941"/>
    <m/>
    <m/>
    <m/>
    <m/>
    <m/>
    <m/>
    <m/>
    <m/>
    <m/>
    <m/>
    <m/>
    <n v="1845.2407956235147"/>
    <n v="0.13727982684974538"/>
    <n v="0.23264075189176872"/>
    <n v="318.53749748246804"/>
    <n v="271.37940936041429"/>
    <x v="5"/>
    <n v="14.644015877877388"/>
    <n v="3.9965468373646496"/>
    <n v="0.3"/>
    <n v="1"/>
    <n v="0.4"/>
    <x v="0"/>
    <n v="0.55065474390616931"/>
    <n v="0.27"/>
    <n v="271.37940936041429"/>
    <n v="0.55065474390616931"/>
    <n v="38.494590006325119"/>
    <n v="206.26318789143804"/>
    <n v="96677.514865580291"/>
    <n v="47.058995035699013"/>
    <n v="332097.05324023025"/>
    <x v="3"/>
    <n v="7.3220010041155101E-6"/>
    <n v="2166775.1486558029"/>
    <n v="0.15326788912372957"/>
  </r>
  <r>
    <x v="2"/>
    <n v="1000"/>
    <n v="25"/>
    <x v="0"/>
    <n v="18.867496071559241"/>
    <n v="2.9364716130685444"/>
    <n v="20.969847617506872"/>
    <n v="18.203683582283276"/>
    <m/>
    <n v="0.63696322775236613"/>
    <n v="0.27"/>
    <n v="123.47806390628119"/>
    <n v="53.797496722653634"/>
    <n v="3.0851375197775397"/>
    <m/>
    <m/>
    <m/>
    <m/>
    <m/>
    <m/>
    <m/>
    <m/>
    <m/>
    <m/>
    <m/>
    <n v="0.1694787489483803"/>
    <m/>
    <m/>
    <m/>
    <m/>
    <m/>
    <m/>
    <m/>
    <m/>
    <m/>
    <m/>
    <m/>
    <n v="1803.0341766664853"/>
    <n v="0.14003304490477098"/>
    <n v="0.20378450423781161"/>
    <n v="307.41447127137144"/>
    <n v="260.46541677771523"/>
    <x v="5"/>
    <n v="14.644015877877388"/>
    <n v="3.9965468373646496"/>
    <n v="0.3"/>
    <n v="1"/>
    <n v="0.4"/>
    <x v="0"/>
    <n v="0.55504170844321488"/>
    <n v="0.27"/>
    <n v="260.46541677771523"/>
    <n v="0.55504170844321488"/>
    <n v="38.689038402031329"/>
    <n v="206.69874599227111"/>
    <n v="96786.906103704983"/>
    <n v="46.947549773072168"/>
    <n v="330587.42982168292"/>
    <x v="3"/>
    <n v="7.2899130747762676E-6"/>
    <n v="2167869.0610370496"/>
    <n v="0.1524941869245271"/>
  </r>
  <r>
    <x v="3"/>
    <n v="1000"/>
    <n v="25"/>
    <x v="0"/>
    <n v="18.753589474274833"/>
    <n v="3.0065961484212025"/>
    <n v="20.892246020426427"/>
    <n v="18.239262984137511"/>
    <m/>
    <n v="0.64717033163765514"/>
    <n v="0.27"/>
    <n v="123.75405492438423"/>
    <n v="53.917741772034617"/>
    <n v="2.9846733759973887"/>
    <m/>
    <m/>
    <m/>
    <m/>
    <m/>
    <m/>
    <m/>
    <m/>
    <m/>
    <m/>
    <m/>
    <n v="0.16364002090397659"/>
    <m/>
    <m/>
    <m/>
    <m/>
    <m/>
    <m/>
    <m/>
    <m/>
    <m/>
    <m/>
    <m/>
    <n v="1738.4507287054059"/>
    <n v="0.14390966607810582"/>
    <n v="0.17490704228701232"/>
    <n v="292.77967754150643"/>
    <n v="246.11404070671227"/>
    <x v="5"/>
    <n v="14.644015877877388"/>
    <n v="3.9965468373646496"/>
    <n v="0.3"/>
    <n v="1"/>
    <n v="0.4"/>
    <x v="0"/>
    <n v="0.56316270937891133"/>
    <n v="0.27"/>
    <n v="246.11404070671227"/>
    <n v="0.56316270937891133"/>
    <n v="38.945840831811296"/>
    <n v="207.44337261375867"/>
    <n v="96935.848975242305"/>
    <n v="46.700016162638214"/>
    <n v="328540.7463839408"/>
    <x v="3"/>
    <n v="7.2463654058622901E-6"/>
    <n v="2169358.489752423"/>
    <n v="0.15144603712843946"/>
  </r>
  <r>
    <x v="4"/>
    <n v="1000"/>
    <n v="25"/>
    <x v="0"/>
    <n v="18.620524914350479"/>
    <n v="3.1220031272790396"/>
    <n v="20.819719183914966"/>
    <n v="18.271624070251331"/>
    <m/>
    <n v="0.65414988639401284"/>
    <n v="0.27"/>
    <n v="124.03388427592276"/>
    <n v="54.039659124364682"/>
    <n v="2.8892508581906355"/>
    <m/>
    <m/>
    <m/>
    <m/>
    <m/>
    <m/>
    <m/>
    <m/>
    <m/>
    <m/>
    <m/>
    <n v="0.15812775301647791"/>
    <m/>
    <m/>
    <m/>
    <m/>
    <m/>
    <m/>
    <m/>
    <m/>
    <m/>
    <m/>
    <m/>
    <n v="1670.2106635931584"/>
    <n v="0.14995414201797003"/>
    <n v="0.14538169030005157"/>
    <n v="271.91973847655925"/>
    <n v="225.58523449784022"/>
    <x v="5"/>
    <n v="14.644015877877388"/>
    <n v="3.9965468373646496"/>
    <n v="0.3"/>
    <n v="1"/>
    <n v="0.4"/>
    <x v="0"/>
    <n v="0.56769333926021071"/>
    <n v="0.27"/>
    <n v="225.58523449784022"/>
    <n v="0.56769333926021071"/>
    <n v="39.499646808685341"/>
    <n v="208.20101084879306"/>
    <n v="97587.11161162809"/>
    <n v="47.076071521194912"/>
    <n v="327222.00060410087"/>
    <x v="3"/>
    <n v="7.1780001194144903E-6"/>
    <n v="2175871.1161162807"/>
    <n v="0.15038666499151865"/>
  </r>
  <r>
    <x v="5"/>
    <n v="1000"/>
    <n v="25"/>
    <x v="0"/>
    <n v="18.442806841163371"/>
    <n v="3.352531755046753"/>
    <n v="20.764043172241266"/>
    <n v="18.324795056487478"/>
    <m/>
    <n v="0.66511928874777471"/>
    <n v="0.27"/>
    <n v="124.51762276189663"/>
    <n v="54.250416556013057"/>
    <n v="2.7159490867773606"/>
    <m/>
    <m/>
    <m/>
    <m/>
    <m/>
    <m/>
    <m/>
    <m/>
    <m/>
    <m/>
    <m/>
    <n v="0.14821170323625751"/>
    <m/>
    <m/>
    <m/>
    <m/>
    <m/>
    <m/>
    <m/>
    <m/>
    <m/>
    <m/>
    <m/>
    <n v="1551.5435070126612"/>
    <n v="0.16145852362359933"/>
    <n v="0.11488071860851615"/>
    <n v="239.46125107371847"/>
    <n v="193.56896362398328"/>
    <x v="5"/>
    <n v="14.644015877877388"/>
    <n v="3.9965468373646496"/>
    <n v="0.3"/>
    <n v="1"/>
    <n v="0.4"/>
    <x v="0"/>
    <n v="0.57409586307083349"/>
    <n v="0.27"/>
    <n v="193.56896362398328"/>
    <n v="0.57409586307083349"/>
    <n v="40.696693159172824"/>
    <n v="209.5170966356483"/>
    <n v="99001.667633801728"/>
    <n v="48.471084786159302"/>
    <n v="326615.80976984539"/>
    <x v="3"/>
    <n v="7.0678018069395293E-6"/>
    <n v="2190016.676338017"/>
    <n v="0.14913850350947466"/>
  </r>
  <r>
    <x v="6"/>
    <n v="1000"/>
    <n v="25"/>
    <x v="0"/>
    <n v="18.001146566371727"/>
    <n v="3.8257414949985984"/>
    <n v="20.568264839467879"/>
    <n v="18.341804582032271"/>
    <m/>
    <n v="0.69430048969431546"/>
    <n v="0.27"/>
    <n v="124.98815940985783"/>
    <n v="54.455422149523123"/>
    <n v="2.3579136301779506"/>
    <m/>
    <m/>
    <m/>
    <m/>
    <m/>
    <m/>
    <m/>
    <m/>
    <m/>
    <m/>
    <m/>
    <n v="0.12855407000071167"/>
    <m/>
    <m/>
    <m/>
    <m/>
    <m/>
    <m/>
    <m/>
    <m/>
    <m/>
    <m/>
    <m/>
    <n v="1319.5384841401205"/>
    <n v="0.18600215063632825"/>
    <n v="8.3872530080508059E-2"/>
    <n v="185.37494279601819"/>
    <n v="140.58166905114462"/>
    <x v="5"/>
    <n v="14.644015877877388"/>
    <n v="3.9965468373646496"/>
    <n v="0.3"/>
    <n v="1"/>
    <n v="0.4"/>
    <x v="0"/>
    <n v="0.59450849364016223"/>
    <n v="0.27"/>
    <n v="140.58166905114462"/>
    <n v="0.59450849364016223"/>
    <n v="42.954982375573408"/>
    <n v="210.80508294163508"/>
    <n v="101173.05028578803"/>
    <n v="50.893927297106202"/>
    <n v="321881.87411117996"/>
    <x v="3"/>
    <n v="6.8456456510031627E-6"/>
    <n v="2211730.5028578802"/>
    <n v="0.14553394895773303"/>
  </r>
  <r>
    <x v="7"/>
    <n v="1000"/>
    <n v="25"/>
    <x v="0"/>
    <n v="17.352436412993189"/>
    <n v="5.551476372883573"/>
    <n v="20.85553870699988"/>
    <n v="18.87437766405796"/>
    <m/>
    <n v="0.92054400006275428"/>
    <n v="0.27"/>
    <n v="133.24514068428437"/>
    <n v="58.052862123858333"/>
    <n v="1.324625085132574"/>
    <m/>
    <m/>
    <m/>
    <m/>
    <m/>
    <m/>
    <m/>
    <m/>
    <m/>
    <m/>
    <m/>
    <n v="7.0181126430198915E-2"/>
    <m/>
    <m/>
    <m/>
    <m/>
    <m/>
    <m/>
    <m/>
    <m/>
    <m/>
    <m/>
    <m/>
    <n v="702.476999027445"/>
    <n v="0.26618714821402789"/>
    <n v="5.4798927488606597E-2"/>
    <n v="83.343503089527019"/>
    <n v="40.164456461156433"/>
    <x v="5"/>
    <n v="14.644015877877388"/>
    <n v="3.9965468373646496"/>
    <n v="0.3"/>
    <n v="1"/>
    <n v="0.4"/>
    <x v="0"/>
    <n v="0.88600728159944753"/>
    <n v="0.27"/>
    <n v="40.164456461156433"/>
    <n v="0.88600728159944753"/>
    <n v="49.870957263373903"/>
    <n v="234.76900316905329"/>
    <n v="115037.55818091263"/>
    <n v="56.176639856908665"/>
    <n v="340653.06078881631"/>
    <x v="3"/>
    <n v="6.1891794804630366E-6"/>
    <n v="2350375.5818091263"/>
    <n v="0.14493558536998138"/>
  </r>
  <r>
    <x v="8"/>
    <n v="1000"/>
    <n v="25"/>
    <x v="0"/>
    <n v="11.941121129032609"/>
    <n v="3.5497019606741929"/>
    <n v="14.137738646165506"/>
    <n v="12.782650803817488"/>
    <m/>
    <n v="0.80765188749219974"/>
    <n v="0.27"/>
    <n v="88.912168408157456"/>
    <n v="38.737666733844534"/>
    <n v="1.2918372471084538"/>
    <m/>
    <m/>
    <m/>
    <m/>
    <m/>
    <m/>
    <m/>
    <m/>
    <m/>
    <m/>
    <m/>
    <n v="0.10106176464764662"/>
    <m/>
    <m/>
    <m/>
    <m/>
    <m/>
    <m/>
    <m/>
    <m/>
    <m/>
    <m/>
    <m/>
    <n v="719.47775361085837"/>
    <n v="0.25107989682897108"/>
    <n v="4.0242776954327542E-2"/>
    <n v="103.2729341072843"/>
    <n v="73.559130056632014"/>
    <x v="5"/>
    <n v="14.644015877877388"/>
    <n v="3.9965468373646496"/>
    <n v="0.3"/>
    <n v="1"/>
    <n v="0.4"/>
    <x v="0"/>
    <n v="0.71812197903099051"/>
    <n v="0.27"/>
    <n v="73.559130056632014"/>
    <n v="0.71812197903099051"/>
    <n v="34.749611991207516"/>
    <n v="129.24425040812326"/>
    <n v="60459.391074562656"/>
    <n v="39.462364310197202"/>
    <n v="675792.6611350415"/>
    <x v="3"/>
    <n v="4.4870723105423428E-6"/>
    <n v="1804593.9107456265"/>
    <n v="0.37448461790265924"/>
  </r>
  <r>
    <x v="9"/>
    <n v="1000"/>
    <n v="25"/>
    <x v="0"/>
    <n v="3.9576026490883698"/>
    <n v="0.79495325032056374"/>
    <n v="4.4659340458784049"/>
    <n v="3.9184664901492829"/>
    <m/>
    <n v="0.6427802677982275"/>
    <n v="0.27"/>
    <n v="26.797728080086141"/>
    <n v="11.675358707091469"/>
    <n v="0.9851411269907886"/>
    <m/>
    <m/>
    <m/>
    <m/>
    <m/>
    <m/>
    <m/>
    <m/>
    <m/>
    <m/>
    <m/>
    <n v="0.25140986390144104"/>
    <m/>
    <m/>
    <m/>
    <m/>
    <m/>
    <m/>
    <m/>
    <m/>
    <m/>
    <m/>
    <m/>
    <n v="777.697593048366"/>
    <n v="0.17800380438986182"/>
    <n v="3.7682555686860235E-2"/>
    <n v="294.97520598189226"/>
    <n v="285.12702955297163"/>
    <x v="5"/>
    <n v="14.644015877877388"/>
    <n v="3.9965468373646496"/>
    <n v="0.3"/>
    <n v="1"/>
    <n v="0.4"/>
    <x v="0"/>
    <n v="0.53481088886747363"/>
    <n v="0.27"/>
    <n v="285.12702955297163"/>
    <n v="0.53481088886747363"/>
    <n v="9.7519447112865834"/>
    <n v="33.139360773304404"/>
    <n v="12524.800523322161"/>
    <n v="11.202547878596926"/>
    <n v="880293.16377118661"/>
    <x v="3"/>
    <n v="1.4081310213143099E-6"/>
    <n v="1325248.0052332217"/>
    <n v="0.66424786930071222"/>
  </r>
  <r>
    <x v="0"/>
    <n v="100"/>
    <n v="25"/>
    <x v="0"/>
    <n v="3.252158653330377"/>
    <n v="0.89151221233717726"/>
    <n v="3.9209944244767905"/>
    <n v="0.89089598693052607"/>
    <m/>
    <n v="0.14514584835762717"/>
    <n v="0.08"/>
    <n v="17.921704605107706"/>
    <n v="10.010761427921199"/>
    <n v="0.32019466486722004"/>
    <m/>
    <m/>
    <m/>
    <m/>
    <m/>
    <m/>
    <m/>
    <m/>
    <m/>
    <m/>
    <m/>
    <n v="0.35940746121262918"/>
    <m/>
    <m/>
    <m/>
    <m/>
    <m/>
    <m/>
    <m/>
    <m/>
    <m/>
    <m/>
    <m/>
    <n v="536.36187023644447"/>
    <n v="0.2273689059009919"/>
    <n v="0.20790235529212031"/>
    <n v="384.35727845044937"/>
    <n v="376.26453780283435"/>
    <x v="6"/>
    <n v="4.8813386259591285"/>
    <n v="1.3321822791215501"/>
    <n v="0.1"/>
    <n v="0"/>
    <n v="0.2"/>
    <x v="0"/>
    <n v="8.2942398518651511E-2"/>
    <n v="0.08"/>
    <n v="376.26453780283435"/>
    <n v="8.2942398518651511E-2"/>
    <n v="10.114275247127354"/>
    <n v="69.866176557647648"/>
    <n v="26063.242448987472"/>
    <n v="19.36568943348238"/>
    <n v="18650.909051342096"/>
    <x v="0"/>
    <n v="1.9925853027821685E-6"/>
    <n v="1460632.4244898746"/>
    <n v="1.2769064097598627E-2"/>
  </r>
  <r>
    <x v="0"/>
    <n v="200"/>
    <n v="25"/>
    <x v="0"/>
    <n v="5.9361727858657893"/>
    <n v="1.6466983880672732"/>
    <n v="7.0899363990298667"/>
    <n v="1.6459487741598942"/>
    <m/>
    <n v="0.14235497228221775"/>
    <n v="0.08"/>
    <n v="33.172684393504277"/>
    <n v="18.529701091739447"/>
    <n v="0.51718396000487954"/>
    <m/>
    <m/>
    <m/>
    <m/>
    <m/>
    <m/>
    <m/>
    <m/>
    <m/>
    <m/>
    <m/>
    <n v="0.31421631591715515"/>
    <m/>
    <m/>
    <m/>
    <m/>
    <m/>
    <m/>
    <m/>
    <m/>
    <m/>
    <m/>
    <m/>
    <n v="618.22811854796578"/>
    <n v="0.23225855570334805"/>
    <n v="0.23195110226608356"/>
    <n v="374.40765433804194"/>
    <n v="359.63613854552614"/>
    <x v="6"/>
    <n v="4.8813386259591285"/>
    <n v="1.3321822791215501"/>
    <n v="0.1"/>
    <n v="0"/>
    <n v="0.2"/>
    <x v="0"/>
    <n v="8.3714059580380237E-2"/>
    <n v="0.08"/>
    <n v="359.63613854552614"/>
    <n v="8.3714059580380237E-2"/>
    <n v="18.510296054306096"/>
    <n v="101.66063609845347"/>
    <n v="42239.46148921999"/>
    <n v="30.505131553722919"/>
    <n v="51470.565928751326"/>
    <x v="0"/>
    <n v="3.332036663509986E-6"/>
    <n v="1622394.6148921999"/>
    <n v="3.1725059647200134E-2"/>
  </r>
  <r>
    <x v="0"/>
    <n v="300"/>
    <n v="25"/>
    <x v="0"/>
    <n v="8.2117886862932181"/>
    <n v="2.3241100363251284"/>
    <n v="9.7841019387829018"/>
    <n v="2.3104708907625828"/>
    <m/>
    <n v="0.14100454497870696"/>
    <n v="0.08"/>
    <n v="46.630457049488932"/>
    <n v="26.046985545354854"/>
    <n v="0.66145502615912344"/>
    <m/>
    <m/>
    <m/>
    <m/>
    <m/>
    <m/>
    <m/>
    <m/>
    <m/>
    <m/>
    <m/>
    <n v="0.28628580814571819"/>
    <m/>
    <m/>
    <m/>
    <m/>
    <m/>
    <m/>
    <m/>
    <m/>
    <m/>
    <m/>
    <m/>
    <n v="676.79715157041653"/>
    <n v="0.23753943395792512"/>
    <n v="0.24515629392708765"/>
    <n v="366.5038634956054"/>
    <n v="346.06963849085452"/>
    <x v="6"/>
    <n v="4.8813386259591285"/>
    <n v="1.3321822791215501"/>
    <n v="0.1"/>
    <n v="0"/>
    <n v="0.2"/>
    <x v="0"/>
    <n v="8.4790082600522398E-2"/>
    <n v="0.08"/>
    <n v="346.06963849085452"/>
    <n v="8.4790082600522398E-2"/>
    <n v="25.880241254510366"/>
    <n v="124.52732462398899"/>
    <n v="55470.859402059774"/>
    <n v="39.575969106858899"/>
    <n v="88770.868588465586"/>
    <x v="0"/>
    <n v="4.2320332537843844E-6"/>
    <n v="1754708.5940205976"/>
    <n v="5.0590091648815137E-2"/>
  </r>
  <r>
    <x v="0"/>
    <n v="400"/>
    <n v="25"/>
    <x v="0"/>
    <n v="10.17505964294009"/>
    <n v="2.9424464109174142"/>
    <n v="12.121552015780743"/>
    <n v="2.904193613890147"/>
    <m/>
    <n v="0.1401094234391069"/>
    <n v="0.08"/>
    <n v="58.679324796806092"/>
    <n v="32.777279518651909"/>
    <n v="0.77531598191760764"/>
    <m/>
    <m/>
    <m/>
    <m/>
    <m/>
    <m/>
    <m/>
    <m/>
    <m/>
    <m/>
    <m/>
    <n v="0.26696428854103749"/>
    <m/>
    <m/>
    <m/>
    <m/>
    <m/>
    <m/>
    <m/>
    <m/>
    <m/>
    <m/>
    <m/>
    <n v="722.27241223215162"/>
    <n v="0.24274502201423689"/>
    <n v="0.25395490187894409"/>
    <n v="359.9335962107541"/>
    <n v="334.61442127334772"/>
    <x v="6"/>
    <n v="4.8813386259591285"/>
    <n v="1.3321822791215501"/>
    <n v="0.1"/>
    <n v="0"/>
    <n v="0.2"/>
    <x v="0"/>
    <n v="8.5641116262917802E-2"/>
    <n v="0.08"/>
    <n v="334.61442127334772"/>
    <n v="8.5641116262917802E-2"/>
    <n v="32.476420447127687"/>
    <n v="142.71483904746813"/>
    <n v="66874.923552350083"/>
    <n v="47.392827905311115"/>
    <n v="127602.90091088491"/>
    <x v="0"/>
    <n v="4.8669976693500424E-6"/>
    <n v="1868749.2355235009"/>
    <n v="6.8282516715057792E-2"/>
  </r>
  <r>
    <x v="0"/>
    <n v="600"/>
    <n v="25"/>
    <x v="0"/>
    <n v="13.385254193423886"/>
    <n v="4.0328813331903817"/>
    <n v="15.97887667602404"/>
    <n v="3.9208906389617342"/>
    <m/>
    <n v="0.13890711035327216"/>
    <n v="0.08"/>
    <n v="79.364417784394362"/>
    <n v="44.33162301308132"/>
    <n v="0.94727040957152209"/>
    <m/>
    <m/>
    <m/>
    <m/>
    <m/>
    <m/>
    <m/>
    <m/>
    <m/>
    <m/>
    <m/>
    <n v="0.241595723216183"/>
    <m/>
    <m/>
    <m/>
    <m/>
    <m/>
    <m/>
    <m/>
    <m/>
    <m/>
    <m/>
    <m/>
    <n v="789.89528828473374"/>
    <n v="0.25238828829824023"/>
    <n v="0.26540876389656154"/>
    <n v="349.56739936952289"/>
    <n v="316.26008349897251"/>
    <x v="6"/>
    <n v="4.8813386259591285"/>
    <n v="1.3321822791215501"/>
    <n v="0.1"/>
    <n v="0"/>
    <n v="0.2"/>
    <x v="0"/>
    <n v="8.6810742258180557E-2"/>
    <n v="0.08"/>
    <n v="316.26008349897251"/>
    <n v="8.6810742258180557E-2"/>
    <n v="43.825538960133407"/>
    <n v="170.46070103642666"/>
    <n v="85719.316869069517"/>
    <n v="60.412025365558065"/>
    <n v="204521.58379271033"/>
    <x v="0"/>
    <n v="5.6759889031370953E-6"/>
    <n v="2057193.1686906952"/>
    <n v="9.9417782882721947E-2"/>
  </r>
  <r>
    <x v="0"/>
    <n v="800"/>
    <n v="25"/>
    <x v="0"/>
    <n v="15.866549184802432"/>
    <n v="4.9532317886764172"/>
    <n v="18.996458893473854"/>
    <n v="4.7510592544395971"/>
    <m/>
    <n v="0.13815676748094569"/>
    <n v="0.08"/>
    <n v="96.305598084326647"/>
    <n v="53.794680128847311"/>
    <n v="1.0713710795773963"/>
    <m/>
    <m/>
    <m/>
    <m/>
    <m/>
    <m/>
    <m/>
    <m/>
    <m/>
    <m/>
    <m/>
    <n v="0.22550151917727829"/>
    <m/>
    <m/>
    <m/>
    <m/>
    <m/>
    <m/>
    <m/>
    <m/>
    <m/>
    <m/>
    <m/>
    <n v="838.03389991795279"/>
    <n v="0.2607450060273116"/>
    <n v="0.27276169550505386"/>
    <n v="341.82999502395876"/>
    <n v="302.34836012925444"/>
    <x v="6"/>
    <n v="4.8813386259591285"/>
    <n v="1.3321822791215501"/>
    <n v="0.1"/>
    <n v="0"/>
    <n v="0.2"/>
    <x v="0"/>
    <n v="8.758174103179428E-2"/>
    <n v="0.08"/>
    <n v="302.34836012925444"/>
    <n v="8.758174103179428E-2"/>
    <n v="53.15045247980963"/>
    <n v="190.5089784336414"/>
    <n v="100466.15645865219"/>
    <n v="70.808547299643649"/>
    <n v="275925.54476249072"/>
    <x v="0"/>
    <n v="6.1443786639325259E-6"/>
    <n v="2204661.5645865221"/>
    <n v="0.12515551102930383"/>
  </r>
  <r>
    <x v="0"/>
    <n v="1000"/>
    <n v="25"/>
    <x v="0"/>
    <n v="17.794615935075385"/>
    <n v="5.7205082344555604"/>
    <n v="21.365592014302909"/>
    <n v="5.4278495345714326"/>
    <m/>
    <n v="0.13781531097284763"/>
    <n v="0.08"/>
    <n v="110.15490832298822"/>
    <n v="61.530670861614688"/>
    <n v="1.1626024496341323"/>
    <m/>
    <m/>
    <m/>
    <m/>
    <m/>
    <m/>
    <m/>
    <m/>
    <m/>
    <m/>
    <m/>
    <n v="0.21419209250905075"/>
    <m/>
    <m/>
    <m/>
    <m/>
    <m/>
    <m/>
    <m/>
    <m/>
    <m/>
    <m/>
    <m/>
    <n v="873.02215151687312"/>
    <n v="0.26774396097360853"/>
    <n v="0.27804246245040515"/>
    <n v="336.00036563390228"/>
    <n v="291.72092669980663"/>
    <x v="6"/>
    <n v="4.8813386259591285"/>
    <n v="1.3321822791215501"/>
    <n v="0.1"/>
    <n v="0"/>
    <n v="0.2"/>
    <x v="0"/>
    <n v="8.8208921935113982E-2"/>
    <n v="0.08"/>
    <n v="291.72092669980663"/>
    <n v="8.8208921935113982E-2"/>
    <n v="60.7671600366576"/>
    <n v="205.20286101875129"/>
    <n v="111934.43148086878"/>
    <n v="79.085923781146874"/>
    <n v="338981.31830891356"/>
    <x v="0"/>
    <n v="6.4344109365241478E-6"/>
    <n v="2319344.3148086877"/>
    <n v="0.14615394365750933"/>
  </r>
  <r>
    <x v="0"/>
    <n v="1300"/>
    <n v="25"/>
    <x v="0"/>
    <n v="19.924159186663008"/>
    <n v="6.6220722474993723"/>
    <n v="24.007156039914491"/>
    <n v="6.2126244345880481"/>
    <m/>
    <n v="0.13645511353936043"/>
    <n v="0.08"/>
    <n v="126.26441248016307"/>
    <n v="70.529167734151045"/>
    <n v="1.2781496156244048"/>
    <m/>
    <m/>
    <m/>
    <m/>
    <m/>
    <m/>
    <m/>
    <m/>
    <m/>
    <m/>
    <m/>
    <n v="0.20573424791436912"/>
    <m/>
    <m/>
    <m/>
    <m/>
    <m/>
    <m/>
    <m/>
    <m/>
    <m/>
    <m/>
    <m/>
    <n v="919.26761141414943"/>
    <n v="0.27583743099305313"/>
    <n v="0.28370365333254716"/>
    <n v="329.77122799575432"/>
    <n v="280.19280360194711"/>
    <x v="6"/>
    <n v="4.8813386259591285"/>
    <n v="1.3321822791215501"/>
    <n v="0.1"/>
    <n v="0"/>
    <n v="0.2"/>
    <x v="0"/>
    <n v="8.8494911785987118E-2"/>
    <n v="0.08"/>
    <n v="280.19280360194711"/>
    <n v="8.8494911785987118E-2"/>
    <n v="69.572384605866006"/>
    <n v="220.30304579346986"/>
    <n v="124495.94222829492"/>
    <n v="88.481246007248416"/>
    <n v="416714.41043537646"/>
    <x v="0"/>
    <n v="6.6944588430092961E-6"/>
    <n v="2444959.4222829491"/>
    <n v="0.17043817031788397"/>
  </r>
  <r>
    <x v="0"/>
    <n v="1600"/>
    <n v="25"/>
    <x v="0"/>
    <n v="21.386693103951696"/>
    <n v="7.2767219081102574"/>
    <n v="25.836681816151341"/>
    <n v="6.7840521609444169"/>
    <m/>
    <n v="0.13681349490719397"/>
    <n v="0.08"/>
    <n v="138.03660410449035"/>
    <n v="77.104915099238482"/>
    <n v="1.3420208972824303"/>
    <m/>
    <m/>
    <m/>
    <m/>
    <m/>
    <m/>
    <m/>
    <m/>
    <m/>
    <m/>
    <m/>
    <n v="0.19781995560240589"/>
    <m/>
    <m/>
    <m/>
    <m/>
    <m/>
    <m/>
    <m/>
    <m/>
    <m/>
    <m/>
    <m/>
    <n v="943.47766407151244"/>
    <n v="0.28164305152998959"/>
    <n v="0.28778436282234593"/>
    <n v="325.68500632136829"/>
    <n v="272.46721543029804"/>
    <x v="6"/>
    <n v="4.8813386259591285"/>
    <n v="1.3321822791215501"/>
    <n v="0.1"/>
    <n v="0"/>
    <n v="0.2"/>
    <x v="0"/>
    <n v="8.9268758608357923E-2"/>
    <n v="0.08"/>
    <n v="272.46721543029804"/>
    <n v="8.9268758608357923E-2"/>
    <n v="75.861348935845598"/>
    <n v="229.77032992083701"/>
    <n v="132801.84467409624"/>
    <n v="94.880773336969085"/>
    <n v="474790.33032773039"/>
    <x v="0"/>
    <n v="6.8484422600473533E-6"/>
    <n v="2528018.4467409626"/>
    <n v="0.18781126021442379"/>
  </r>
  <r>
    <x v="0"/>
    <n v="1900"/>
    <n v="25"/>
    <x v="0"/>
    <n v="22.425866737596881"/>
    <n v="7.7599621045645808"/>
    <n v="27.144263534531905"/>
    <n v="7.2063002673597385"/>
    <m/>
    <n v="0.13725763227598001"/>
    <n v="0.08"/>
    <n v="146.76270100940536"/>
    <n v="81.979165413973021"/>
    <n v="1.3852420923417705"/>
    <m/>
    <m/>
    <m/>
    <m/>
    <m/>
    <m/>
    <m/>
    <m/>
    <m/>
    <m/>
    <m/>
    <n v="0.19222652969597934"/>
    <m/>
    <m/>
    <m/>
    <m/>
    <m/>
    <m/>
    <m/>
    <m/>
    <m/>
    <m/>
    <m/>
    <n v="959.67790397445401"/>
    <n v="0.28587852806146868"/>
    <n v="0.29071798001448612"/>
    <n v="322.8604067196689"/>
    <n v="267.0568578035693"/>
    <x v="6"/>
    <n v="4.8813386259591285"/>
    <n v="1.3321822791215501"/>
    <n v="0.1"/>
    <n v="0"/>
    <n v="0.2"/>
    <x v="0"/>
    <n v="8.9919429193406702E-2"/>
    <n v="0.08"/>
    <n v="267.0568578035693"/>
    <n v="8.9919429193406702E-2"/>
    <n v="80.454784311094301"/>
    <n v="235.90838147100573"/>
    <n v="138514.94211620762"/>
    <n v="99.457916390087718"/>
    <n v="518410.41537346027"/>
    <x v="0"/>
    <n v="6.9479021013021323E-6"/>
    <n v="2585149.4211620763"/>
    <n v="0.20053402373175955"/>
  </r>
  <r>
    <x v="0"/>
    <n v="1000"/>
    <n v="25"/>
    <x v="1"/>
    <n v="12.045498029369893"/>
    <n v="9.6113775747974124"/>
    <n v="17.665193203062763"/>
    <n v="5.710147520353364"/>
    <m/>
    <n v="0.15919343719399565"/>
    <n v="0.08"/>
    <n v="116.40623375841092"/>
    <n v="65.022555641619178"/>
    <n v="0.78176632926736289"/>
    <m/>
    <m/>
    <m/>
    <m/>
    <m/>
    <m/>
    <m/>
    <m/>
    <m/>
    <m/>
    <m/>
    <n v="0.13690825438061266"/>
    <m/>
    <m/>
    <m/>
    <m/>
    <m/>
    <m/>
    <m/>
    <m/>
    <m/>
    <m/>
    <m/>
    <n v="519.12217204410319"/>
    <n v="0.54408561878230732"/>
    <n v="0.28825600911132104"/>
    <n v="158.21249983129383"/>
    <n v="128.23900741042121"/>
    <x v="6"/>
    <n v="4.8813386259591285"/>
    <n v="1.3321822791215501"/>
    <n v="0.1"/>
    <n v="0"/>
    <n v="0.2"/>
    <x v="0"/>
    <n v="8.2515380611997688E-2"/>
    <n v="0.08"/>
    <n v="128.23900741042121"/>
    <n v="8.2515380611997688E-2"/>
    <n v="83.578798176526817"/>
    <n v="224.7245637463723"/>
    <n v="135049.92567272927"/>
    <n v="100.87799077129344"/>
    <n v="238400.27519871245"/>
    <x v="1"/>
    <n v="4.0791948691564162E-6"/>
    <n v="2550499.2567272927"/>
    <n v="9.347200340086316E-2"/>
  </r>
  <r>
    <x v="0"/>
    <n v="1000"/>
    <n v="25"/>
    <x v="2"/>
    <n v="15.56878430214538"/>
    <n v="7.2725731621881708"/>
    <n v="19.958617124434358"/>
    <n v="5.5400098589050746"/>
    <m/>
    <n v="0.13982022605788472"/>
    <n v="0.08"/>
    <n v="112.58932688680417"/>
    <n v="62.890495944945108"/>
    <n v="1.0389120409715842"/>
    <m/>
    <m/>
    <m/>
    <m/>
    <m/>
    <m/>
    <m/>
    <m/>
    <m/>
    <m/>
    <m/>
    <n v="0.18752891554906265"/>
    <m/>
    <m/>
    <m/>
    <m/>
    <m/>
    <m/>
    <m/>
    <m/>
    <m/>
    <m/>
    <m/>
    <n v="725.51535132550327"/>
    <n v="0.36438261813664014"/>
    <n v="0.28204327236152948"/>
    <n v="244.80001536009354"/>
    <n v="206.05933083971175"/>
    <x v="6"/>
    <n v="4.8813386259591285"/>
    <n v="1.3321822791215501"/>
    <n v="0.1"/>
    <n v="0"/>
    <n v="0.2"/>
    <x v="0"/>
    <n v="8.3262303345692124E-2"/>
    <n v="0.08"/>
    <n v="206.05933083971175"/>
    <n v="8.3262303345692124E-2"/>
    <n v="70.01301686212625"/>
    <n v="212.59466213903247"/>
    <n v="121599.18837535297"/>
    <n v="88.823834338924186"/>
    <n v="303970.62193867459"/>
    <x v="1"/>
    <n v="5.4717441188824989E-6"/>
    <n v="2415991.8837535297"/>
    <n v="0.1258160774391428"/>
  </r>
  <r>
    <x v="0"/>
    <n v="1000"/>
    <n v="25"/>
    <x v="0"/>
    <n v="17.791377227123331"/>
    <n v="5.7187319369382674"/>
    <n v="21.361273166577821"/>
    <n v="5.4273374592539909"/>
    <m/>
    <n v="0.13787118571795498"/>
    <n v="0.08"/>
    <n v="110.14458032086884"/>
    <n v="61.524901814109306"/>
    <n v="1.1620738476813193"/>
    <m/>
    <m/>
    <m/>
    <m/>
    <m/>
    <m/>
    <m/>
    <m/>
    <m/>
    <m/>
    <m/>
    <n v="0.2141149055878038"/>
    <m/>
    <m/>
    <m/>
    <m/>
    <m/>
    <m/>
    <m/>
    <m/>
    <m/>
    <m/>
    <m/>
    <n v="872.79146701410411"/>
    <n v="0.26771493872780411"/>
    <n v="0.2781025107697907"/>
    <n v="336.02583026713205"/>
    <n v="291.7545431734452"/>
    <x v="6"/>
    <n v="4.8813386259591285"/>
    <n v="1.3321822791215501"/>
    <n v="0.1"/>
    <n v="0"/>
    <n v="0.2"/>
    <x v="0"/>
    <n v="8.8237645300167505E-2"/>
    <n v="0.08"/>
    <n v="291.7545431734452"/>
    <n v="8.8237645300167505E-2"/>
    <n v="60.750356197511067"/>
    <n v="205.1720392275804"/>
    <n v="111890.68121020235"/>
    <n v="79.039949166561996"/>
    <n v="338822.1721524751"/>
    <x v="1"/>
    <n v="6.4347096780443025E-6"/>
    <n v="2318906.8121020235"/>
    <n v="0.14611288835938274"/>
  </r>
  <r>
    <x v="0"/>
    <n v="1000"/>
    <n v="25"/>
    <x v="3"/>
    <n v="19.234946057105354"/>
    <n v="4.6585295650420502"/>
    <n v="22.245792718821136"/>
    <n v="5.3557959807245155"/>
    <m/>
    <n v="0.13851568668615064"/>
    <n v="0.08"/>
    <n v="108.60748471610671"/>
    <n v="60.666306176571865"/>
    <n v="1.245379814251832"/>
    <m/>
    <m/>
    <m/>
    <m/>
    <m/>
    <m/>
    <m/>
    <m/>
    <m/>
    <m/>
    <m/>
    <n v="0.23252936047861944"/>
    <m/>
    <m/>
    <m/>
    <m/>
    <m/>
    <m/>
    <m/>
    <m/>
    <m/>
    <m/>
    <m/>
    <n v="1004.926950830347"/>
    <n v="0.20941171321355898"/>
    <n v="0.27518065078061976"/>
    <n v="430.10065932128384"/>
    <n v="382.23704370443096"/>
    <x v="6"/>
    <n v="4.8813386259591285"/>
    <n v="1.3321822791215501"/>
    <n v="0.1"/>
    <n v="0"/>
    <n v="0.2"/>
    <x v="0"/>
    <n v="9.3322589921520274E-2"/>
    <n v="0.08"/>
    <n v="382.23704370443096"/>
    <n v="9.3322589921520274E-2"/>
    <n v="54.339026284554095"/>
    <n v="200.63367837962303"/>
    <n v="105290.27891840196"/>
    <n v="71.999073298278674"/>
    <n v="357913.69365146244"/>
    <x v="1"/>
    <n v="7.1034316245873851E-6"/>
    <n v="2252902.7891840199"/>
    <n v="0.15886779286251201"/>
  </r>
  <r>
    <x v="0"/>
    <n v="1000"/>
    <n v="25"/>
    <x v="4"/>
    <n v="20.251273247044612"/>
    <n v="3.918184758273572"/>
    <n v="22.872041293447591"/>
    <n v="5.3075293985370999"/>
    <m/>
    <n v="0.13971025966915693"/>
    <n v="0.08"/>
    <n v="107.57597455847421"/>
    <n v="60.090122028575507"/>
    <n v="1.3014295662471813"/>
    <m/>
    <m/>
    <m/>
    <m/>
    <m/>
    <m/>
    <m/>
    <m/>
    <m/>
    <m/>
    <m/>
    <n v="0.24520440086603965"/>
    <m/>
    <m/>
    <m/>
    <m/>
    <m/>
    <m/>
    <m/>
    <m/>
    <m/>
    <m/>
    <m/>
    <n v="1126.1081000057234"/>
    <n v="0.17130892288988908"/>
    <n v="0.2728756727397797"/>
    <n v="525.78571389778426"/>
    <n v="475.39331688213235"/>
    <x v="6"/>
    <n v="4.8813386259591285"/>
    <n v="1.3321822791215501"/>
    <n v="0.1"/>
    <n v="0"/>
    <n v="0.2"/>
    <x v="0"/>
    <n v="9.7840546661709646E-2"/>
    <n v="0.08"/>
    <n v="475.39331688213235"/>
    <n v="9.7840546661709646E-2"/>
    <n v="49.864560663525936"/>
    <n v="197.64113247744024"/>
    <n v="100748.91060317984"/>
    <n v="67.029134429036034"/>
    <n v="369920.5892964878"/>
    <x v="1"/>
    <n v="7.5902413710556103E-6"/>
    <n v="2207489.1060317983"/>
    <n v="0.16757527286803253"/>
  </r>
  <r>
    <x v="0"/>
    <n v="1000"/>
    <n v="25"/>
    <x v="5"/>
    <n v="20.996592881137978"/>
    <n v="3.3754126103476176"/>
    <n v="23.331440060114431"/>
    <n v="5.2728071559421403"/>
    <m/>
    <n v="0.14096159002666489"/>
    <n v="0.08"/>
    <n v="106.83674103192536"/>
    <n v="59.677198669059123"/>
    <n v="1.3401928688321973"/>
    <m/>
    <m/>
    <m/>
    <m/>
    <m/>
    <m/>
    <m/>
    <m/>
    <m/>
    <m/>
    <m/>
    <n v="0.25417065885329782"/>
    <m/>
    <m/>
    <m/>
    <m/>
    <m/>
    <m/>
    <m/>
    <m/>
    <m/>
    <m/>
    <m/>
    <n v="1240.4003654328765"/>
    <n v="0.14467227919282846"/>
    <n v="0.27110196914280715"/>
    <n v="622.55093923689765"/>
    <n v="570.30393101677828"/>
    <x v="6"/>
    <n v="4.8813386259591285"/>
    <n v="1.3321822791215501"/>
    <n v="0.1"/>
    <n v="0"/>
    <n v="0.2"/>
    <x v="0"/>
    <n v="0.10180089211676931"/>
    <n v="0.08"/>
    <n v="570.30393101677828"/>
    <n v="0.10180089211676931"/>
    <n v="46.582185692549395"/>
    <n v="195.52192969306984"/>
    <n v="97433.500392931732"/>
    <n v="63.334419827988349"/>
    <n v="377822.50613500003"/>
    <x v="1"/>
    <n v="7.9579117391871392E-6"/>
    <n v="2174335.0039293175"/>
    <n v="0.17376462479435029"/>
  </r>
  <r>
    <x v="0"/>
    <n v="1000"/>
    <n v="25"/>
    <x v="6"/>
    <n v="21.56838516916422"/>
    <n v="2.9631676317634037"/>
    <n v="23.686245383808227"/>
    <n v="5.2472029536944946"/>
    <m/>
    <n v="0.1420156417977958"/>
    <n v="0.08"/>
    <n v="106.29255813798315"/>
    <n v="59.373227297783508"/>
    <n v="1.3688554131482613"/>
    <m/>
    <m/>
    <m/>
    <m/>
    <m/>
    <m/>
    <m/>
    <m/>
    <m/>
    <m/>
    <m/>
    <n v="0.26087335009301788"/>
    <m/>
    <m/>
    <m/>
    <m/>
    <m/>
    <m/>
    <m/>
    <m/>
    <m/>
    <m/>
    <m/>
    <n v="1350.7644751698422"/>
    <n v="0.12510077404623221"/>
    <n v="0.26962847983261445"/>
    <n v="720.00702157815863"/>
    <n v="666.33676859571199"/>
    <x v="6"/>
    <n v="4.8813386259591285"/>
    <n v="1.3321822791215501"/>
    <n v="0.1"/>
    <n v="0"/>
    <n v="0.2"/>
    <x v="0"/>
    <n v="0.10520856115623296"/>
    <n v="0.08"/>
    <n v="666.33676859571199"/>
    <n v="0.10520856115623296"/>
    <n v="44.09441402925826"/>
    <n v="193.97516040951331"/>
    <n v="94956.084057743632"/>
    <n v="60.535399095409211"/>
    <n v="383498.17218942137"/>
    <x v="1"/>
    <n v="8.2441062161091072E-6"/>
    <n v="2149560.8405774366"/>
    <n v="0.17840768446749442"/>
  </r>
  <r>
    <x v="0"/>
    <n v="1000"/>
    <n v="25"/>
    <x v="7"/>
    <n v="22.018136887458144"/>
    <n v="2.6397193450766152"/>
    <n v="23.965798239466391"/>
    <n v="5.2274528372513478"/>
    <m/>
    <n v="0.14291724840866787"/>
    <n v="0.08"/>
    <n v="105.87348334533185"/>
    <n v="59.139139198346136"/>
    <n v="1.3899191295437578"/>
    <m/>
    <m/>
    <m/>
    <m/>
    <m/>
    <m/>
    <m/>
    <m/>
    <m/>
    <m/>
    <m/>
    <n v="0.26588841120460355"/>
    <m/>
    <m/>
    <m/>
    <m/>
    <m/>
    <m/>
    <m/>
    <m/>
    <m/>
    <m/>
    <m/>
    <n v="1458.1446772368211"/>
    <n v="0.11014527113599658"/>
    <n v="0.26842904200549728"/>
    <n v="817.97408833651002"/>
    <n v="763.18511246494222"/>
    <x v="6"/>
    <n v="4.8813386259591285"/>
    <n v="1.3321822791215501"/>
    <n v="0.1"/>
    <n v="0"/>
    <n v="0.2"/>
    <x v="0"/>
    <n v="0.10818460176865113"/>
    <n v="0.08"/>
    <n v="763.18511246494222"/>
    <n v="0.10818460176865113"/>
    <n v="42.143370735113535"/>
    <n v="192.7915461265442"/>
    <n v="93024.218657455858"/>
    <n v="58.329125661431888"/>
    <n v="387660.02399439563"/>
    <x v="1"/>
    <n v="8.4727867288087993E-6"/>
    <n v="2130242.1865745587"/>
    <n v="0.18197931974005035"/>
  </r>
  <r>
    <x v="0"/>
    <n v="1000"/>
    <n v="25"/>
    <x v="8"/>
    <n v="22.382457094884888"/>
    <n v="2.3797556148135524"/>
    <n v="24.193410808147782"/>
    <n v="5.2119342713019208"/>
    <m/>
    <n v="0.14364204456937146"/>
    <n v="0.08"/>
    <n v="105.54444601738686"/>
    <n v="58.955344505624829"/>
    <n v="1.406079493636156"/>
    <m/>
    <m/>
    <m/>
    <m/>
    <m/>
    <m/>
    <m/>
    <m/>
    <m/>
    <m/>
    <m/>
    <n v="0.26978074174464273"/>
    <m/>
    <m/>
    <m/>
    <m/>
    <m/>
    <m/>
    <m/>
    <m/>
    <m/>
    <m/>
    <m/>
    <n v="1563.6412231851214"/>
    <n v="9.8363791434158007E-2"/>
    <n v="0.26740335780084956"/>
    <n v="916.29702304802629"/>
    <n v="860.60147636704301"/>
    <x v="6"/>
    <n v="4.8813386259591285"/>
    <n v="1.3321822791215501"/>
    <n v="0.1"/>
    <n v="0"/>
    <n v="0.2"/>
    <x v="0"/>
    <n v="0.11077814352573533"/>
    <n v="0.08"/>
    <n v="860.60147636704301"/>
    <n v="0.11077814352573533"/>
    <n v="40.578192788090078"/>
    <n v="191.86677997885388"/>
    <n v="91491.526268815098"/>
    <n v="56.563582363593333"/>
    <n v="390896.67906617653"/>
    <x v="1"/>
    <n v="8.6594192863139133E-6"/>
    <n v="2114915.2626881511"/>
    <n v="0.18482852999478075"/>
  </r>
  <r>
    <x v="0"/>
    <n v="1000"/>
    <n v="25"/>
    <x v="9"/>
    <n v="22.682259440187746"/>
    <n v="2.1662392866711437"/>
    <n v="24.380956990895331"/>
    <n v="5.199357490664978"/>
    <m/>
    <n v="0.14424768664443147"/>
    <n v="0.08"/>
    <n v="105.27802539070007"/>
    <n v="58.806526444396496"/>
    <n v="1.4182368147088162"/>
    <m/>
    <m/>
    <m/>
    <m/>
    <m/>
    <m/>
    <m/>
    <m/>
    <m/>
    <m/>
    <m/>
    <n v="0.27277155249569679"/>
    <m/>
    <m/>
    <m/>
    <m/>
    <m/>
    <m/>
    <m/>
    <m/>
    <m/>
    <m/>
    <m/>
    <n v="1667.578242727639"/>
    <n v="8.8849641442708349E-2"/>
    <n v="0.26654087098913787"/>
    <n v="1014.9013832062096"/>
    <n v="958.45983537323104"/>
    <x v="6"/>
    <n v="4.8813386259591285"/>
    <n v="1.3321822791215501"/>
    <n v="0.1"/>
    <n v="0"/>
    <n v="0.2"/>
    <x v="0"/>
    <n v="0.11307291748085611"/>
    <n v="0.08"/>
    <n v="958.45983537323104"/>
    <n v="0.11307291748085611"/>
    <n v="39.29327365005026"/>
    <n v="191.12090524176597"/>
    <n v="90238.910330862956"/>
    <n v="55.110257707039516"/>
    <n v="393431.72460403491"/>
    <x v="1"/>
    <n v="8.814532500524973E-6"/>
    <n v="2102389.1033086297"/>
    <n v="0.18713554212437303"/>
  </r>
  <r>
    <x v="0"/>
    <n v="1000"/>
    <n v="25"/>
    <x v="0"/>
    <n v="17.788589461033919"/>
    <n v="5.7172068962628941"/>
    <n v="21.357557880233397"/>
    <n v="5.4268960242784221"/>
    <m/>
    <n v="0.13791922569219578"/>
    <n v="0.08"/>
    <n v="110.13567733368293"/>
    <n v="61.519928755871931"/>
    <n v="1.1616190193113152"/>
    <m/>
    <m/>
    <m/>
    <m/>
    <m/>
    <m/>
    <m/>
    <m/>
    <m/>
    <m/>
    <m/>
    <n v="0.21404851209873102"/>
    <m/>
    <m/>
    <m/>
    <m/>
    <m/>
    <m/>
    <m/>
    <m/>
    <m/>
    <m/>
    <m/>
    <n v="872.59283764194822"/>
    <n v="0.26769010428641837"/>
    <n v="0.27815399328565554"/>
    <n v="336.04769339850679"/>
    <n v="291.78332798629043"/>
    <x v="6"/>
    <n v="4.8813386259591285"/>
    <n v="1.3321822791215501"/>
    <n v="0.1"/>
    <n v="0"/>
    <n v="0.2"/>
    <x v="0"/>
    <n v="8.8262328343402696E-2"/>
    <n v="0.08"/>
    <n v="291.78332798629043"/>
    <n v="8.8262328343402696E-2"/>
    <n v="60.73592172702196"/>
    <n v="205.14547366186386"/>
    <n v="111853.10491862378"/>
    <n v="79.000514765348555"/>
    <n v="338685.36633244669"/>
    <x v="2"/>
    <n v="6.4349643887162724E-6"/>
    <n v="2318531.0491862381"/>
    <n v="0.14607756340003256"/>
  </r>
  <r>
    <x v="0"/>
    <n v="1000"/>
    <n v="25"/>
    <x v="0"/>
    <n v="17.198696154171248"/>
    <n v="5.4560675624792063"/>
    <n v="20.599521427973226"/>
    <n v="5.2356841233583546"/>
    <m/>
    <n v="0.13982362024819195"/>
    <n v="0.08"/>
    <n v="106.29019253682151"/>
    <n v="59.371905912938445"/>
    <n v="1.1221900975731973"/>
    <m/>
    <m/>
    <m/>
    <m/>
    <m/>
    <m/>
    <m/>
    <m/>
    <m/>
    <m/>
    <m/>
    <n v="0.21433495053047327"/>
    <m/>
    <m/>
    <m/>
    <m/>
    <m/>
    <m/>
    <m/>
    <m/>
    <m/>
    <m/>
    <m/>
    <n v="856.76077214608654"/>
    <n v="0.26486380188765507"/>
    <n v="0.27948206016112037"/>
    <n v="338.46225355482113"/>
    <n v="295.66572335948774"/>
    <x v="6"/>
    <n v="4.8813386259591285"/>
    <n v="1.3321822791215501"/>
    <n v="0.1"/>
    <n v="0"/>
    <n v="0.2"/>
    <x v="1"/>
    <n v="8.9303362728124447E-2"/>
    <n v="0.08"/>
    <n v="295.66572335948774"/>
    <n v="8.9303362728124447E-2"/>
    <n v="58.182128532633953"/>
    <n v="193.96846077337142"/>
    <n v="104765.38790202068"/>
    <n v="75.148136251579174"/>
    <n v="386674.46671418584"/>
    <x v="2"/>
    <n v="6.2601848502527196E-6"/>
    <n v="2247653.8790202066"/>
    <n v="0.17203470263968948"/>
  </r>
  <r>
    <x v="0"/>
    <n v="1000"/>
    <n v="25"/>
    <x v="0"/>
    <n v="15.023709564864028"/>
    <n v="4.5602599251298113"/>
    <n v="17.853474639153763"/>
    <n v="4.5440311340264019"/>
    <m/>
    <n v="0.14746442949979977"/>
    <n v="0.08"/>
    <n v="92.352286667637912"/>
    <n v="51.586427157672404"/>
    <n v="0.9752072013700781"/>
    <m/>
    <m/>
    <m/>
    <m/>
    <m/>
    <m/>
    <m/>
    <m/>
    <m/>
    <m/>
    <m/>
    <n v="0.21461279040708525"/>
    <m/>
    <m/>
    <m/>
    <m/>
    <m/>
    <m/>
    <m/>
    <m/>
    <m/>
    <m/>
    <m/>
    <n v="797.31072151053922"/>
    <n v="0.25542702567985742"/>
    <n v="0.28395640810301825"/>
    <n v="347.09149314421006"/>
    <n v="309.70712082549983"/>
    <x v="6"/>
    <n v="4.8813386259591285"/>
    <n v="1.3321822791215501"/>
    <n v="0.1"/>
    <n v="0"/>
    <n v="0.2"/>
    <x v="2"/>
    <n v="9.3434468998158299E-2"/>
    <n v="0.08"/>
    <n v="309.70712082549983"/>
    <n v="9.3434468998158299E-2"/>
    <n v="49.275881632578034"/>
    <n v="157.71479100888519"/>
    <n v="81945.336125051923"/>
    <n v="62.139253681046142"/>
    <n v="509122.11319316085"/>
    <x v="2"/>
    <n v="5.647608424117547E-6"/>
    <n v="2019453.3612505193"/>
    <n v="0.25210887409546007"/>
  </r>
  <r>
    <x v="0"/>
    <n v="1000"/>
    <n v="25"/>
    <x v="0"/>
    <n v="12.999914117987565"/>
    <n v="3.8069174261471068"/>
    <n v="15.354724423390431"/>
    <n v="3.9127362608179572"/>
    <m/>
    <n v="0.15530898630331993"/>
    <n v="0.08"/>
    <n v="79.596207161903607"/>
    <n v="44.461096643570144"/>
    <n v="0.83824964116024026"/>
    <m/>
    <m/>
    <m/>
    <m/>
    <m/>
    <m/>
    <m/>
    <m/>
    <m/>
    <m/>
    <m/>
    <n v="0.21423617266373179"/>
    <m/>
    <m/>
    <m/>
    <m/>
    <m/>
    <m/>
    <m/>
    <m/>
    <m/>
    <m/>
    <m/>
    <n v="741.54214953089718"/>
    <n v="0.24793134159724065"/>
    <n v="0.28739266405869729"/>
    <n v="354.76601965270606"/>
    <n v="322.41732895077763"/>
    <x v="6"/>
    <n v="4.8813386259591285"/>
    <n v="1.3321822791215501"/>
    <n v="0.1"/>
    <n v="0"/>
    <n v="0.2"/>
    <x v="3"/>
    <n v="9.7681171718531773E-2"/>
    <n v="0.08"/>
    <n v="322.41732895077763"/>
    <n v="9.7681171718531773E-2"/>
    <n v="41.597595984650773"/>
    <n v="129.07108678555556"/>
    <n v="64403.429930904014"/>
    <n v="51.469550146169688"/>
    <n v="577884.93435240234"/>
    <x v="2"/>
    <n v="5.056258881395874E-6"/>
    <n v="1844034.2993090402"/>
    <n v="0.313380794798088"/>
  </r>
  <r>
    <x v="0"/>
    <n v="1000"/>
    <n v="25"/>
    <x v="0"/>
    <n v="11.88124017566208"/>
    <n v="3.4178847331777109"/>
    <n v="13.992241157567792"/>
    <n v="3.567482001632547"/>
    <m/>
    <n v="0.16002271590179282"/>
    <n v="0.08"/>
    <n v="72.607456536917951"/>
    <n v="40.557298610540009"/>
    <n v="0.76242671560140929"/>
    <m/>
    <m/>
    <m/>
    <m/>
    <m/>
    <m/>
    <m/>
    <m/>
    <m/>
    <m/>
    <m/>
    <n v="0.21371564460661846"/>
    <m/>
    <m/>
    <m/>
    <m/>
    <m/>
    <m/>
    <m/>
    <m/>
    <m/>
    <m/>
    <m/>
    <n v="710.54000724304888"/>
    <n v="0.24426999897218943"/>
    <n v="0.28902107950125039"/>
    <n v="358.89144073447875"/>
    <n v="329.32664944234398"/>
    <x v="6"/>
    <n v="4.8813386259591285"/>
    <n v="1.3321822791215501"/>
    <n v="0.1"/>
    <n v="0"/>
    <n v="0.2"/>
    <x v="4"/>
    <n v="0.10027210611686788"/>
    <n v="0.08"/>
    <n v="329.32664944234398"/>
    <n v="0.10027210611686788"/>
    <n v="37.560504535897223"/>
    <n v="114.78328566483812"/>
    <n v="55909.513627401473"/>
    <n v="46.040160461904023"/>
    <n v="604130.96701345732"/>
    <x v="2"/>
    <n v="4.7082533300220637E-6"/>
    <n v="1759095.1362740146"/>
    <n v="0.34343279937268367"/>
  </r>
  <r>
    <x v="0"/>
    <n v="1000"/>
    <n v="25"/>
    <x v="0"/>
    <n v="10.449655288336263"/>
    <n v="2.9431616907991156"/>
    <n v="12.264583806999607"/>
    <n v="3.1343282811040183"/>
    <m/>
    <n v="0.1671447833179148"/>
    <n v="0.08"/>
    <n v="63.827859720138846"/>
    <n v="35.653164148851403"/>
    <n v="0.66396722612329695"/>
    <m/>
    <m/>
    <m/>
    <m/>
    <m/>
    <m/>
    <m/>
    <m/>
    <m/>
    <m/>
    <m/>
    <n v="0.21183716783151535"/>
    <m/>
    <m/>
    <m/>
    <m/>
    <m/>
    <m/>
    <m/>
    <m/>
    <m/>
    <m/>
    <m/>
    <n v="670.13825368146206"/>
    <n v="0.23997240649286469"/>
    <n v="0.29154054435050109"/>
    <n v="364.15711128064135"/>
    <n v="338.15464061981396"/>
    <x v="6"/>
    <n v="4.8813386259591285"/>
    <n v="1.3321822791215501"/>
    <n v="0.1"/>
    <n v="0"/>
    <n v="0.2"/>
    <x v="5"/>
    <n v="0.1042764970925936"/>
    <n v="0.08"/>
    <n v="338.15464061981396"/>
    <n v="0.1042764970925936"/>
    <n v="32.567635085002749"/>
    <n v="97.979369643507454"/>
    <n v="46083.598868923516"/>
    <n v="39.359699662006797"/>
    <n v="620694.03974880802"/>
    <x v="2"/>
    <n v="4.2531511499510909E-6"/>
    <n v="1660835.9886892352"/>
    <n v="0.37372386194417195"/>
  </r>
  <r>
    <x v="0"/>
    <n v="1000"/>
    <n v="25"/>
    <x v="0"/>
    <n v="8.7014709189332358"/>
    <n v="2.3979989779256612"/>
    <n v="10.176986771625304"/>
    <n v="2.5971845982416886"/>
    <m/>
    <n v="0.17554134368262439"/>
    <n v="0.08"/>
    <n v="52.924652412859807"/>
    <n v="29.562816742878098"/>
    <n v="0.54598762261145239"/>
    <m/>
    <m/>
    <m/>
    <m/>
    <m/>
    <m/>
    <m/>
    <m/>
    <m/>
    <m/>
    <m/>
    <n v="0.21022287864370121"/>
    <m/>
    <m/>
    <m/>
    <m/>
    <m/>
    <m/>
    <m/>
    <m/>
    <m/>
    <m/>
    <m/>
    <n v="621.61709094168634"/>
    <n v="0.23562956617095923"/>
    <n v="0.29273956952304109"/>
    <n v="370.27572687522053"/>
    <n v="348.62327963596022"/>
    <x v="6"/>
    <n v="4.8813386259591285"/>
    <n v="1.3321822791215501"/>
    <n v="0.1"/>
    <n v="0"/>
    <n v="0.2"/>
    <x v="6"/>
    <n v="0.10931159893541324"/>
    <n v="0.08"/>
    <n v="348.62327963596022"/>
    <n v="0.10931159893541324"/>
    <n v="26.732092619860509"/>
    <n v="78.595097025305307"/>
    <n v="35491.290343748704"/>
    <n v="32.011448466390107"/>
    <n v="644631.4940221312"/>
    <x v="2"/>
    <n v="3.6192649796439504E-6"/>
    <n v="1554912.9034374871"/>
    <n v="0.41457723618926007"/>
  </r>
  <r>
    <x v="0"/>
    <n v="1000"/>
    <n v="25"/>
    <x v="0"/>
    <n v="7.5634329920374537"/>
    <n v="2.0577658045704288"/>
    <n v="8.8278411358916209"/>
    <n v="2.2460677304070433"/>
    <m/>
    <n v="0.17966487039201412"/>
    <n v="0.08"/>
    <n v="45.788606143538345"/>
    <n v="25.57674185129526"/>
    <n v="0.47741976165305866"/>
    <m/>
    <m/>
    <m/>
    <m/>
    <m/>
    <m/>
    <m/>
    <m/>
    <m/>
    <m/>
    <m/>
    <n v="0.21255804319246344"/>
    <m/>
    <m/>
    <m/>
    <m/>
    <m/>
    <m/>
    <m/>
    <m/>
    <m/>
    <m/>
    <m/>
    <n v="594.05198057272685"/>
    <n v="0.23309955094276766"/>
    <n v="0.29273248104399535"/>
    <n v="374.16264513912711"/>
    <n v="355.3420997461975"/>
    <x v="6"/>
    <n v="4.8813386259591285"/>
    <n v="1.3321822791215501"/>
    <n v="0.1"/>
    <n v="0"/>
    <n v="0.2"/>
    <x v="7"/>
    <n v="0.11232570912052663"/>
    <n v="0.08"/>
    <n v="355.3420997461975"/>
    <n v="0.11232570912052663"/>
    <n v="23.044950545257322"/>
    <n v="66.657996145713312"/>
    <n v="29326.640881837451"/>
    <n v="27.552100481867807"/>
    <n v="647641.07038114895"/>
    <x v="2"/>
    <n v="3.1916460954404178E-6"/>
    <n v="1493266.4088183744"/>
    <n v="0.4337076536085942"/>
  </r>
  <r>
    <x v="0"/>
    <n v="1000"/>
    <n v="25"/>
    <x v="0"/>
    <n v="6.1521738309434886"/>
    <n v="1.6504072210759693"/>
    <n v="7.1646367078866326"/>
    <n v="1.8168416333808166"/>
    <m/>
    <n v="0.18573389712472174"/>
    <n v="0.08"/>
    <n v="37.056103501629956"/>
    <n v="20.698913400093026"/>
    <n v="0.39000414972914355"/>
    <m/>
    <m/>
    <m/>
    <m/>
    <m/>
    <m/>
    <m/>
    <m/>
    <m/>
    <m/>
    <m/>
    <n v="0.21466050896434805"/>
    <m/>
    <m/>
    <m/>
    <m/>
    <m/>
    <m/>
    <m/>
    <m/>
    <m/>
    <m/>
    <m/>
    <n v="558.67996177192231"/>
    <n v="0.23035462764765824"/>
    <n v="0.29277507352539045"/>
    <n v="378.98668846065561"/>
    <n v="363.67788690735063"/>
    <x v="6"/>
    <n v="4.8813386259591285"/>
    <n v="1.3321822791215501"/>
    <n v="0.1"/>
    <n v="0"/>
    <n v="0.2"/>
    <x v="8"/>
    <n v="0.11723541522206465"/>
    <n v="0.08"/>
    <n v="363.67788690735063"/>
    <n v="0.11723541522206465"/>
    <n v="18.578956974224209"/>
    <n v="52.736443906985066"/>
    <n v="22397.480212915383"/>
    <n v="22.167262655078755"/>
    <n v="641513.22837248584"/>
    <x v="2"/>
    <n v="2.6336165131951282E-6"/>
    <n v="1423974.8021291539"/>
    <n v="0.45050883443533074"/>
  </r>
  <r>
    <x v="0"/>
    <n v="1000"/>
    <n v="25"/>
    <x v="0"/>
    <n v="4.2307125586234626"/>
    <n v="1.1187832855113302"/>
    <n v="4.9154781266597487"/>
    <n v="1.2420397150953504"/>
    <m/>
    <n v="0.1983465809248815"/>
    <n v="0.08"/>
    <n v="25.347728810492249"/>
    <n v="14.158813095779051"/>
    <n v="0.26078436058106158"/>
    <m/>
    <m/>
    <m/>
    <m/>
    <m/>
    <m/>
    <m/>
    <m/>
    <m/>
    <m/>
    <m/>
    <n v="0.20996459083519836"/>
    <m/>
    <m/>
    <m/>
    <m/>
    <m/>
    <m/>
    <m/>
    <m/>
    <m/>
    <m/>
    <m/>
    <n v="505.41994899877858"/>
    <n v="0.22760416315219886"/>
    <n v="0.292893146068053"/>
    <n v="385.55544021627441"/>
    <n v="375.02776870824772"/>
    <x v="6"/>
    <n v="4.8813386259591285"/>
    <n v="1.3321822791215501"/>
    <n v="0.1"/>
    <n v="0"/>
    <n v="0.2"/>
    <x v="9"/>
    <n v="0.12872334343549532"/>
    <n v="0.08"/>
    <n v="375.02776870824772"/>
    <n v="0.12872334343549532"/>
    <n v="12.664465601795635"/>
    <n v="35.083937707601009"/>
    <n v="14123.584722118208"/>
    <n v="15.065632404647275"/>
    <n v="610140.92869276856"/>
    <x v="2"/>
    <n v="1.8221518334845185E-6"/>
    <n v="1341235.8472211822"/>
    <n v="0.45490950003825142"/>
  </r>
  <r>
    <x v="0"/>
    <n v="1000"/>
    <n v="25"/>
    <x v="0"/>
    <n v="17.796310717919066"/>
    <n v="5.7214357835281549"/>
    <n v="21.367850996242602"/>
    <n v="5.4281177473294697"/>
    <m/>
    <n v="0.1377862771123351"/>
    <n v="0.08"/>
    <n v="110.16031768178092"/>
    <n v="61.533692438052022"/>
    <n v="1.1628769417311693"/>
    <m/>
    <m/>
    <m/>
    <m/>
    <m/>
    <m/>
    <m/>
    <m/>
    <m/>
    <m/>
    <m/>
    <n v="0.21423207746428907"/>
    <m/>
    <m/>
    <m/>
    <m/>
    <m/>
    <m/>
    <m/>
    <m/>
    <m/>
    <m/>
    <m/>
    <n v="873.14192168769807"/>
    <n v="0.26775906405067279"/>
    <n v="0.27801108147899739"/>
    <n v="335.98704546867674"/>
    <n v="291.70345082211441"/>
    <x v="6"/>
    <n v="4.8813386259591285"/>
    <n v="1.3321822791215501"/>
    <n v="0.1"/>
    <n v="0"/>
    <n v="0.2"/>
    <x v="0"/>
    <n v="8.8193986999121371E-2"/>
    <n v="0.08"/>
    <n v="291.70345082211441"/>
    <n v="8.8193986999121371E-2"/>
    <n v="60.77593759816947"/>
    <n v="205.21900590555518"/>
    <n v="111957.3103400988"/>
    <n v="79.109948718227599"/>
    <n v="339064.57941575046"/>
    <x v="3"/>
    <n v="6.4342550904384326E-6"/>
    <n v="2319573.103400988"/>
    <n v="0.1461754229339052"/>
  </r>
  <r>
    <x v="1"/>
    <n v="1000"/>
    <n v="25"/>
    <x v="0"/>
    <n v="17.658425336848463"/>
    <n v="5.8233146795602737"/>
    <n v="21.283852694966512"/>
    <n v="5.4350954570360983"/>
    <m/>
    <n v="0.13657996157424618"/>
    <n v="0.08"/>
    <n v="110.31103779290406"/>
    <n v="61.61788214590009"/>
    <n v="1.171292549944507"/>
    <m/>
    <m/>
    <m/>
    <m/>
    <m/>
    <m/>
    <m/>
    <m/>
    <m/>
    <m/>
    <m/>
    <n v="0.21550542381517693"/>
    <m/>
    <m/>
    <m/>
    <m/>
    <m/>
    <m/>
    <m/>
    <m/>
    <m/>
    <m/>
    <m/>
    <n v="870.33174316939255"/>
    <n v="0.27360247052158221"/>
    <n v="0.24740673710267405"/>
    <n v="328.62593176062057"/>
    <n v="284.68546819713964"/>
    <x v="6"/>
    <n v="4.8813386259591285"/>
    <n v="1.3321822791215501"/>
    <n v="0.1"/>
    <n v="0"/>
    <n v="0.2"/>
    <x v="0"/>
    <n v="8.7289825971742716E-2"/>
    <n v="0.08"/>
    <n v="284.68546819713964"/>
    <n v="8.7289825971742716E-2"/>
    <n v="61.399962940889345"/>
    <n v="205.66933885615234"/>
    <n v="112635.72409294678"/>
    <n v="79.838668479011574"/>
    <n v="337194.14862733195"/>
    <x v="3"/>
    <n v="6.3705764627282535E-6"/>
    <n v="2326357.2409294676"/>
    <n v="0.14494512824376454"/>
  </r>
  <r>
    <x v="2"/>
    <n v="1000"/>
    <n v="25"/>
    <x v="0"/>
    <n v="17.466754876370764"/>
    <n v="5.9533468947907355"/>
    <n v="21.16067438051493"/>
    <n v="5.4440888011509818"/>
    <m/>
    <n v="0.13666364166268216"/>
    <n v="0.08"/>
    <n v="110.50559431099964"/>
    <n v="61.726558130122427"/>
    <n v="1.1606861368670147"/>
    <m/>
    <m/>
    <m/>
    <m/>
    <m/>
    <m/>
    <m/>
    <m/>
    <m/>
    <m/>
    <m/>
    <n v="0.2132011764065318"/>
    <m/>
    <m/>
    <m/>
    <m/>
    <m/>
    <m/>
    <m/>
    <m/>
    <m/>
    <m/>
    <m/>
    <n v="856.30929780562417"/>
    <n v="0.28134013064690733"/>
    <n v="0.21678912014764007"/>
    <n v="319.42974414732913"/>
    <n v="275.96622937211674"/>
    <x v="6"/>
    <n v="4.8813386259591285"/>
    <n v="1.3321822791215501"/>
    <n v="0.1"/>
    <n v="0"/>
    <n v="0.2"/>
    <x v="0"/>
    <n v="8.6810347527102497E-2"/>
    <n v="0.08"/>
    <n v="275.96622937211674"/>
    <n v="8.6810347527102497E-2"/>
    <n v="62.17060744149525"/>
    <n v="206.25205447151833"/>
    <n v="113421.91839800455"/>
    <n v="80.646368228000895"/>
    <n v="334259.27142414241"/>
    <x v="3"/>
    <n v="6.2871302150913605E-6"/>
    <n v="2334219.1839800454"/>
    <n v="0.14319960769673801"/>
  </r>
  <r>
    <x v="3"/>
    <n v="1000"/>
    <n v="25"/>
    <x v="0"/>
    <n v="17.216822204434663"/>
    <n v="6.1366137019457598"/>
    <n v="21.007789956433545"/>
    <n v="5.4582678724067213"/>
    <m/>
    <n v="0.13664514829179769"/>
    <n v="0.08"/>
    <n v="110.80992959991646"/>
    <n v="61.896554681152253"/>
    <n v="1.147704554370911"/>
    <m/>
    <m/>
    <m/>
    <m/>
    <m/>
    <m/>
    <m/>
    <m/>
    <m/>
    <m/>
    <m/>
    <n v="0.21026900496637813"/>
    <m/>
    <m/>
    <m/>
    <m/>
    <m/>
    <m/>
    <m/>
    <m/>
    <m/>
    <m/>
    <m/>
    <n v="838.46833914041008"/>
    <n v="0.29211134130110855"/>
    <n v="0.18604264058142678"/>
    <n v="307.45765513417746"/>
    <n v="264.61606195495494"/>
    <x v="6"/>
    <n v="4.8813386259591285"/>
    <n v="1.3321822791215501"/>
    <n v="0.1"/>
    <n v="0"/>
    <n v="0.2"/>
    <x v="0"/>
    <n v="8.6101929775817682E-2"/>
    <n v="0.08"/>
    <n v="264.61606195495494"/>
    <n v="8.6101929775817682E-2"/>
    <n v="63.277938289943236"/>
    <n v="207.16676322805253"/>
    <n v="114646.04863953615"/>
    <n v="81.897597182347411"/>
    <n v="330740.48242113617"/>
    <x v="3"/>
    <n v="6.1732520810771359E-6"/>
    <n v="2346460.4863953618"/>
    <n v="0.14095293073919199"/>
  </r>
  <r>
    <x v="4"/>
    <n v="1000"/>
    <n v="25"/>
    <x v="0"/>
    <n v="16.84146809163737"/>
    <n v="6.3856286409139633"/>
    <n v="20.76332687448015"/>
    <n v="5.4749476533389219"/>
    <m/>
    <n v="0.13743312493673929"/>
    <n v="0.08"/>
    <n v="111.17338651687453"/>
    <n v="62.099575574820918"/>
    <n v="1.120671466819033"/>
    <m/>
    <m/>
    <m/>
    <m/>
    <m/>
    <m/>
    <m/>
    <m/>
    <m/>
    <m/>
    <m/>
    <n v="0.20469080944282386"/>
    <m/>
    <m/>
    <m/>
    <m/>
    <m/>
    <m/>
    <m/>
    <m/>
    <m/>
    <m/>
    <m/>
    <n v="810.1136790850893"/>
    <n v="0.30754361666204999"/>
    <n v="0.15548681515970342"/>
    <n v="291.68555498201448"/>
    <n v="249.77794567557299"/>
    <x v="6"/>
    <n v="4.8813386259591285"/>
    <n v="1.3321822791215501"/>
    <n v="0.1"/>
    <n v="0"/>
    <n v="0.2"/>
    <x v="0"/>
    <n v="8.5472072902537083E-2"/>
    <n v="0.08"/>
    <n v="249.77794567557299"/>
    <n v="8.5472072902537083E-2"/>
    <n v="64.740520470116536"/>
    <n v="208.26431745209877"/>
    <n v="116085.88640288453"/>
    <n v="83.35346750222044"/>
    <n v="324612.94588350056"/>
    <x v="3"/>
    <n v="6.0149161233496009E-6"/>
    <n v="2360858.864028845"/>
    <n v="0.13749781947131864"/>
  </r>
  <r>
    <x v="5"/>
    <n v="1000"/>
    <n v="25"/>
    <x v="0"/>
    <n v="16.270621129994957"/>
    <n v="6.7656323164564469"/>
    <n v="20.392323545354596"/>
    <n v="5.5007113107222221"/>
    <m/>
    <n v="0.13842908978123988"/>
    <n v="0.08"/>
    <n v="111.73660409176028"/>
    <n v="62.4141793973048"/>
    <n v="1.08446336380588"/>
    <m/>
    <m/>
    <m/>
    <m/>
    <m/>
    <m/>
    <m/>
    <m/>
    <m/>
    <m/>
    <m/>
    <n v="0.19714965984344562"/>
    <m/>
    <m/>
    <m/>
    <m/>
    <m/>
    <m/>
    <m/>
    <m/>
    <m/>
    <m/>
    <m/>
    <n v="771.50266706305513"/>
    <n v="0.33177348826429681"/>
    <n v="0.12492615489790811"/>
    <n v="269.75808914240895"/>
    <n v="229.27098516011546"/>
    <x v="6"/>
    <n v="4.8813386259591285"/>
    <n v="1.3321822791215501"/>
    <n v="0.1"/>
    <n v="0"/>
    <n v="0.2"/>
    <x v="0"/>
    <n v="8.4475081685651154E-2"/>
    <n v="0.08"/>
    <n v="229.27098516011546"/>
    <n v="8.4475081685651154E-2"/>
    <n v="66.974728968701854"/>
    <n v="209.97630675329455"/>
    <n v="118304.47601616677"/>
    <n v="85.578196099271921"/>
    <n v="315124.02598044102"/>
    <x v="3"/>
    <n v="5.7757430054099221E-6"/>
    <n v="2383044.7601616676"/>
    <n v="0.13223588211539206"/>
  </r>
  <r>
    <x v="6"/>
    <n v="1000"/>
    <n v="25"/>
    <x v="0"/>
    <n v="15.324052957695406"/>
    <n v="7.4291662449325173"/>
    <n v="19.79602230460074"/>
    <n v="5.550205267790834"/>
    <m/>
    <n v="0.1405404948378631"/>
    <n v="0.08"/>
    <n v="112.81596737765578"/>
    <n v="63.017093494330879"/>
    <n v="1.022811813649839"/>
    <m/>
    <m/>
    <m/>
    <m/>
    <m/>
    <m/>
    <m/>
    <m/>
    <m/>
    <m/>
    <m/>
    <n v="0.18428360111029768"/>
    <m/>
    <m/>
    <m/>
    <m/>
    <m/>
    <m/>
    <m/>
    <m/>
    <m/>
    <m/>
    <m/>
    <n v="710.59610811287359"/>
    <n v="0.37528580896809383"/>
    <n v="9.4198630406555892E-2"/>
    <n v="237.32191337010241"/>
    <n v="199.19020128795458"/>
    <x v="6"/>
    <n v="4.8813386259591285"/>
    <n v="1.3321822791215501"/>
    <n v="0.1"/>
    <n v="0"/>
    <n v="0.2"/>
    <x v="0"/>
    <n v="8.3000026651016134E-2"/>
    <n v="0.08"/>
    <n v="199.19020128795458"/>
    <n v="8.3000026651016134E-2"/>
    <n v="70.920549627830624"/>
    <n v="213.29600821544318"/>
    <n v="122459.54965091722"/>
    <n v="89.658481560186758"/>
    <n v="299540.50453918887"/>
    <x v="3"/>
    <n v="5.3739755221717686E-6"/>
    <n v="2424595.496509172"/>
    <n v="0.12354246511240921"/>
  </r>
  <r>
    <x v="7"/>
    <n v="1000"/>
    <n v="25"/>
    <x v="0"/>
    <n v="13.454019629117177"/>
    <n v="8.6445665493347121"/>
    <n v="18.563774839281951"/>
    <n v="5.6288129097610495"/>
    <m/>
    <n v="0.14867834676035091"/>
    <n v="0.08"/>
    <n v="114.58744024006933"/>
    <n v="64.006608308485596"/>
    <n v="0.89011968453380064"/>
    <m/>
    <m/>
    <m/>
    <m/>
    <m/>
    <m/>
    <m/>
    <m/>
    <m/>
    <m/>
    <m/>
    <n v="0.1581363066784871"/>
    <m/>
    <m/>
    <m/>
    <m/>
    <m/>
    <m/>
    <m/>
    <m/>
    <m/>
    <m/>
    <m/>
    <n v="599.84809030680162"/>
    <n v="0.46566857356200753"/>
    <n v="6.3542296187432332E-2"/>
    <n v="188.26670680216668"/>
    <n v="154.78824803990076"/>
    <x v="6"/>
    <n v="4.8813386259591285"/>
    <n v="1.3321822791215501"/>
    <n v="0.1"/>
    <n v="0"/>
    <n v="0.2"/>
    <x v="0"/>
    <n v="8.1937014668843164E-2"/>
    <n v="0.08"/>
    <n v="154.78824803990076"/>
    <n v="8.1937014668843164E-2"/>
    <n v="77.959564609328098"/>
    <n v="218.85863861238101"/>
    <n v="129204.38624149832"/>
    <n v="96.130135586586022"/>
    <n v="271128.21397870616"/>
    <x v="3"/>
    <n v="4.6232584727964596E-6"/>
    <n v="2492043.8624149831"/>
    <n v="0.10879752883481031"/>
  </r>
  <r>
    <x v="8"/>
    <n v="1000"/>
    <n v="25"/>
    <x v="0"/>
    <n v="9.3297263625599012"/>
    <n v="4.9874644820024745"/>
    <n v="12.253396119349912"/>
    <n v="3.5921943828245642"/>
    <m/>
    <n v="0.16286396555718849"/>
    <n v="0.08"/>
    <n v="73.372198319725101"/>
    <n v="40.98447045107261"/>
    <n v="0.6712101180705865"/>
    <m/>
    <m/>
    <m/>
    <m/>
    <m/>
    <m/>
    <m/>
    <m/>
    <m/>
    <m/>
    <m/>
    <n v="0.18685239342276627"/>
    <m/>
    <m/>
    <m/>
    <m/>
    <m/>
    <m/>
    <m/>
    <m/>
    <m/>
    <m/>
    <m/>
    <n v="520.75280637534172"/>
    <n v="0.40702711586435503"/>
    <n v="4.8684478492002033E-2"/>
    <n v="208.36343221602746"/>
    <n v="185.14774734004837"/>
    <x v="6"/>
    <n v="4.8813386259591285"/>
    <n v="1.3321822791215501"/>
    <n v="0.1"/>
    <n v="0"/>
    <n v="0.2"/>
    <x v="0"/>
    <n v="9.0630346990485014E-2"/>
    <n v="0.08"/>
    <n v="185.14774734004837"/>
    <n v="9.0630346990485014E-2"/>
    <n v="46.629987177575998"/>
    <n v="116.30471312927814"/>
    <n v="62770.153036780066"/>
    <n v="55.670293186231447"/>
    <n v="648810.49984091707"/>
    <x v="3"/>
    <n v="3.4450249460488286E-6"/>
    <n v="1827701.5303678005"/>
    <n v="0.35498711855340659"/>
  </r>
  <r>
    <x v="9"/>
    <n v="1000"/>
    <n v="25"/>
    <x v="0"/>
    <n v="3.3782880483703157"/>
    <n v="1.096741477765466"/>
    <n v="4.0350607886462821"/>
    <n v="1.0545586743143198"/>
    <m/>
    <n v="0.20102249419798487"/>
    <n v="0.08"/>
    <n v="21.548275790702331"/>
    <n v="12.03650282586915"/>
    <n v="0.23600649721124178"/>
    <m/>
    <m/>
    <m/>
    <m/>
    <m/>
    <m/>
    <m/>
    <m/>
    <m/>
    <m/>
    <m/>
    <n v="0.22379645908720497"/>
    <m/>
    <m/>
    <m/>
    <m/>
    <m/>
    <m/>
    <m/>
    <m/>
    <m/>
    <m/>
    <m/>
    <n v="429.65789251879494"/>
    <n v="0.27180296288260147"/>
    <n v="4.2260883360387462E-2"/>
    <n v="320.0611113695532"/>
    <n v="311.65464391317408"/>
    <x v="6"/>
    <n v="4.8813386259591285"/>
    <n v="1.3321822791215501"/>
    <n v="0.1"/>
    <n v="0"/>
    <n v="0.2"/>
    <x v="0"/>
    <n v="0.12698273647609037"/>
    <n v="0.08"/>
    <n v="311.65464391317408"/>
    <n v="0.12698273647609037"/>
    <n v="11.637201878735574"/>
    <n v="29.573875376376268"/>
    <n v="12137.886303256842"/>
    <n v="13.786925180917114"/>
    <n v="825442.36236495525"/>
    <x v="3"/>
    <n v="1.1941922956560014E-6"/>
    <n v="1321378.8630325685"/>
    <n v="0.6246825838204817"/>
  </r>
  <r>
    <x v="0"/>
    <n v="100"/>
    <n v="25"/>
    <x v="0"/>
    <n v="3.1068829585096158"/>
    <n v="0.38998091216951597"/>
    <n v="3.5038272140212463"/>
    <n v="4.3003321496016778"/>
    <m/>
    <n v="0.94529406988969833"/>
    <n v="0.36"/>
    <n v="21.654763532025445"/>
    <n v="7.9874127782061084"/>
    <n v="1.2010375699342548"/>
    <m/>
    <m/>
    <m/>
    <m/>
    <m/>
    <m/>
    <m/>
    <m/>
    <m/>
    <m/>
    <m/>
    <n v="0.27928948931200631"/>
    <m/>
    <m/>
    <m/>
    <m/>
    <m/>
    <m/>
    <m/>
    <m/>
    <m/>
    <m/>
    <m/>
    <n v="975.04813861497632"/>
    <n v="0.11130141081413246"/>
    <n v="0.17513845045189905"/>
    <n v="382.26041768387745"/>
    <n v="374.52935364784912"/>
    <x v="7"/>
    <n v="19.525354503836514"/>
    <n v="5.3287291164862003"/>
    <n v="0.4"/>
    <n v="0"/>
    <n v="0.5"/>
    <x v="0"/>
    <n v="0.91550446710950073"/>
    <n v="0.36"/>
    <n v="374.52935364784912"/>
    <n v="0.91550446710950073"/>
    <n v="6.0208340726870055"/>
    <n v="70.626209090276831"/>
    <n v="23918.661814001538"/>
    <n v="10.155310680472031"/>
    <n v="16556.122815008057"/>
    <x v="0"/>
    <n v="1.9289178923395801E-6"/>
    <n v="1439186.6181400153"/>
    <n v="1.1503805417816461E-2"/>
  </r>
  <r>
    <x v="0"/>
    <n v="200"/>
    <n v="25"/>
    <x v="0"/>
    <n v="5.9219572099908495"/>
    <n v="0.59108372900043216"/>
    <n v="6.5113375195405689"/>
    <n v="7.9458803759578966"/>
    <m/>
    <n v="0.99999999932410788"/>
    <n v="0.36"/>
    <n v="40.107637240626481"/>
    <n v="14.793800621542555"/>
    <n v="1.8770039455957495"/>
    <m/>
    <m/>
    <m/>
    <m/>
    <m/>
    <m/>
    <m/>
    <m/>
    <m/>
    <m/>
    <m/>
    <n v="0.23622353430779805"/>
    <m/>
    <m/>
    <m/>
    <m/>
    <m/>
    <m/>
    <m/>
    <m/>
    <m/>
    <m/>
    <m/>
    <n v="1293.9818981461578"/>
    <n v="9.0777620915301324E-2"/>
    <n v="0.19882925851755889"/>
    <n v="370.21586634610986"/>
    <n v="355.47992534828313"/>
    <x v="7"/>
    <n v="19.525354503836514"/>
    <n v="5.3287291164862003"/>
    <n v="0.4"/>
    <n v="0"/>
    <n v="0.5"/>
    <x v="0"/>
    <n v="0.99999999900000003"/>
    <n v="0.36"/>
    <n v="355.47992534828313"/>
    <n v="0.99999999900000003"/>
    <n v="10.063748361864835"/>
    <n v="102.66368204334715"/>
    <n v="37485.702549680696"/>
    <n v="14.871695976454172"/>
    <n v="46887.010850635284"/>
    <x v="0"/>
    <n v="3.438105935765062E-6"/>
    <n v="1574857.0254968069"/>
    <n v="2.9772233346607595E-2"/>
  </r>
  <r>
    <x v="0"/>
    <n v="300"/>
    <n v="25"/>
    <x v="0"/>
    <n v="8.4196837584906046"/>
    <n v="0.7313455769789835"/>
    <n v="9.1463295117434829"/>
    <n v="11.147445555995837"/>
    <m/>
    <n v="0.99999999928676853"/>
    <n v="0.36"/>
    <n v="56.370664062250128"/>
    <n v="20.792458055748"/>
    <n v="2.5472753180277827"/>
    <m/>
    <m/>
    <m/>
    <m/>
    <m/>
    <m/>
    <m/>
    <m/>
    <m/>
    <m/>
    <m/>
    <n v="0.22850753611958111"/>
    <m/>
    <m/>
    <m/>
    <m/>
    <m/>
    <m/>
    <m/>
    <m/>
    <m/>
    <m/>
    <m/>
    <n v="1613.1121352165851"/>
    <n v="7.9960554235441447E-2"/>
    <n v="0.2127564209895503"/>
    <n v="360.42571256214097"/>
    <n v="339.47447620269395"/>
    <x v="7"/>
    <n v="19.525354503836514"/>
    <n v="5.3287291164862003"/>
    <n v="0.4"/>
    <n v="0"/>
    <n v="0.5"/>
    <x v="0"/>
    <n v="0.99999999900000003"/>
    <n v="0.36"/>
    <n v="339.47447620269395"/>
    <n v="0.99999999900000003"/>
    <n v="13.339493990297136"/>
    <n v="125.47048358297315"/>
    <n v="48297.405442186886"/>
    <n v="18.918702322380881"/>
    <n v="82494.710637941753"/>
    <x v="0"/>
    <n v="4.5472866089339319E-6"/>
    <n v="1682974.0544218689"/>
    <n v="4.9017220688099161E-2"/>
  </r>
  <r>
    <x v="0"/>
    <n v="400"/>
    <n v="25"/>
    <x v="0"/>
    <n v="10.64771344156212"/>
    <n v="0.84210953354216589"/>
    <n v="11.483385648089389"/>
    <n v="14.001633675831116"/>
    <m/>
    <n v="0.99999999926132355"/>
    <n v="0.36"/>
    <n v="70.91089727279028"/>
    <n v="26.155658830127564"/>
    <n v="3.1466115179081466"/>
    <m/>
    <m/>
    <m/>
    <m/>
    <m/>
    <m/>
    <m/>
    <m/>
    <m/>
    <m/>
    <m/>
    <n v="0.22473174136384258"/>
    <m/>
    <m/>
    <m/>
    <m/>
    <m/>
    <m/>
    <m/>
    <m/>
    <m/>
    <m/>
    <m/>
    <n v="1898.8472828637716"/>
    <n v="7.3332861870948007E-2"/>
    <n v="0.22199783272671039"/>
    <n v="352.0368586000119"/>
    <n v="325.54152390969722"/>
    <x v="7"/>
    <n v="19.525354503836514"/>
    <n v="5.3287291164862003"/>
    <n v="0.4"/>
    <n v="0"/>
    <n v="0.5"/>
    <x v="0"/>
    <n v="0.99999999900000003"/>
    <n v="0.36"/>
    <n v="325.54152390969722"/>
    <n v="0.99999999900000003"/>
    <n v="16.136644778823786"/>
    <n v="143.52229253305981"/>
    <n v="57372.769205412565"/>
    <n v="22.32468336941394"/>
    <n v="120441.841451963"/>
    <x v="0"/>
    <n v="5.3916363670361459E-6"/>
    <n v="1773727.6920541257"/>
    <n v="6.7903231139432252E-2"/>
  </r>
  <r>
    <x v="0"/>
    <n v="600"/>
    <n v="25"/>
    <x v="0"/>
    <n v="14.434020828471054"/>
    <n v="1.0106381650963938"/>
    <n v="15.435771324883452"/>
    <n v="18.863086908733546"/>
    <m/>
    <n v="0.99999999922840788"/>
    <n v="0.36"/>
    <n v="95.76936997145333"/>
    <n v="35.324767612421311"/>
    <n v="4.1808503777681914"/>
    <m/>
    <m/>
    <m/>
    <m/>
    <m/>
    <m/>
    <m/>
    <m/>
    <m/>
    <m/>
    <m/>
    <n v="0.22164189763831665"/>
    <m/>
    <m/>
    <m/>
    <m/>
    <m/>
    <m/>
    <m/>
    <m/>
    <m/>
    <m/>
    <m/>
    <n v="2392.8177707958021"/>
    <n v="6.5473771528811148E-2"/>
    <n v="0.23397569716601105"/>
    <n v="338.30974326265266"/>
    <n v="302.3925819117066"/>
    <x v="7"/>
    <n v="19.525354503836514"/>
    <n v="5.3287291164862003"/>
    <n v="0.4"/>
    <n v="0"/>
    <n v="0.5"/>
    <x v="0"/>
    <n v="0.99999999900000003"/>
    <n v="0.36"/>
    <n v="302.3925819117066"/>
    <n v="0.99999999900000003"/>
    <n v="20.726832878524871"/>
    <n v="170.75654232718318"/>
    <n v="71853.330752705835"/>
    <n v="27.816023218497239"/>
    <n v="197686.94508729837"/>
    <x v="0"/>
    <n v="6.577067227783109E-6"/>
    <n v="1918533.3075270583"/>
    <n v="0.10304066356925121"/>
  </r>
  <r>
    <x v="0"/>
    <n v="800"/>
    <n v="25"/>
    <x v="0"/>
    <n v="17.474917437819009"/>
    <n v="1.133133233608177"/>
    <n v="18.596372489680206"/>
    <n v="22.784833046763925"/>
    <m/>
    <n v="0.99999999920793681"/>
    <n v="0.36"/>
    <n v="115.91837981476426"/>
    <n v="42.756779439872069"/>
    <n v="5.0324713964821548"/>
    <m/>
    <m/>
    <m/>
    <m/>
    <m/>
    <m/>
    <m/>
    <m/>
    <m/>
    <m/>
    <m/>
    <n v="0.22086935577510869"/>
    <m/>
    <m/>
    <m/>
    <m/>
    <m/>
    <m/>
    <m/>
    <m/>
    <m/>
    <m/>
    <m/>
    <n v="2800.4508612258951"/>
    <n v="6.0933025203544038E-2"/>
    <n v="0.24169675719363212"/>
    <n v="327.69899918922283"/>
    <n v="284.21516298481657"/>
    <x v="7"/>
    <n v="19.525354503836514"/>
    <n v="5.3287291164862003"/>
    <n v="0.4"/>
    <n v="0"/>
    <n v="0.5"/>
    <x v="0"/>
    <n v="0.99999999900000003"/>
    <n v="0.36"/>
    <n v="284.21516298481657"/>
    <n v="0.99999999900000003"/>
    <n v="24.313370978588097"/>
    <n v="189.95109006288126"/>
    <n v="82616.882162890499"/>
    <n v="32.004283959962002"/>
    <n v="271088.05467011203"/>
    <x v="0"/>
    <n v="7.3517935577679132E-6"/>
    <n v="2026168.8216289049"/>
    <n v="0.13379341927301758"/>
  </r>
  <r>
    <x v="0"/>
    <n v="1000"/>
    <n v="25"/>
    <x v="0"/>
    <n v="19.900008087763077"/>
    <n v="1.2241662075540367"/>
    <n v="21.108989089014894"/>
    <n v="25.927321068275923"/>
    <m/>
    <n v="0.99999999919405824"/>
    <n v="0.36"/>
    <n v="132.13923312028857"/>
    <n v="48.739881068958908"/>
    <n v="5.728864037270089"/>
    <m/>
    <m/>
    <m/>
    <m/>
    <m/>
    <m/>
    <m/>
    <m/>
    <m/>
    <m/>
    <m/>
    <n v="0.220958579645924"/>
    <m/>
    <m/>
    <m/>
    <m/>
    <m/>
    <m/>
    <m/>
    <m/>
    <m/>
    <m/>
    <m/>
    <n v="3134.4130775848234"/>
    <n v="5.7992649595479305E-2"/>
    <n v="0.24720337453462882"/>
    <n v="319.49944807498798"/>
    <n v="269.98105894977817"/>
    <x v="7"/>
    <n v="19.525354503836514"/>
    <n v="5.3287291164862003"/>
    <n v="0.4"/>
    <n v="0"/>
    <n v="0.5"/>
    <x v="0"/>
    <n v="0.99999999900000003"/>
    <n v="0.36"/>
    <n v="269.98105894977817"/>
    <n v="0.99999999900000003"/>
    <n v="27.125501251943806"/>
    <n v="203.55011097368592"/>
    <n v="90552.008995702417"/>
    <n v="35.209048016234632"/>
    <n v="336701.90322130546"/>
    <x v="0"/>
    <n v="7.883982778008197E-6"/>
    <n v="2105520.089957024"/>
    <n v="0.15991388770276607"/>
  </r>
  <r>
    <x v="0"/>
    <n v="1300"/>
    <n v="25"/>
    <x v="0"/>
    <n v="22.625198246401379"/>
    <n v="1.3199286712202212"/>
    <n v="23.92392807838198"/>
    <n v="29.478414441871546"/>
    <m/>
    <n v="0.99999999918021509"/>
    <n v="0.36"/>
    <n v="150.57277838440402"/>
    <n v="55.53913956801788"/>
    <n v="6.5338334531847764"/>
    <m/>
    <m/>
    <m/>
    <m/>
    <m/>
    <m/>
    <m/>
    <m/>
    <m/>
    <m/>
    <m/>
    <n v="0.22164806272294038"/>
    <m/>
    <m/>
    <m/>
    <m/>
    <m/>
    <m/>
    <m/>
    <m/>
    <m/>
    <m/>
    <m/>
    <n v="3521.2020639792499"/>
    <n v="5.5171904333424594E-2"/>
    <n v="0.25303556404105065"/>
    <n v="310.58490796680724"/>
    <n v="254.28533738686332"/>
    <x v="7"/>
    <n v="19.525354503836514"/>
    <n v="5.3287291164862003"/>
    <n v="0.4"/>
    <n v="0"/>
    <n v="0.5"/>
    <x v="0"/>
    <n v="0.99999999900000003"/>
    <n v="0.36"/>
    <n v="254.28533738686332"/>
    <n v="0.99999999900000003"/>
    <n v="30.241213820581859"/>
    <n v="216.84460348882504"/>
    <n v="98633.431117051601"/>
    <n v="38.661595059372594"/>
    <n v="417565.74338037078"/>
    <x v="0"/>
    <n v="8.4141302518973173E-6"/>
    <n v="2186334.3111705161"/>
    <n v="0.19098897238493007"/>
  </r>
  <r>
    <x v="0"/>
    <n v="1600"/>
    <n v="25"/>
    <x v="0"/>
    <n v="24.546870847381744"/>
    <n v="1.3833096160881186"/>
    <n v="25.902987469049361"/>
    <n v="31.997594644876806"/>
    <m/>
    <n v="0.99999999917121507"/>
    <n v="0.36"/>
    <n v="163.73594981889588"/>
    <n v="60.394407720084551"/>
    <n v="7.1184928968201717"/>
    <m/>
    <m/>
    <m/>
    <m/>
    <m/>
    <m/>
    <m/>
    <m/>
    <m/>
    <m/>
    <m/>
    <n v="0.22246962547729901"/>
    <m/>
    <m/>
    <m/>
    <m/>
    <m/>
    <m/>
    <m/>
    <m/>
    <m/>
    <m/>
    <m/>
    <n v="3802.6747611528021"/>
    <n v="5.3403477793478087E-2"/>
    <n v="0.2570613419421594"/>
    <n v="304.50967593211681"/>
    <n v="243.42831274271754"/>
    <x v="7"/>
    <n v="19.525354503836514"/>
    <n v="5.3287291164862003"/>
    <n v="0.4"/>
    <n v="0"/>
    <n v="0.5"/>
    <x v="0"/>
    <n v="0.99999999900000003"/>
    <n v="0.36"/>
    <n v="243.42831274271754"/>
    <n v="0.99999999900000003"/>
    <n v="32.411358184037553"/>
    <n v="224.78901256002266"/>
    <n v="103694.25009583136"/>
    <n v="40.995712889400643"/>
    <n v="478729.82902586763"/>
    <x v="0"/>
    <n v="8.756700455086942E-6"/>
    <n v="2236942.5009583137"/>
    <n v="0.21401078875329971"/>
  </r>
  <r>
    <x v="0"/>
    <n v="1900"/>
    <n v="25"/>
    <x v="0"/>
    <n v="25.922758648434154"/>
    <n v="1.4265307992029086"/>
    <n v="27.316677946682237"/>
    <n v="33.810195032066289"/>
    <m/>
    <n v="0.99999999916502513"/>
    <n v="0.36"/>
    <n v="173.26403615601242"/>
    <n v="63.908865795250492"/>
    <n v="7.5471094405909334"/>
    <m/>
    <m/>
    <m/>
    <m/>
    <m/>
    <m/>
    <m/>
    <m/>
    <m/>
    <m/>
    <m/>
    <n v="0.22321993213683325"/>
    <m/>
    <m/>
    <m/>
    <m/>
    <m/>
    <m/>
    <m/>
    <m/>
    <m/>
    <m/>
    <m/>
    <n v="4009.3280460889655"/>
    <n v="5.2221972305243974E-2"/>
    <n v="0.25995125873597796"/>
    <n v="300.27838766973287"/>
    <n v="235.77332579349979"/>
    <x v="7"/>
    <n v="19.525354503836514"/>
    <n v="5.3287291164862003"/>
    <n v="0.4"/>
    <n v="0"/>
    <n v="0.5"/>
    <x v="0"/>
    <n v="0.99999999900000003"/>
    <n v="0.36"/>
    <n v="235.77332579349979"/>
    <n v="0.99999999900000003"/>
    <n v="33.9515529551458"/>
    <n v="229.6485102993696"/>
    <n v="106936.04054744827"/>
    <n v="42.613049159281672"/>
    <n v="524338.71992388426"/>
    <x v="0"/>
    <n v="8.9914218722968085E-6"/>
    <n v="2269360.4054744826"/>
    <n v="0.23105132118239036"/>
  </r>
  <r>
    <x v="0"/>
    <n v="1000"/>
    <n v="25"/>
    <x v="1"/>
    <n v="19.885929090296248"/>
    <n v="1.3496253556829103"/>
    <n v="21.169438444239827"/>
    <n v="25.747725800061854"/>
    <m/>
    <n v="0.99999999917673632"/>
    <n v="0.36"/>
    <n v="133.8328824788297"/>
    <n v="49.364587799568341"/>
    <n v="5.5574483725992927"/>
    <m/>
    <m/>
    <m/>
    <m/>
    <m/>
    <m/>
    <m/>
    <m/>
    <m/>
    <m/>
    <m/>
    <n v="0.21584230062703022"/>
    <m/>
    <m/>
    <m/>
    <m/>
    <m/>
    <m/>
    <m/>
    <m/>
    <m/>
    <m/>
    <m/>
    <n v="2850.6003649683853"/>
    <n v="6.3753479301674215E-2"/>
    <n v="0.25287120839087485"/>
    <n v="121.35945718439548"/>
    <n v="71.876178668740224"/>
    <x v="7"/>
    <n v="19.525354503836514"/>
    <n v="5.3287291164862003"/>
    <n v="0.4"/>
    <n v="0"/>
    <n v="0.5"/>
    <x v="0"/>
    <n v="0.99999999899999992"/>
    <n v="0.36"/>
    <n v="71.876178668740224"/>
    <n v="0.99999999899999992"/>
    <n v="27.803108260088898"/>
    <n v="207.75131090232921"/>
    <n v="92713.756474964932"/>
    <n v="35.727359538519735"/>
    <n v="341934.10537026753"/>
    <x v="1"/>
    <n v="7.7893832487112016E-6"/>
    <n v="2127137.5647496493"/>
    <n v="0.16074846828748052"/>
  </r>
  <r>
    <x v="0"/>
    <n v="1000"/>
    <n v="25"/>
    <x v="2"/>
    <n v="19.8842290860985"/>
    <n v="1.263981620447918"/>
    <n v="21.11579149137561"/>
    <n v="25.914372854471839"/>
    <m/>
    <n v="0.99999999919398608"/>
    <n v="0.36"/>
    <n v="132.538622835712"/>
    <n v="48.887196947598696"/>
    <n v="5.7303579743192188"/>
    <m/>
    <m/>
    <m/>
    <m/>
    <m/>
    <m/>
    <m/>
    <m/>
    <m/>
    <m/>
    <m/>
    <n v="0.2211266314064157"/>
    <m/>
    <m/>
    <m/>
    <m/>
    <m/>
    <m/>
    <m/>
    <m/>
    <m/>
    <m/>
    <m/>
    <n v="3035.5592525734801"/>
    <n v="5.9859542606497604E-2"/>
    <n v="0.24811659292887278"/>
    <n v="219.85933366496499"/>
    <n v="170.38026541386932"/>
    <x v="7"/>
    <n v="19.525354503836514"/>
    <n v="5.3287291164862003"/>
    <n v="0.4"/>
    <n v="0"/>
    <n v="0.5"/>
    <x v="0"/>
    <n v="0.99999999900000003"/>
    <n v="0.36"/>
    <n v="170.38026541386932"/>
    <n v="0.99999999900000003"/>
    <n v="27.328902493875724"/>
    <n v="204.53341508716753"/>
    <n v="91033.979464816948"/>
    <n v="35.295222934093339"/>
    <n v="337618.55978369794"/>
    <x v="1"/>
    <n v="7.8584188544243788E-6"/>
    <n v="2110339.7946481695"/>
    <n v="0.15998303241966058"/>
  </r>
  <r>
    <x v="0"/>
    <n v="1000"/>
    <n v="25"/>
    <x v="0"/>
    <n v="19.899967495783386"/>
    <n v="1.2241652684390079"/>
    <n v="21.108946190479653"/>
    <n v="25.927264902653768"/>
    <m/>
    <n v="0.99999999919405824"/>
    <n v="0.36"/>
    <n v="132.13895086501662"/>
    <n v="48.739776958407774"/>
    <n v="5.7288493821266329"/>
    <m/>
    <m/>
    <m/>
    <m/>
    <m/>
    <m/>
    <m/>
    <m/>
    <m/>
    <m/>
    <m/>
    <n v="0.22095849306265469"/>
    <m/>
    <m/>
    <m/>
    <m/>
    <m/>
    <m/>
    <m/>
    <m/>
    <m/>
    <m/>
    <m/>
    <n v="3134.4058544733034"/>
    <n v="5.7992722961751578E-2"/>
    <n v="0.24720324609088026"/>
    <n v="319.49957045277841"/>
    <n v="269.98116340998769"/>
    <x v="7"/>
    <n v="19.525354503836514"/>
    <n v="5.3287291164862003"/>
    <n v="0.4"/>
    <n v="0"/>
    <n v="0.5"/>
    <x v="0"/>
    <n v="0.99999999900000003"/>
    <n v="0.36"/>
    <n v="269.98116340998769"/>
    <n v="0.99999999900000003"/>
    <n v="27.125456283197103"/>
    <n v="203.54941765143218"/>
    <n v="90551.682062566557"/>
    <n v="35.20900653927216"/>
    <n v="336700.24058586831"/>
    <x v="1"/>
    <n v="7.8839828000584416E-6"/>
    <n v="2105516.8206256656"/>
    <n v="0.15991334635161739"/>
  </r>
  <r>
    <x v="0"/>
    <n v="1000"/>
    <n v="25"/>
    <x v="3"/>
    <n v="19.916965452380385"/>
    <n v="1.1927688371214686"/>
    <n v="21.108461451494122"/>
    <n v="25.911326534312533"/>
    <m/>
    <n v="0.9999999991918842"/>
    <n v="0.36"/>
    <n v="131.85755022322218"/>
    <n v="48.635981639713108"/>
    <n v="5.696805298768929"/>
    <m/>
    <m/>
    <m/>
    <m/>
    <m/>
    <m/>
    <m/>
    <m/>
    <m/>
    <m/>
    <m/>
    <n v="0.21985772481486249"/>
    <m/>
    <m/>
    <m/>
    <m/>
    <m/>
    <m/>
    <m/>
    <m/>
    <m/>
    <m/>
    <m/>
    <n v="3218.1340185115728"/>
    <n v="5.6506668658081696E-2"/>
    <n v="0.24677780786723938"/>
    <n v="419.29191030380156"/>
    <n v="369.73136912710726"/>
    <x v="7"/>
    <n v="19.525354503836514"/>
    <n v="5.3287291164862003"/>
    <n v="0.4"/>
    <n v="0"/>
    <n v="0.5"/>
    <x v="0"/>
    <n v="0.99999999900000003"/>
    <n v="0.36"/>
    <n v="369.73136912710726"/>
    <n v="0.99999999900000003"/>
    <n v="26.969702955161541"/>
    <n v="202.85930939545997"/>
    <n v="90237.995079310262"/>
    <n v="35.185322825740514"/>
    <n v="336236.18879822892"/>
    <x v="1"/>
    <n v="7.9029789437269304E-6"/>
    <n v="2102379.9507931024"/>
    <n v="0.15993121922199985"/>
  </r>
  <r>
    <x v="0"/>
    <n v="1000"/>
    <n v="25"/>
    <x v="4"/>
    <n v="19.934146602762965"/>
    <n v="1.164742574968139"/>
    <n v="21.110168738707657"/>
    <n v="25.886296400495485"/>
    <m/>
    <n v="0.99999999918904348"/>
    <n v="0.36"/>
    <n v="131.61952747729507"/>
    <n v="48.548186364576047"/>
    <n v="5.6553243819402113"/>
    <m/>
    <m/>
    <m/>
    <m/>
    <m/>
    <m/>
    <m/>
    <m/>
    <m/>
    <m/>
    <m/>
    <n v="0.21846788333274139"/>
    <m/>
    <m/>
    <m/>
    <m/>
    <m/>
    <m/>
    <m/>
    <m/>
    <m/>
    <m/>
    <m/>
    <n v="3297.1929550130453"/>
    <n v="5.5174479625663256E-2"/>
    <n v="0.24650847521921912"/>
    <n v="519.13403145658344"/>
    <n v="469.53076404294154"/>
    <x v="7"/>
    <n v="19.525354503836514"/>
    <n v="5.3287291164862003"/>
    <n v="0.4"/>
    <n v="0"/>
    <n v="0.5"/>
    <x v="0"/>
    <n v="0.99999999900000003"/>
    <n v="0.36"/>
    <n v="469.53076404294154"/>
    <n v="0.99999999900000003"/>
    <n v="26.832731171713338"/>
    <n v="202.27731292961602"/>
    <n v="89985.267899809944"/>
    <n v="35.183026454633755"/>
    <n v="335930.16435822501"/>
    <x v="1"/>
    <n v="7.9195165844412425E-6"/>
    <n v="2099852.6789980996"/>
    <n v="0.15997796784415705"/>
  </r>
  <r>
    <x v="0"/>
    <n v="1000"/>
    <n v="25"/>
    <x v="5"/>
    <n v="19.951289883655683"/>
    <n v="1.1386474435112932"/>
    <n v="21.112978350375787"/>
    <n v="25.857961767330995"/>
    <m/>
    <n v="0.99999999918594906"/>
    <n v="0.36"/>
    <n v="131.40562188542083"/>
    <n v="48.46928676101588"/>
    <n v="5.6104895207354026"/>
    <m/>
    <m/>
    <m/>
    <m/>
    <m/>
    <m/>
    <m/>
    <m/>
    <m/>
    <m/>
    <m/>
    <n v="0.21697338603940963"/>
    <m/>
    <m/>
    <m/>
    <m/>
    <m/>
    <m/>
    <m/>
    <m/>
    <m/>
    <m/>
    <m/>
    <n v="3374.5982582707666"/>
    <n v="5.3931161421904579E-2"/>
    <n v="0.24631045123467143"/>
    <n v="618.9994180772818"/>
    <n v="569.35349790306771"/>
    <x v="7"/>
    <n v="19.525354503836514"/>
    <n v="5.3287291164862003"/>
    <n v="0.4"/>
    <n v="0"/>
    <n v="0.5"/>
    <x v="0"/>
    <n v="0.99999999900000003"/>
    <n v="0.36"/>
    <n v="569.35349790306771"/>
    <n v="0.99999999900000003"/>
    <n v="26.706392160286711"/>
    <n v="201.75563227838416"/>
    <n v="89764.971406929501"/>
    <n v="35.190265707398503"/>
    <n v="335705.01059587288"/>
    <x v="1"/>
    <n v="7.934706931436545E-6"/>
    <n v="2097649.7140692947"/>
    <n v="0.16003864150636879"/>
  </r>
  <r>
    <x v="0"/>
    <n v="1000"/>
    <n v="25"/>
    <x v="6"/>
    <n v="20.000337604854717"/>
    <n v="1.0919841227264184"/>
    <n v="21.138067875815871"/>
    <n v="25.800772026212208"/>
    <m/>
    <n v="0.97156800275080235"/>
    <n v="0.36"/>
    <n v="131.06890120720999"/>
    <n v="48.345086510856142"/>
    <n v="5.8695603422383016"/>
    <m/>
    <m/>
    <m/>
    <m/>
    <m/>
    <m/>
    <m/>
    <m/>
    <m/>
    <m/>
    <m/>
    <n v="0.22749553138468653"/>
    <m/>
    <m/>
    <m/>
    <m/>
    <m/>
    <m/>
    <m/>
    <m/>
    <m/>
    <m/>
    <m/>
    <n v="3603.8267616901335"/>
    <n v="5.1659599597357754E-2"/>
    <n v="0.24635447099832392"/>
    <n v="718.81479754028578"/>
    <n v="669.04659057098456"/>
    <x v="7"/>
    <n v="19.525354503836514"/>
    <n v="5.3287291164862003"/>
    <n v="0.4"/>
    <n v="0"/>
    <n v="0.5"/>
    <x v="0"/>
    <n v="0.96573960360021571"/>
    <n v="0.36"/>
    <n v="669.04659057098456"/>
    <n v="0.96573960360021571"/>
    <n v="26.626491380773714"/>
    <n v="200.93699200708926"/>
    <n v="89787.059481499149"/>
    <n v="35.758291832089171"/>
    <n v="336750.004190056"/>
    <x v="1"/>
    <n v="7.9504229492712905E-6"/>
    <n v="2097870.5948149916"/>
    <n v="0.16051991243995367"/>
  </r>
  <r>
    <x v="0"/>
    <n v="1000"/>
    <n v="25"/>
    <x v="7"/>
    <n v="20.063705284365891"/>
    <n v="1.0363861744535909"/>
    <n v="21.173087367367145"/>
    <n v="25.739813040883543"/>
    <m/>
    <n v="0.93672183533569975"/>
    <n v="0.36"/>
    <n v="130.72646405545444"/>
    <n v="48.218777725372547"/>
    <n v="6.2517469748569425"/>
    <m/>
    <m/>
    <m/>
    <m/>
    <m/>
    <m/>
    <m/>
    <m/>
    <m/>
    <m/>
    <m/>
    <n v="0.24288237699811768"/>
    <m/>
    <m/>
    <m/>
    <m/>
    <m/>
    <m/>
    <m/>
    <m/>
    <m/>
    <m/>
    <m/>
    <n v="3894.5310791497814"/>
    <n v="4.8948278372048515E-2"/>
    <n v="0.24643252588588255"/>
    <n v="818.5833720113028"/>
    <n v="768.65759172131027"/>
    <x v="7"/>
    <n v="19.525354503836514"/>
    <n v="5.3287291164862003"/>
    <n v="0.4"/>
    <n v="0"/>
    <n v="0.5"/>
    <x v="0"/>
    <n v="0.92535627557573719"/>
    <n v="0.36"/>
    <n v="768.65759172131027"/>
    <n v="0.92535627557573719"/>
    <n v="26.521714120480876"/>
    <n v="200.10765052337064"/>
    <n v="89832.03397812089"/>
    <n v="36.367947786413453"/>
    <n v="338144.82609555137"/>
    <x v="1"/>
    <n v="7.9699934168187376E-6"/>
    <n v="2098320.3397812089"/>
    <n v="0.16115023987748678"/>
  </r>
  <r>
    <x v="0"/>
    <n v="1000"/>
    <n v="25"/>
    <x v="8"/>
    <n v="20.121819733752542"/>
    <n v="0.98517197941595147"/>
    <n v="21.204899416791875"/>
    <n v="25.689156691383317"/>
    <m/>
    <n v="0.9094321662060999"/>
    <n v="0.36"/>
    <n v="130.44427655505581"/>
    <n v="48.114692171946828"/>
    <n v="6.5894502433154045"/>
    <m/>
    <m/>
    <m/>
    <m/>
    <m/>
    <m/>
    <m/>
    <m/>
    <m/>
    <m/>
    <m/>
    <n v="0.25650706726101463"/>
    <m/>
    <m/>
    <m/>
    <m/>
    <m/>
    <m/>
    <m/>
    <m/>
    <m/>
    <m/>
    <m/>
    <n v="4163.0075573811519"/>
    <n v="4.6459639352771795E-2"/>
    <n v="0.24644905469221967"/>
    <n v="918.3530252981418"/>
    <n v="868.28243572345093"/>
    <x v="7"/>
    <n v="19.525354503836514"/>
    <n v="5.3287291164862003"/>
    <n v="0.4"/>
    <n v="0"/>
    <n v="0.5"/>
    <x v="0"/>
    <n v="0.89487548383145443"/>
    <n v="0.36"/>
    <n v="868.28243572345093"/>
    <n v="0.89487548383145443"/>
    <n v="26.388669842793533"/>
    <n v="199.42663124384856"/>
    <n v="89804.405521026056"/>
    <n v="36.770846088693752"/>
    <n v="339245.48359584523"/>
    <x v="1"/>
    <n v="7.9908631932667999E-6"/>
    <n v="2098044.0552102607"/>
    <n v="0.16169607246967313"/>
  </r>
  <r>
    <x v="0"/>
    <n v="1000"/>
    <n v="25"/>
    <x v="9"/>
    <n v="20.174931239519861"/>
    <n v="0.93844957449479949"/>
    <n v="21.233914301545038"/>
    <n v="25.646593447153716"/>
    <m/>
    <n v="0.88725157435027846"/>
    <n v="0.36"/>
    <n v="130.20856251187695"/>
    <n v="48.027748467495591"/>
    <n v="6.8909319903431872"/>
    <m/>
    <m/>
    <m/>
    <m/>
    <m/>
    <m/>
    <m/>
    <m/>
    <m/>
    <m/>
    <m/>
    <n v="0.26868800351759581"/>
    <m/>
    <m/>
    <m/>
    <m/>
    <m/>
    <m/>
    <m/>
    <m/>
    <m/>
    <m/>
    <m/>
    <n v="4413.3943338030967"/>
    <n v="4.4195787981800197E-2"/>
    <n v="0.24643063884293959"/>
    <n v="1018.131400647879"/>
    <n v="967.92833863150406"/>
    <x v="7"/>
    <n v="19.525354503836514"/>
    <n v="5.3287291164862003"/>
    <n v="0.4"/>
    <n v="0"/>
    <n v="0.5"/>
    <x v="0"/>
    <n v="0.87078546111445032"/>
    <n v="0.36"/>
    <n v="967.92833863150406"/>
    <n v="0.87078546111445032"/>
    <n v="26.245580661502323"/>
    <n v="198.85942353474414"/>
    <n v="89740.093019935579"/>
    <n v="37.043886376367148"/>
    <n v="340149.01287235116"/>
    <x v="1"/>
    <n v="8.0116040700643536E-6"/>
    <n v="2097400.9301993558"/>
    <n v="0.16217643845519814"/>
  </r>
  <r>
    <x v="0"/>
    <n v="1000"/>
    <n v="25"/>
    <x v="0"/>
    <n v="19.89999556050854"/>
    <n v="1.2241658667739421"/>
    <n v="21.1089758221739"/>
    <n v="25.927303772047303"/>
    <m/>
    <n v="0.99999999919405813"/>
    <n v="0.36"/>
    <n v="132.13914589766705"/>
    <n v="48.739848896680471"/>
    <n v="5.7288595528942103"/>
    <m/>
    <m/>
    <m/>
    <m/>
    <m/>
    <m/>
    <m/>
    <m/>
    <m/>
    <m/>
    <m/>
    <n v="0.2209585540888597"/>
    <m/>
    <m/>
    <m/>
    <m/>
    <m/>
    <m/>
    <m/>
    <m/>
    <m/>
    <m/>
    <m/>
    <n v="3134.4109746912959"/>
    <n v="5.7992669899598753E-2"/>
    <n v="0.24720333689217516"/>
    <n v="319.49948649281987"/>
    <n v="269.98119824418933"/>
    <x v="7"/>
    <n v="19.525354503836514"/>
    <n v="5.3287291164862003"/>
    <n v="0.4"/>
    <n v="0"/>
    <n v="0.5"/>
    <x v="0"/>
    <n v="0.99999999900000003"/>
    <n v="0.36"/>
    <n v="269.98119824418933"/>
    <n v="0.99999999900000003"/>
    <n v="27.125487095838203"/>
    <n v="203.54989672276415"/>
    <n v="90551.907562797322"/>
    <n v="35.209034588591642"/>
    <n v="336701.38872876822"/>
    <x v="2"/>
    <n v="7.8839828074115075E-6"/>
    <n v="2105519.0756279733"/>
    <n v="0.1599137203866684"/>
  </r>
  <r>
    <x v="0"/>
    <n v="1000"/>
    <n v="25"/>
    <x v="0"/>
    <n v="19.183826784078096"/>
    <n v="1.1852831161422199"/>
    <n v="20.342701346726948"/>
    <n v="25.041683620794625"/>
    <m/>
    <n v="0.99999999919537863"/>
    <n v="0.36"/>
    <n v="127.67597719367798"/>
    <n v="47.093598145209093"/>
    <n v="5.5747403398202913"/>
    <m/>
    <m/>
    <m/>
    <m/>
    <m/>
    <m/>
    <m/>
    <m/>
    <m/>
    <m/>
    <m/>
    <n v="0.22261843190092157"/>
    <m/>
    <m/>
    <m/>
    <m/>
    <m/>
    <m/>
    <m/>
    <m/>
    <m/>
    <m/>
    <m/>
    <n v="3062.5797678688027"/>
    <n v="5.8265767949885715E-2"/>
    <n v="0.24896538465155157"/>
    <n v="322.94580706097952"/>
    <n v="275.20959795865889"/>
    <x v="7"/>
    <n v="19.525354503836514"/>
    <n v="5.3287291164862003"/>
    <n v="0.4"/>
    <n v="0"/>
    <n v="0.5"/>
    <x v="1"/>
    <n v="0.99999999900000003"/>
    <n v="0.36"/>
    <n v="275.20959795865889"/>
    <n v="0.99999999900000003"/>
    <n v="26.212351994399828"/>
    <n v="192.85799638213356"/>
    <n v="84921.520593563357"/>
    <n v="33.635205448962587"/>
    <n v="381859.6771493362"/>
    <x v="2"/>
    <n v="7.6177869935831719E-6"/>
    <n v="2049215.2059356335"/>
    <n v="0.18634435077548928"/>
  </r>
  <r>
    <x v="0"/>
    <n v="1000"/>
    <n v="25"/>
    <x v="0"/>
    <n v="16.681098785924863"/>
    <n v="1.0534100113265428"/>
    <n v="17.676307591359688"/>
    <n v="21.928322466623641"/>
    <m/>
    <n v="0.99999999920116855"/>
    <n v="0.36"/>
    <n v="111.95035987257178"/>
    <n v="41.293165526768284"/>
    <n v="5.0129717857838969"/>
    <m/>
    <m/>
    <m/>
    <m/>
    <m/>
    <m/>
    <m/>
    <m/>
    <m/>
    <m/>
    <m/>
    <n v="0.22860717199931604"/>
    <m/>
    <m/>
    <m/>
    <m/>
    <m/>
    <m/>
    <m/>
    <m/>
    <m/>
    <m/>
    <m/>
    <n v="2799.4285479505857"/>
    <n v="5.9594460318254334E-2"/>
    <n v="0.25448358276663219"/>
    <n v="334.45117911114193"/>
    <n v="292.94265505863831"/>
    <x v="7"/>
    <n v="19.525354503836514"/>
    <n v="5.3287291164862003"/>
    <n v="0.4"/>
    <n v="0"/>
    <n v="0.5"/>
    <x v="2"/>
    <n v="0.99999999900000003"/>
    <n v="0.36"/>
    <n v="292.94265505863831"/>
    <n v="0.99999999900000003"/>
    <n v="23.042338317349074"/>
    <n v="158.92011208077062"/>
    <n v="67391.996491338054"/>
    <n v="28.481407827851111"/>
    <n v="499437.36073437572"/>
    <x v="2"/>
    <n v="6.7302788247838003E-6"/>
    <n v="1873919.9649133806"/>
    <n v="0.2665201129640889"/>
  </r>
  <r>
    <x v="0"/>
    <n v="1000"/>
    <n v="25"/>
    <x v="0"/>
    <n v="14.417631494315533"/>
    <n v="0.93828623323689697"/>
    <n v="15.27689273636862"/>
    <n v="19.087167658285725"/>
    <m/>
    <n v="0.99999999920828131"/>
    <n v="0.36"/>
    <n v="97.554919179082034"/>
    <n v="35.983371828349938"/>
    <n v="4.4744771057637021"/>
    <m/>
    <m/>
    <m/>
    <m/>
    <m/>
    <m/>
    <m/>
    <m/>
    <m/>
    <m/>
    <m/>
    <n v="0.23442331444190645"/>
    <m/>
    <m/>
    <m/>
    <m/>
    <m/>
    <m/>
    <m/>
    <m/>
    <m/>
    <m/>
    <m/>
    <n v="2545.6479446816115"/>
    <n v="6.1418656884536814E-2"/>
    <n v="0.25877755463803942"/>
    <n v="344.28561814612578"/>
    <n v="308.40939179976118"/>
    <x v="7"/>
    <n v="19.525354503836514"/>
    <n v="5.3287291164862003"/>
    <n v="0.4"/>
    <n v="0"/>
    <n v="0.5"/>
    <x v="3"/>
    <n v="0.99999999900000003"/>
    <n v="0.36"/>
    <n v="308.40939179976118"/>
    <n v="0.99999999900000003"/>
    <n v="20.193574351944942"/>
    <n v="131.86730912640627"/>
    <n v="53896.511138159112"/>
    <n v="24.179941047448644"/>
    <n v="569843.43430661771"/>
    <x v="2"/>
    <n v="5.9294404790447643E-6"/>
    <n v="1738965.1113815911"/>
    <n v="0.32769112535781847"/>
  </r>
  <r>
    <x v="0"/>
    <n v="1000"/>
    <n v="25"/>
    <x v="0"/>
    <n v="13.167759789269368"/>
    <n v="0.8758236871944961"/>
    <n v="13.955682602059479"/>
    <n v="17.507713230439904"/>
    <m/>
    <n v="0.99999999921314842"/>
    <n v="0.36"/>
    <n v="89.535258770001874"/>
    <n v="33.0253003659843"/>
    <n v="4.1649479608018964"/>
    <m/>
    <m/>
    <m/>
    <m/>
    <m/>
    <m/>
    <m/>
    <m/>
    <m/>
    <m/>
    <m/>
    <n v="0.23789217392254755"/>
    <m/>
    <m/>
    <m/>
    <m/>
    <m/>
    <m/>
    <m/>
    <m/>
    <m/>
    <m/>
    <m/>
    <n v="2399.2422458122724"/>
    <n v="6.2757495435246446E-2"/>
    <n v="0.2609251916799884"/>
    <n v="349.53434850622256"/>
    <n v="316.76826541132425"/>
    <x v="7"/>
    <n v="19.525354503836514"/>
    <n v="5.3287291164862003"/>
    <n v="0.4"/>
    <n v="0"/>
    <n v="0.5"/>
    <x v="4"/>
    <n v="0.99999999900000003"/>
    <n v="0.36"/>
    <n v="316.76826541132425"/>
    <n v="0.99999999900000003"/>
    <n v="18.623248253773074"/>
    <n v="118.08820840949771"/>
    <n v="47231.120350206205"/>
    <n v="21.916179267646815"/>
    <n v="598238.56163064658"/>
    <x v="2"/>
    <n v="5.4764145810688384E-6"/>
    <n v="1672311.203502062"/>
    <n v="0.35773159946417171"/>
  </r>
  <r>
    <x v="0"/>
    <n v="1000"/>
    <n v="25"/>
    <x v="0"/>
    <n v="11.624694680829814"/>
    <n v="0.80928773804634146"/>
    <n v="12.332075232526213"/>
    <n v="15.494590302150785"/>
    <m/>
    <n v="0.99999999922198424"/>
    <n v="0.36"/>
    <n v="79.298440155829766"/>
    <n v="29.249424647642126"/>
    <n v="3.7185272838371777"/>
    <m/>
    <m/>
    <m/>
    <m/>
    <m/>
    <m/>
    <m/>
    <m/>
    <m/>
    <m/>
    <m/>
    <n v="0.23998874518941063"/>
    <m/>
    <m/>
    <m/>
    <m/>
    <m/>
    <m/>
    <m/>
    <m/>
    <m/>
    <m/>
    <m/>
    <n v="2185.7629743819466"/>
    <n v="6.5624618953979544E-2"/>
    <n v="0.26079385097904811"/>
    <n v="355.42573324796786"/>
    <n v="326.499332463359"/>
    <x v="7"/>
    <n v="19.525354503836514"/>
    <n v="5.3287291164862003"/>
    <n v="0.4"/>
    <n v="0"/>
    <n v="0.5"/>
    <x v="5"/>
    <n v="0.99999999900000003"/>
    <n v="0.36"/>
    <n v="326.499332463359"/>
    <n v="0.99999999900000003"/>
    <n v="16.742207382480824"/>
    <n v="101.60015425360841"/>
    <n v="39678.153300484606"/>
    <n v="19.494518815683531"/>
    <n v="626555.19440664863"/>
    <x v="2"/>
    <n v="4.8969797408811468E-6"/>
    <n v="1596781.533004846"/>
    <n v="0.3923862979725149"/>
  </r>
  <r>
    <x v="0"/>
    <n v="1000"/>
    <n v="25"/>
    <x v="0"/>
    <n v="9.616030267491551"/>
    <n v="0.72534029210235418"/>
    <n v="10.223600593801351"/>
    <n v="12.842876164797838"/>
    <m/>
    <n v="0.99999999923683236"/>
    <n v="0.36"/>
    <n v="65.788053920936619"/>
    <n v="24.266085462640557"/>
    <n v="3.104395810504279"/>
    <m/>
    <m/>
    <m/>
    <m/>
    <m/>
    <m/>
    <m/>
    <m/>
    <m/>
    <m/>
    <m/>
    <n v="0.24172122900424664"/>
    <m/>
    <m/>
    <m/>
    <m/>
    <m/>
    <m/>
    <m/>
    <m/>
    <m/>
    <m/>
    <m/>
    <n v="1891.0589291687372"/>
    <n v="7.0947635859535993E-2"/>
    <n v="0.2584199903906072"/>
    <n v="362.78913928850193"/>
    <n v="338.86102391659927"/>
    <x v="7"/>
    <n v="19.525354503836514"/>
    <n v="5.3287291164862003"/>
    <n v="0.4"/>
    <n v="0"/>
    <n v="0.5"/>
    <x v="6"/>
    <n v="0.99999999900000003"/>
    <n v="0.36"/>
    <n v="338.86102391659927"/>
    <n v="0.99999999900000003"/>
    <n v="14.303370703391623"/>
    <n v="81.419738483903103"/>
    <n v="30859.466417095773"/>
    <n v="16.540333619545304"/>
    <n v="650364.57069218601"/>
    <x v="2"/>
    <n v="4.1134333667763078E-6"/>
    <n v="1508594.6641709576"/>
    <n v="0.43110623823503402"/>
  </r>
  <r>
    <x v="0"/>
    <n v="1000"/>
    <n v="25"/>
    <x v="0"/>
    <n v="8.3309400041385508"/>
    <n v="0.66743812974588679"/>
    <n v="8.8745215190923865"/>
    <n v="11.152435600635881"/>
    <m/>
    <n v="0.99999999924779348"/>
    <n v="0.36"/>
    <n v="57.160384814359034"/>
    <n v="21.083748497099645"/>
    <n v="2.716564374425964"/>
    <m/>
    <m/>
    <m/>
    <m/>
    <m/>
    <m/>
    <m/>
    <m/>
    <m/>
    <m/>
    <m/>
    <n v="0.2435848519287637"/>
    <m/>
    <m/>
    <m/>
    <m/>
    <m/>
    <m/>
    <m/>
    <m/>
    <m/>
    <m/>
    <m/>
    <n v="1705.0973771208633"/>
    <n v="7.5208351042924379E-2"/>
    <n v="0.2566966660765308"/>
    <n v="367.5455854901723"/>
    <n v="346.81518990788163"/>
    <x v="7"/>
    <n v="19.525354503836514"/>
    <n v="5.3287291164862003"/>
    <n v="0.4"/>
    <n v="0"/>
    <n v="0.5"/>
    <x v="7"/>
    <n v="0.99999999900000003"/>
    <n v="0.36"/>
    <n v="346.81518990788163"/>
    <n v="0.99999999900000003"/>
    <n v="12.712245366448085"/>
    <n v="69.3232434469559"/>
    <n v="25749.783900149156"/>
    <n v="14.62173658540094"/>
    <n v="656960.05747743801"/>
    <x v="2"/>
    <n v="3.5949957089922953E-6"/>
    <n v="1457497.8390014917"/>
    <n v="0.45074513313001602"/>
  </r>
  <r>
    <x v="0"/>
    <n v="1000"/>
    <n v="25"/>
    <x v="0"/>
    <n v="6.7333970597899997"/>
    <n v="0.58958730627114597"/>
    <n v="7.1962423819783821"/>
    <n v="9.0545243000556823"/>
    <m/>
    <n v="0.99999999926332006"/>
    <n v="0.36"/>
    <n v="46.438191716432691"/>
    <n v="17.128841206880914"/>
    <n v="2.2371014082390248"/>
    <m/>
    <m/>
    <m/>
    <m/>
    <m/>
    <m/>
    <m/>
    <m/>
    <m/>
    <m/>
    <m/>
    <n v="0.24707000987619718"/>
    <m/>
    <m/>
    <m/>
    <m/>
    <m/>
    <m/>
    <m/>
    <m/>
    <m/>
    <m/>
    <m/>
    <n v="1475.3038868070225"/>
    <n v="8.1929884372385103E-2"/>
    <n v="0.25416989355411085"/>
    <n v="373.50828233180766"/>
    <n v="356.75318268750937"/>
    <x v="7"/>
    <n v="19.525354503836514"/>
    <n v="5.3287291164862003"/>
    <n v="0.4"/>
    <n v="0"/>
    <n v="0.5"/>
    <x v="8"/>
    <n v="0.99999999900000003"/>
    <n v="0.36"/>
    <n v="356.75318268750937"/>
    <n v="0.99999999900000003"/>
    <n v="10.688214955572013"/>
    <n v="55.016787418373831"/>
    <n v="19909.616217904055"/>
    <n v="12.203880202750069"/>
    <n v="654414.04043042101"/>
    <x v="2"/>
    <n v="2.930251718620243E-6"/>
    <n v="1399096.1621790405"/>
    <n v="0.46774057289328519"/>
  </r>
  <r>
    <x v="0"/>
    <n v="1000"/>
    <n v="25"/>
    <x v="0"/>
    <n v="4.5563408401704359"/>
    <n v="0.46709585403515425"/>
    <n v="4.9034121382616993"/>
    <n v="6.1992880354941748"/>
    <m/>
    <n v="0.99999999928784866"/>
    <n v="0.36"/>
    <n v="31.821011206650965"/>
    <n v="11.737258231961423"/>
    <n v="1.5861855116018972"/>
    <m/>
    <m/>
    <m/>
    <m/>
    <m/>
    <m/>
    <m/>
    <m/>
    <m/>
    <m/>
    <m/>
    <n v="0.25586575466733491"/>
    <m/>
    <m/>
    <m/>
    <m/>
    <m/>
    <m/>
    <m/>
    <m/>
    <m/>
    <m/>
    <m/>
    <n v="1163.5487439545991"/>
    <n v="9.5259350196237769E-2"/>
    <n v="0.2502630230296774"/>
    <n v="381.79379124805774"/>
    <n v="370.45598815365025"/>
    <x v="7"/>
    <n v="19.525354503836514"/>
    <n v="5.3287291164862003"/>
    <n v="0.4"/>
    <n v="0"/>
    <n v="0.5"/>
    <x v="9"/>
    <n v="0.99999999900000003"/>
    <n v="0.36"/>
    <n v="370.45598815365025"/>
    <n v="0.99999999900000003"/>
    <n v="7.7970945967593215"/>
    <n v="36.617520045746424"/>
    <n v="12776.204695138927"/>
    <n v="8.7918283837281539"/>
    <n v="623302.76163268834"/>
    <x v="2"/>
    <n v="1.986224772907829E-6"/>
    <n v="1327762.0469513892"/>
    <n v="0.46943860390031777"/>
  </r>
  <r>
    <x v="0"/>
    <n v="1000"/>
    <n v="25"/>
    <x v="0"/>
    <n v="19.899987732510585"/>
    <n v="1.2241660409799531"/>
    <n v="21.108967718224505"/>
    <n v="25.927291605794824"/>
    <m/>
    <n v="0.99999999919405802"/>
    <n v="0.36"/>
    <n v="132.13908538374315"/>
    <n v="48.739826575970831"/>
    <n v="5.7288553961669031"/>
    <m/>
    <m/>
    <m/>
    <m/>
    <m/>
    <m/>
    <m/>
    <m/>
    <m/>
    <m/>
    <m/>
    <n v="0.22095849745009569"/>
    <m/>
    <m/>
    <m/>
    <m/>
    <m/>
    <m/>
    <m/>
    <m/>
    <m/>
    <m/>
    <m/>
    <n v="3134.408696718704"/>
    <n v="5.7992700416281594E-2"/>
    <n v="0.24720326008290985"/>
    <n v="319.49949314650502"/>
    <n v="269.98099863524772"/>
    <x v="7"/>
    <n v="19.525354503836514"/>
    <n v="5.3287291164862003"/>
    <n v="0.4"/>
    <n v="0"/>
    <n v="0.5"/>
    <x v="0"/>
    <n v="0.99999999900000003"/>
    <n v="0.36"/>
    <n v="269.98099863524772"/>
    <n v="0.99999999900000003"/>
    <n v="27.125480339201342"/>
    <n v="203.54974807837846"/>
    <n v="90551.84561655682"/>
    <n v="35.209038011199169"/>
    <n v="336701.07092438638"/>
    <x v="3"/>
    <n v="7.8839827653020048E-6"/>
    <n v="2105518.456165568"/>
    <n v="0.15991361649594099"/>
  </r>
  <r>
    <x v="1"/>
    <n v="1000"/>
    <n v="25"/>
    <x v="0"/>
    <n v="19.89831441319841"/>
    <n v="1.2276362014590314"/>
    <n v="21.109240512366149"/>
    <n v="25.927896884459031"/>
    <m/>
    <n v="0.99999999919420224"/>
    <n v="0.36"/>
    <n v="132.17156805540412"/>
    <n v="48.751807889288408"/>
    <n v="5.7310284773532238"/>
    <m/>
    <m/>
    <m/>
    <m/>
    <m/>
    <m/>
    <m/>
    <m/>
    <m/>
    <m/>
    <m/>
    <n v="0.22103715171701241"/>
    <m/>
    <m/>
    <m/>
    <m/>
    <m/>
    <m/>
    <m/>
    <m/>
    <m/>
    <m/>
    <m/>
    <n v="3125.4663559953942"/>
    <n v="5.8156341567090555E-2"/>
    <n v="0.21978883476034022"/>
    <n v="309.46621817757159"/>
    <n v="259.95211731878265"/>
    <x v="7"/>
    <n v="19.525354503836514"/>
    <n v="5.3287291164862003"/>
    <n v="0.4"/>
    <n v="0"/>
    <n v="0.5"/>
    <x v="0"/>
    <n v="0.99999999900000003"/>
    <n v="0.36"/>
    <n v="259.95211731878265"/>
    <n v="0.99999999900000003"/>
    <n v="27.142904636008417"/>
    <n v="203.6295522772638"/>
    <n v="90589.368993007811"/>
    <n v="35.213647098025618"/>
    <n v="336763.64892857766"/>
    <x v="3"/>
    <n v="7.8818368297710441E-6"/>
    <n v="2105893.6899300781"/>
    <n v="0.15991483831254522"/>
  </r>
  <r>
    <x v="2"/>
    <n v="1000"/>
    <n v="25"/>
    <x v="0"/>
    <n v="19.896171601100402"/>
    <n v="1.2322153131805573"/>
    <n v="21.109670649965828"/>
    <n v="25.928245537191692"/>
    <m/>
    <n v="0.99999999919435589"/>
    <n v="0.36"/>
    <n v="132.21492527978583"/>
    <n v="48.767800308117728"/>
    <n v="5.733378245024273"/>
    <m/>
    <m/>
    <m/>
    <m/>
    <m/>
    <m/>
    <m/>
    <m/>
    <m/>
    <m/>
    <m/>
    <n v="0.2211248052553447"/>
    <m/>
    <m/>
    <m/>
    <m/>
    <m/>
    <m/>
    <m/>
    <m/>
    <m/>
    <m/>
    <m/>
    <n v="3113.7590381436084"/>
    <n v="5.8372076647370714E-2"/>
    <n v="0.19237980563046725"/>
    <n v="296.57868955685524"/>
    <n v="247.06991563146971"/>
    <x v="7"/>
    <n v="19.525354503836514"/>
    <n v="5.3287291164862003"/>
    <n v="0.4"/>
    <n v="0"/>
    <n v="0.5"/>
    <x v="0"/>
    <n v="0.99999999900000014"/>
    <n v="0.36"/>
    <n v="247.06991563146971"/>
    <n v="0.99999999900000014"/>
    <n v="27.165964008820421"/>
    <n v="203.73611971853668"/>
    <n v="90639.90046496538"/>
    <n v="35.220437191521746"/>
    <n v="336850.09314677567"/>
    <x v="3"/>
    <n v="7.8789858507541672E-6"/>
    <n v="2106399.004649654"/>
    <n v="0.15991751439457319"/>
  </r>
  <r>
    <x v="3"/>
    <n v="1000"/>
    <n v="25"/>
    <x v="0"/>
    <n v="19.893425561686964"/>
    <n v="1.2385646722598489"/>
    <n v="21.110506132311532"/>
    <n v="25.927933780712717"/>
    <m/>
    <n v="0.99999999919449289"/>
    <n v="0.36"/>
    <n v="132.27661570586889"/>
    <n v="48.79055497347624"/>
    <n v="5.7356091065165984"/>
    <m/>
    <m/>
    <m/>
    <m/>
    <m/>
    <m/>
    <m/>
    <m/>
    <m/>
    <m/>
    <m/>
    <n v="0.22121350490270095"/>
    <m/>
    <m/>
    <m/>
    <m/>
    <m/>
    <m/>
    <m/>
    <m/>
    <m/>
    <m/>
    <m/>
    <n v="3097.7220747016404"/>
    <n v="5.867053421159401E-2"/>
    <n v="0.16498039833178008"/>
    <n v="279.41945974890456"/>
    <n v="229.9175214433395"/>
    <x v="7"/>
    <n v="19.525354503836514"/>
    <n v="5.3287291164862003"/>
    <n v="0.4"/>
    <n v="0"/>
    <n v="0.5"/>
    <x v="0"/>
    <n v="0.99999999900000014"/>
    <n v="0.36"/>
    <n v="229.9175214433395"/>
    <n v="0.99999999900000014"/>
    <n v="27.198164139876873"/>
    <n v="203.88783972836887"/>
    <n v="90712.743058852546"/>
    <n v="35.231454069488073"/>
    <n v="336981.52244724869"/>
    <x v="3"/>
    <n v="7.8749949765391538E-6"/>
    <n v="2107127.4305885257"/>
    <n v="0.15992460520203514"/>
  </r>
  <r>
    <x v="4"/>
    <n v="1000"/>
    <n v="25"/>
    <x v="0"/>
    <n v="19.889649296373623"/>
    <n v="1.248033768487179"/>
    <n v="21.112095767402103"/>
    <n v="25.92530913794452"/>
    <m/>
    <n v="0.99999999919451543"/>
    <n v="0.36"/>
    <n v="132.37111604111706"/>
    <n v="48.82541165451039"/>
    <n v="5.7364450524293211"/>
    <m/>
    <m/>
    <m/>
    <m/>
    <m/>
    <m/>
    <m/>
    <m/>
    <m/>
    <m/>
    <m/>
    <n v="0.22126814464994779"/>
    <m/>
    <m/>
    <m/>
    <m/>
    <m/>
    <m/>
    <m/>
    <m/>
    <m/>
    <m/>
    <m/>
    <n v="3074.1840569168139"/>
    <n v="5.9114631831776343E-2"/>
    <n v="0.13760089245532633"/>
    <n v="255.4540676192851"/>
    <n v="205.96153070215524"/>
    <x v="7"/>
    <n v="19.525354503836514"/>
    <n v="5.3287291164862003"/>
    <n v="0.4"/>
    <n v="0"/>
    <n v="0.5"/>
    <x v="0"/>
    <n v="0.99999999900000003"/>
    <n v="0.36"/>
    <n v="205.96153070215524"/>
    <n v="0.99999999900000003"/>
    <n v="27.246511662613706"/>
    <n v="204.12046042545919"/>
    <n v="90826.449835384323"/>
    <n v="35.251374288497026"/>
    <n v="337196.73707033286"/>
    <x v="3"/>
    <n v="7.8689444319290055E-6"/>
    <n v="2108264.4983538431"/>
    <n v="0.15994043315419859"/>
  </r>
  <r>
    <x v="5"/>
    <n v="1000"/>
    <n v="25"/>
    <x v="0"/>
    <n v="19.884268220807453"/>
    <n v="1.2640702883654877"/>
    <n v="21.115884262571768"/>
    <n v="25.914372929611062"/>
    <m/>
    <n v="0.99999999919398064"/>
    <n v="0.36"/>
    <n v="132.53996926758609"/>
    <n v="48.887693582306348"/>
    <n v="5.7303142634813042"/>
    <m/>
    <m/>
    <m/>
    <m/>
    <m/>
    <m/>
    <m/>
    <m/>
    <m/>
    <m/>
    <m/>
    <n v="0.22112494402415425"/>
    <m/>
    <m/>
    <m/>
    <m/>
    <m/>
    <m/>
    <m/>
    <m/>
    <m/>
    <m/>
    <m/>
    <n v="3035.3629885984483"/>
    <n v="5.9863478727531762E-2"/>
    <n v="0.11027517927594609"/>
    <n v="219.68500662283907"/>
    <n v="170.20585685779827"/>
    <x v="7"/>
    <n v="19.525354503836514"/>
    <n v="5.3287291164862003"/>
    <n v="0.4"/>
    <n v="0"/>
    <n v="0.5"/>
    <x v="0"/>
    <n v="0.99999999900000003"/>
    <n v="0.36"/>
    <n v="170.20585685779827"/>
    <n v="0.99999999900000003"/>
    <n v="27.32942833849194"/>
    <n v="204.53673767722103"/>
    <n v="91035.679737058934"/>
    <n v="35.295621355407981"/>
    <n v="337623.7099250789"/>
    <x v="3"/>
    <n v="7.8583609349494239E-6"/>
    <n v="2110356.7973705893"/>
    <n v="0.15998418388101152"/>
  </r>
  <r>
    <x v="6"/>
    <n v="1000"/>
    <n v="25"/>
    <x v="0"/>
    <n v="19.882374976419754"/>
    <n v="1.3011938471865159"/>
    <n v="21.135943668833047"/>
    <n v="25.863826651354191"/>
    <m/>
    <n v="0.99999999918951288"/>
    <n v="0.36"/>
    <n v="133.0222637842721"/>
    <n v="49.0655891007561"/>
    <n v="5.6799657925421592"/>
    <m/>
    <m/>
    <m/>
    <m/>
    <m/>
    <m/>
    <m/>
    <m/>
    <m/>
    <m/>
    <m/>
    <n v="0.21961041840824294"/>
    <m/>
    <m/>
    <m/>
    <m/>
    <m/>
    <m/>
    <m/>
    <m/>
    <m/>
    <m/>
    <m/>
    <n v="2951.5495260275343"/>
    <n v="6.1563082660238612E-2"/>
    <n v="8.3204150391320855E-2"/>
    <n v="161.04106726755649"/>
    <n v="111.56662975645422"/>
    <x v="7"/>
    <n v="19.525354503836514"/>
    <n v="5.3287291164862003"/>
    <n v="0.4"/>
    <n v="0"/>
    <n v="0.5"/>
    <x v="0"/>
    <n v="0.99999999899999992"/>
    <n v="0.36"/>
    <n v="111.56662975645422"/>
    <n v="0.99999999899999992"/>
    <n v="27.53198169320423"/>
    <n v="205.73022709382892"/>
    <n v="91659.838890499959"/>
    <n v="35.458480434184906"/>
    <n v="339180.73232386436"/>
    <x v="3"/>
    <n v="7.8317038548640919E-6"/>
    <n v="2116598.3889049995"/>
    <n v="0.16024803481936695"/>
  </r>
  <r>
    <x v="7"/>
    <n v="1000"/>
    <n v="25"/>
    <x v="0"/>
    <n v="20.823622955692478"/>
    <n v="1.7316380164197691"/>
    <n v="22.422673152032242"/>
    <n v="25.967759148618764"/>
    <m/>
    <n v="0.99999999903544678"/>
    <n v="0.36"/>
    <n v="150.48416048178316"/>
    <n v="55.506452636723303"/>
    <n v="4.7775205978760589"/>
    <m/>
    <m/>
    <m/>
    <m/>
    <m/>
    <m/>
    <m/>
    <m/>
    <m/>
    <m/>
    <m/>
    <n v="0.18397893212630853"/>
    <m/>
    <m/>
    <m/>
    <m/>
    <m/>
    <m/>
    <m/>
    <m/>
    <m/>
    <m/>
    <m/>
    <n v="2412.1952085028547"/>
    <n v="7.7227099760976761E-2"/>
    <n v="6.4122334791566746E-2"/>
    <n v="75.251641672424512"/>
    <n v="23.434909564826725"/>
    <x v="7"/>
    <n v="19.525354503836514"/>
    <n v="5.3287291164862003"/>
    <n v="0.4"/>
    <n v="0"/>
    <n v="0.5"/>
    <x v="0"/>
    <n v="0.99999999900000014"/>
    <n v="0.36"/>
    <n v="23.434909564826725"/>
    <n v="0.99999999900000014"/>
    <n v="30.849359893349391"/>
    <n v="254.14952889193916"/>
    <n v="115476.81364871412"/>
    <n v="39.142946360011294"/>
    <n v="425967.39114572614"/>
    <x v="3"/>
    <n v="7.2170441482850877E-6"/>
    <n v="2354768.1364871413"/>
    <n v="0.18089568333516995"/>
  </r>
  <r>
    <x v="8"/>
    <n v="1000"/>
    <n v="25"/>
    <x v="0"/>
    <n v="14.124040025389611"/>
    <n v="1.0844349206693027"/>
    <n v="15.063276332559054"/>
    <n v="18.520975770665743"/>
    <m/>
    <n v="0.99999999916164783"/>
    <n v="0.36"/>
    <n v="98.897657961904855"/>
    <n v="36.478644330210813"/>
    <n v="4.1984263220968643"/>
    <m/>
    <m/>
    <m/>
    <m/>
    <m/>
    <m/>
    <m/>
    <m/>
    <m/>
    <m/>
    <m/>
    <n v="0.22668494220193833"/>
    <m/>
    <m/>
    <m/>
    <m/>
    <m/>
    <m/>
    <m/>
    <m/>
    <m/>
    <m/>
    <m/>
    <n v="2153.4311898481842"/>
    <n v="7.199196886040736E-2"/>
    <n v="4.5468088685168745E-2"/>
    <n v="89.363673868333535"/>
    <n v="54.218028799750911"/>
    <x v="7"/>
    <n v="19.525354503836514"/>
    <n v="5.3287291164862003"/>
    <n v="0.4"/>
    <n v="0"/>
    <n v="0.5"/>
    <x v="0"/>
    <n v="0.99999999900000003"/>
    <n v="0.36"/>
    <n v="54.218028799750911"/>
    <n v="0.99999999900000003"/>
    <n v="20.767270151192974"/>
    <n v="134.25738623920518"/>
    <n v="55057.728279937888"/>
    <n v="24.550152494711444"/>
    <n v="639794.38502758287"/>
    <x v="3"/>
    <n v="5.5838157548717909E-6"/>
    <n v="1750577.282799379"/>
    <n v="0.36547622964949961"/>
  </r>
  <r>
    <x v="9"/>
    <n v="1000"/>
    <n v="25"/>
    <x v="0"/>
    <n v="4.4298566052713397"/>
    <n v="0.49877082046720933"/>
    <n v="4.79123290973107"/>
    <n v="6.0733507995718385"/>
    <m/>
    <n v="0.9999999992988664"/>
    <n v="0.36"/>
    <n v="31.262430673027247"/>
    <n v="11.531224428575626"/>
    <n v="1.5874987485565493"/>
    <m/>
    <m/>
    <m/>
    <m/>
    <m/>
    <m/>
    <m/>
    <m/>
    <m/>
    <m/>
    <m/>
    <n v="0.26138762619614619"/>
    <m/>
    <m/>
    <m/>
    <m/>
    <m/>
    <m/>
    <m/>
    <m/>
    <m/>
    <m/>
    <m/>
    <n v="1059.1639852162309"/>
    <n v="0.10410072519208947"/>
    <n v="3.5851191167750082E-2"/>
    <n v="276.43767303173416"/>
    <n v="265.41461093795658"/>
    <x v="7"/>
    <n v="19.525354503836514"/>
    <n v="5.3287291164862003"/>
    <n v="0.4"/>
    <n v="0"/>
    <n v="0.5"/>
    <x v="0"/>
    <n v="0.99999999900000003"/>
    <n v="0.36"/>
    <n v="265.41461093795658"/>
    <n v="0.99999999900000003"/>
    <n v="7.889738598568651"/>
    <n v="35.936821344436062"/>
    <n v="12610.142220798973"/>
    <n v="8.859536346014222"/>
    <n v="896627.85878618876"/>
    <x v="3"/>
    <n v="1.6047318247307621E-6"/>
    <n v="1326101.4222079897"/>
    <n v="0.67613822274112523"/>
  </r>
  <r>
    <x v="0"/>
    <n v="100"/>
    <n v="25"/>
    <x v="0"/>
    <n v="3.167139901658476"/>
    <n v="0.75746792699120014"/>
    <n v="3.7627400200375423"/>
    <n v="1.8703187835719688"/>
    <m/>
    <n v="0.30366684205875261"/>
    <n v="0.18"/>
    <n v="18.818082133465605"/>
    <n v="9.3699994025554894"/>
    <n v="0.6220744458302927"/>
    <m/>
    <m/>
    <m/>
    <m/>
    <m/>
    <m/>
    <m/>
    <m/>
    <m/>
    <m/>
    <m/>
    <n v="0.33260343172207446"/>
    <m/>
    <m/>
    <m/>
    <m/>
    <m/>
    <m/>
    <m/>
    <m/>
    <m/>
    <m/>
    <m/>
    <n v="687.38201049061342"/>
    <n v="0.20130753731522558"/>
    <n v="0.20078400394650581"/>
    <n v="384.22613435628921"/>
    <n v="376.34478757546725"/>
    <x v="8"/>
    <n v="9.762677251918257"/>
    <n v="2.6643645582431001"/>
    <n v="0.2"/>
    <n v="0"/>
    <n v="0.3"/>
    <x v="0"/>
    <n v="0.19718755253132855"/>
    <n v="0.18"/>
    <n v="376.34478757546725"/>
    <n v="0.19718755253132855"/>
    <n v="8.9888237802670314"/>
    <n v="69.931473548382172"/>
    <n v="25544.232218561199"/>
    <n v="16.814988405004335"/>
    <n v="17838.106639458405"/>
    <x v="0"/>
    <n v="1.9440693774860812E-6"/>
    <n v="1455442.3221856121"/>
    <n v="1.2256141220815425E-2"/>
  </r>
  <r>
    <x v="0"/>
    <n v="200"/>
    <n v="25"/>
    <x v="0"/>
    <n v="5.86023493401665"/>
    <n v="1.3567542752831585"/>
    <n v="6.8586270704137746"/>
    <n v="3.4566625668175166"/>
    <m/>
    <n v="0.30174128315485427"/>
    <n v="0.18"/>
    <n v="34.847848036705265"/>
    <n v="17.351625578442459"/>
    <n v="0.9743170104076464"/>
    <m/>
    <m/>
    <m/>
    <m/>
    <m/>
    <m/>
    <m/>
    <m/>
    <m/>
    <m/>
    <m/>
    <n v="0.28186639325477508"/>
    <m/>
    <m/>
    <m/>
    <m/>
    <m/>
    <m/>
    <m/>
    <m/>
    <m/>
    <m/>
    <m/>
    <n v="846.52730968689787"/>
    <n v="0.19781718139127613"/>
    <n v="0.22497129469809135"/>
    <n v="373.95118811988431"/>
    <n v="359.36880448307483"/>
    <x v="8"/>
    <n v="9.762677251918257"/>
    <n v="2.6643645582431001"/>
    <n v="0.2"/>
    <n v="0"/>
    <n v="0.3"/>
    <x v="0"/>
    <n v="0.20600641696591732"/>
    <n v="0.18"/>
    <n v="359.36880448307483"/>
    <n v="0.20600641696591732"/>
    <n v="16.155874257181129"/>
    <n v="101.89019630344238"/>
    <n v="41061.238537937723"/>
    <n v="26.115803198775822"/>
    <n v="49704.494892026341"/>
    <x v="0"/>
    <n v="3.3156177549148853E-6"/>
    <n v="1610612.3853793773"/>
    <n v="3.0860618820038765E-2"/>
  </r>
  <r>
    <x v="0"/>
    <n v="300"/>
    <n v="25"/>
    <x v="0"/>
    <n v="8.173748531991702"/>
    <n v="1.8822171319686609"/>
    <n v="9.5109264989462972"/>
    <n v="4.8535548298726363"/>
    <m/>
    <n v="0.30171908218475491"/>
    <n v="0.18"/>
    <n v="49.002964032819605"/>
    <n v="24.399816115926779"/>
    <n v="1.2300020159803644"/>
    <m/>
    <m/>
    <m/>
    <m/>
    <m/>
    <m/>
    <m/>
    <m/>
    <m/>
    <m/>
    <m/>
    <n v="0.2534229155937322"/>
    <m/>
    <m/>
    <m/>
    <m/>
    <m/>
    <m/>
    <m/>
    <m/>
    <m/>
    <m/>
    <m/>
    <n v="960.36833633446361"/>
    <n v="0.19790050235139439"/>
    <n v="0.23834733721318044"/>
    <n v="365.70656661173012"/>
    <n v="345.36732834428187"/>
    <x v="8"/>
    <n v="9.762677251918257"/>
    <n v="2.6643645582431001"/>
    <n v="0.2"/>
    <n v="0"/>
    <n v="0.3"/>
    <x v="0"/>
    <n v="0.21193968841633251"/>
    <n v="0.18"/>
    <n v="345.36732834428187"/>
    <n v="0.21193968841633251"/>
    <n v="22.339079672213622"/>
    <n v="124.88314495760629"/>
    <n v="53575.117645252838"/>
    <n v="33.544615430499164"/>
    <n v="86166.137308786492"/>
    <x v="0"/>
    <n v="4.2642737661473396E-6"/>
    <n v="1735751.1764525282"/>
    <n v="4.9641986983923608E-2"/>
  </r>
  <r>
    <x v="0"/>
    <n v="400"/>
    <n v="25"/>
    <x v="0"/>
    <n v="10.189146226859725"/>
    <n v="2.3557773363487766"/>
    <n v="11.824657176017656"/>
    <n v="6.1023633283896777"/>
    <m/>
    <n v="0.30221004470516849"/>
    <n v="0.18"/>
    <n v="61.685671346211649"/>
    <n v="30.714857101848121"/>
    <n v="1.4313140511104754"/>
    <m/>
    <m/>
    <m/>
    <m/>
    <m/>
    <m/>
    <m/>
    <m/>
    <m/>
    <m/>
    <m/>
    <n v="0.23455077550883516"/>
    <m/>
    <m/>
    <m/>
    <m/>
    <m/>
    <m/>
    <m/>
    <m/>
    <m/>
    <m/>
    <m/>
    <n v="1049.0926428472962"/>
    <n v="0.19922584657478945"/>
    <n v="0.24724861310226684"/>
    <n v="358.78987510176529"/>
    <n v="333.4356172920584"/>
    <x v="8"/>
    <n v="9.762677251918257"/>
    <n v="2.6643645582431001"/>
    <n v="0.2"/>
    <n v="0"/>
    <n v="0.3"/>
    <x v="0"/>
    <n v="0.21622964961684149"/>
    <n v="0.18"/>
    <n v="333.4356172920584"/>
    <n v="0.21622964961684149"/>
    <n v="27.808541814930358"/>
    <n v="143.18531381561218"/>
    <n v="64258.426922888189"/>
    <n v="39.863598577805043"/>
    <n v="124333.36440114828"/>
    <x v="0"/>
    <n v="4.9507616876878404E-6"/>
    <n v="1842584.2692288819"/>
    <n v="6.7477708606066389E-2"/>
  </r>
  <r>
    <x v="0"/>
    <n v="600"/>
    <n v="25"/>
    <x v="0"/>
    <n v="13.518514006823766"/>
    <n v="3.1798746087192478"/>
    <n v="15.661660626330317"/>
    <n v="8.2422376579596133"/>
    <m/>
    <n v="0.30401767049707229"/>
    <n v="0.18"/>
    <n v="83.477879731234424"/>
    <n v="41.565749243768181"/>
    <n v="1.7318263489383634"/>
    <m/>
    <m/>
    <m/>
    <m/>
    <m/>
    <m/>
    <m/>
    <m/>
    <m/>
    <m/>
    <m/>
    <n v="0.21011604139634593"/>
    <m/>
    <m/>
    <m/>
    <m/>
    <m/>
    <m/>
    <m/>
    <m/>
    <m/>
    <m/>
    <m/>
    <n v="1180.0613938444194"/>
    <n v="0.20303559658119882"/>
    <n v="0.25891138035475364"/>
    <n v="347.78710001738415"/>
    <n v="314.14821937523732"/>
    <x v="8"/>
    <n v="9.762677251918257"/>
    <n v="2.6643645582431001"/>
    <n v="0.2"/>
    <n v="0"/>
    <n v="0.3"/>
    <x v="0"/>
    <n v="0.22242389395373441"/>
    <n v="0.18"/>
    <n v="314.14821937523732"/>
    <n v="0.22242389395373441"/>
    <n v="37.084427161724456"/>
    <n v="171.11726958316092"/>
    <n v="81670.918962799289"/>
    <n v="50.166456475609728"/>
    <n v="200317.6472913374"/>
    <x v="0"/>
    <n v="5.8554217091672921E-6"/>
    <n v="2016709.1896279929"/>
    <n v="9.9328970345143555E-2"/>
  </r>
  <r>
    <x v="0"/>
    <n v="800"/>
    <n v="25"/>
    <x v="0"/>
    <n v="16.120444536653633"/>
    <n v="3.8667797904729522"/>
    <n v="18.677674882985144"/>
    <n v="9.991731013183875"/>
    <m/>
    <n v="0.3064238500288532"/>
    <n v="0.18"/>
    <n v="101.35334159824363"/>
    <n v="50.466394156801812"/>
    <n v="1.9426613268662134"/>
    <m/>
    <m/>
    <m/>
    <m/>
    <m/>
    <m/>
    <m/>
    <m/>
    <m/>
    <m/>
    <m/>
    <n v="0.19442690403723972"/>
    <m/>
    <m/>
    <m/>
    <m/>
    <m/>
    <m/>
    <m/>
    <m/>
    <m/>
    <m/>
    <m/>
    <n v="1270.7042213487516"/>
    <n v="0.20702682826948035"/>
    <n v="0.2663963012960468"/>
    <n v="339.48698064415339"/>
    <n v="299.37355791564516"/>
    <x v="8"/>
    <n v="9.762677251918257"/>
    <n v="2.6643645582431001"/>
    <n v="0.2"/>
    <n v="0"/>
    <n v="0.3"/>
    <x v="0"/>
    <n v="0.22702714061238682"/>
    <n v="0.18"/>
    <n v="299.37355791564516"/>
    <n v="0.22702714061238682"/>
    <n v="44.585810461987791"/>
    <n v="191.34023386327954"/>
    <n v="95089.137811738183"/>
    <n v="58.195946574734194"/>
    <n v="271231.33385287924"/>
    <x v="0"/>
    <n v="6.4032450937132093E-6"/>
    <n v="2150891.3781173816"/>
    <n v="0.12610182764797767"/>
  </r>
  <r>
    <x v="0"/>
    <n v="1000"/>
    <n v="25"/>
    <x v="0"/>
    <n v="18.161142787759825"/>
    <n v="4.4292033535915785"/>
    <n v="21.052465746038806"/>
    <n v="11.41831145340289"/>
    <m/>
    <n v="0.30637186544226069"/>
    <n v="0.18"/>
    <n v="115.97405719539333"/>
    <n v="57.746418520527811"/>
    <n v="2.1276281474850478"/>
    <m/>
    <m/>
    <m/>
    <m/>
    <m/>
    <m/>
    <m/>
    <m/>
    <m/>
    <m/>
    <m/>
    <n v="0.18633474451697246"/>
    <m/>
    <m/>
    <m/>
    <m/>
    <m/>
    <m/>
    <m/>
    <m/>
    <m/>
    <m/>
    <m/>
    <n v="1351.8179596621069"/>
    <n v="0.21038881654159536"/>
    <n v="0.27185419200629918"/>
    <n v="333.19528143476629"/>
    <n v="288.00388591958222"/>
    <x v="8"/>
    <n v="9.762677251918257"/>
    <n v="2.6643645582431001"/>
    <n v="0.2"/>
    <n v="0"/>
    <n v="0.3"/>
    <x v="0"/>
    <n v="0.22934102300528184"/>
    <n v="0.18"/>
    <n v="288.00388591958222"/>
    <n v="0.22934102300528184"/>
    <n v="50.623736297952242"/>
    <n v="206.14748731977329"/>
    <n v="105423.08049286317"/>
    <n v="64.54102527350453"/>
    <n v="334213.86455658812"/>
    <x v="0"/>
    <n v="6.7559826910320697E-6"/>
    <n v="2254230.8049286315"/>
    <n v="0.1482607121799"/>
  </r>
  <r>
    <x v="0"/>
    <n v="1300"/>
    <n v="25"/>
    <x v="0"/>
    <n v="20.416251285932805"/>
    <n v="5.0820550269958229"/>
    <n v="23.689130676421321"/>
    <n v="13.076518752791999"/>
    <m/>
    <n v="0.31097031173240708"/>
    <n v="0.18"/>
    <n v="133.02739988258674"/>
    <n v="66.237709485105441"/>
    <n v="2.282696238299156"/>
    <m/>
    <m/>
    <m/>
    <m/>
    <m/>
    <m/>
    <m/>
    <m/>
    <m/>
    <m/>
    <m/>
    <n v="0.17456452144893472"/>
    <m/>
    <m/>
    <m/>
    <m/>
    <m/>
    <m/>
    <m/>
    <m/>
    <m/>
    <m/>
    <m/>
    <n v="1417.0042584128041"/>
    <n v="0.21453109007728099"/>
    <n v="0.27761763007196921"/>
    <n v="326.45909670563742"/>
    <n v="275.65613926322715"/>
    <x v="8"/>
    <n v="9.762677251918257"/>
    <n v="2.6643645582431001"/>
    <n v="0.2"/>
    <n v="0"/>
    <n v="0.3"/>
    <x v="0"/>
    <n v="0.23444693925551785"/>
    <n v="0.18"/>
    <n v="275.65613926322715"/>
    <n v="0.23444693925551785"/>
    <n v="57.443987945961922"/>
    <n v="221.44413818475331"/>
    <n v="116386.74216076585"/>
    <n v="71.296612611487959"/>
    <n v="411257.12716855737"/>
    <x v="0"/>
    <n v="7.087720222205069E-6"/>
    <n v="2363867.4216076583"/>
    <n v="0.17397639284222749"/>
  </r>
  <r>
    <x v="0"/>
    <n v="1600"/>
    <n v="25"/>
    <x v="0"/>
    <n v="21.992551023345758"/>
    <n v="5.5574993202159586"/>
    <n v="25.539086556489796"/>
    <n v="14.300146665770315"/>
    <m/>
    <n v="0.31738968467744394"/>
    <n v="0.18"/>
    <n v="145.6589760547711"/>
    <n v="72.527290981628767"/>
    <n v="2.3555249214590592"/>
    <m/>
    <m/>
    <m/>
    <m/>
    <m/>
    <m/>
    <m/>
    <m/>
    <m/>
    <m/>
    <m/>
    <n v="0.16472033305066613"/>
    <m/>
    <m/>
    <m/>
    <m/>
    <m/>
    <m/>
    <m/>
    <m/>
    <m/>
    <m/>
    <m/>
    <n v="1444.9575711202974"/>
    <n v="0.21760759954837655"/>
    <n v="0.28166875357800664"/>
    <n v="321.920515698043"/>
    <n v="267.1951103907673"/>
    <x v="8"/>
    <n v="9.762677251918257"/>
    <n v="2.6643645582431001"/>
    <n v="0.2"/>
    <n v="0"/>
    <n v="0.3"/>
    <x v="0"/>
    <n v="0.23988514919730095"/>
    <n v="0.18"/>
    <n v="267.1951103907673"/>
    <n v="0.23988514919730095"/>
    <n v="62.277615645511105"/>
    <n v="231.37135063273786"/>
    <n v="123615.93037743213"/>
    <n v="75.742998581684532"/>
    <n v="469603.00330265769"/>
    <x v="0"/>
    <n v="7.2931810155664712E-6"/>
    <n v="2436159.3037743215"/>
    <n v="0.1927636680307013"/>
  </r>
  <r>
    <x v="0"/>
    <n v="1900"/>
    <n v="25"/>
    <x v="0"/>
    <n v="23.234746826511241"/>
    <n v="5.9740194011242238"/>
    <n v="27.017904374227832"/>
    <n v="15.202015361109252"/>
    <m/>
    <n v="0.31555871118419143"/>
    <n v="0.18"/>
    <n v="155.007504248424"/>
    <n v="77.1821597917464"/>
    <n v="2.4541109074558989"/>
    <m/>
    <m/>
    <m/>
    <m/>
    <m/>
    <m/>
    <m/>
    <m/>
    <m/>
    <m/>
    <m/>
    <n v="0.16143326060136468"/>
    <m/>
    <m/>
    <m/>
    <m/>
    <m/>
    <m/>
    <m/>
    <m/>
    <m/>
    <m/>
    <m/>
    <n v="1486.9773233720871"/>
    <n v="0.22111335203417162"/>
    <n v="0.28244912096542257"/>
    <n v="317.73829301683099"/>
    <n v="259.92186964413787"/>
    <x v="8"/>
    <n v="9.762677251918257"/>
    <n v="2.6643645582431001"/>
    <n v="0.2"/>
    <n v="0"/>
    <n v="0.3"/>
    <x v="0"/>
    <n v="0.23944263375276101"/>
    <n v="0.18"/>
    <n v="259.92186964413787"/>
    <n v="0.23944263375276101"/>
    <n v="66.44923427564494"/>
    <n v="237.7479087968419"/>
    <n v="129897.23864917397"/>
    <n v="80.711230064949575"/>
    <n v="520472.34447790595"/>
    <x v="0"/>
    <n v="7.4145986368288605E-6"/>
    <n v="2498972.3864917397"/>
    <n v="0.2082745480867787"/>
  </r>
  <r>
    <x v="0"/>
    <n v="1000"/>
    <n v="25"/>
    <x v="1"/>
    <n v="14.059071335812545"/>
    <n v="7.5355863227480695"/>
    <n v="18.586219320178735"/>
    <n v="11.89572753309816"/>
    <m/>
    <n v="0.36934882314270434"/>
    <n v="0.18"/>
    <n v="121.60841758067859"/>
    <n v="60.551909168802624"/>
    <n v="1.2087290932246439"/>
    <m/>
    <m/>
    <m/>
    <m/>
    <m/>
    <m/>
    <m/>
    <m/>
    <m/>
    <m/>
    <m/>
    <n v="0.10161035463039382"/>
    <m/>
    <m/>
    <m/>
    <m/>
    <m/>
    <m/>
    <m/>
    <m/>
    <m/>
    <m/>
    <m/>
    <n v="716.71670679029637"/>
    <n v="0.40543943837824054"/>
    <n v="0.26695861898364143"/>
    <n v="147.33614000050679"/>
    <n v="112.35216017797586"/>
    <x v="8"/>
    <n v="9.762677251918257"/>
    <n v="2.6643645582431001"/>
    <n v="0.2"/>
    <n v="0"/>
    <n v="0.3"/>
    <x v="0"/>
    <n v="0.23381198083772631"/>
    <n v="0.18"/>
    <n v="112.35216017797586"/>
    <n v="0.23381198083772631"/>
    <n v="67.728327457969783"/>
    <n v="222.87363484128056"/>
    <n v="123726.24712911469"/>
    <n v="80.868294355581327"/>
    <n v="272054.10847897333"/>
    <x v="1"/>
    <n v="4.9422978236961149E-6"/>
    <n v="2437262.4712911472"/>
    <n v="0.11162281932435937"/>
  </r>
  <r>
    <x v="0"/>
    <n v="1000"/>
    <n v="25"/>
    <x v="2"/>
    <n v="16.453311626293306"/>
    <n v="5.4668140655438613"/>
    <n v="19.888461418507497"/>
    <n v="11.621980558382431"/>
    <m/>
    <n v="0.32943661190843526"/>
    <n v="0.18"/>
    <n v="118.24294433222057"/>
    <n v="58.876154854217717"/>
    <n v="1.7256082958904688"/>
    <m/>
    <m/>
    <m/>
    <m/>
    <m/>
    <m/>
    <m/>
    <m/>
    <m/>
    <m/>
    <m/>
    <n v="0.1484779885168421"/>
    <m/>
    <m/>
    <m/>
    <m/>
    <m/>
    <m/>
    <m/>
    <m/>
    <m/>
    <m/>
    <m/>
    <n v="1062.3035465811365"/>
    <n v="0.27487365415087556"/>
    <n v="0.27625279807734354"/>
    <n v="240.44110415965159"/>
    <n v="199.49939863590259"/>
    <x v="8"/>
    <n v="9.762677251918257"/>
    <n v="2.6643645582431001"/>
    <n v="0.2"/>
    <n v="0"/>
    <n v="0.3"/>
    <x v="0"/>
    <n v="0.23208727648704808"/>
    <n v="0.18"/>
    <n v="199.49939863590259"/>
    <n v="0.23208727648704808"/>
    <n v="56.094970492862132"/>
    <n v="212.72635974888294"/>
    <n v="110477.79794219964"/>
    <n v="67.97074402802177"/>
    <n v="306016.24684183754"/>
    <x v="1"/>
    <n v="6.0473341944588478E-6"/>
    <n v="2304777.9794219965"/>
    <n v="0.13277471824795106"/>
  </r>
  <r>
    <x v="0"/>
    <n v="1000"/>
    <n v="25"/>
    <x v="0"/>
    <n v="18.161665110715912"/>
    <n v="4.4294279194216299"/>
    <n v="21.053129372336304"/>
    <n v="11.418535921605324"/>
    <m/>
    <n v="0.30636660946057898"/>
    <n v="0.18"/>
    <n v="115.97631869481205"/>
    <n v="57.747544578329659"/>
    <n v="2.1276367575424544"/>
    <m/>
    <m/>
    <m/>
    <m/>
    <m/>
    <m/>
    <m/>
    <m/>
    <m/>
    <m/>
    <m/>
    <n v="0.18633183554790897"/>
    <m/>
    <m/>
    <m/>
    <m/>
    <m/>
    <m/>
    <m/>
    <m/>
    <m/>
    <m/>
    <m/>
    <n v="1351.8171634432583"/>
    <n v="0.21039285139442851"/>
    <n v="0.27184675701028355"/>
    <n v="333.19153294137374"/>
    <n v="287.99878467203189"/>
    <x v="8"/>
    <n v="9.762677251918257"/>
    <n v="2.6643645582431001"/>
    <n v="0.2"/>
    <n v="0"/>
    <n v="0.3"/>
    <x v="0"/>
    <n v="0.22933637211894375"/>
    <n v="0.18"/>
    <n v="287.99878467203189"/>
    <n v="0.22933637211894375"/>
    <n v="50.625902775308482"/>
    <n v="206.15394504449287"/>
    <n v="105429.23345835572"/>
    <n v="64.54617571933818"/>
    <n v="334238.15528006421"/>
    <x v="1"/>
    <n v="6.7559494761319943E-6"/>
    <n v="2254292.3345835572"/>
    <n v="0.14826744080723192"/>
  </r>
  <r>
    <x v="0"/>
    <n v="1000"/>
    <n v="25"/>
    <x v="3"/>
    <n v="19.252458347978237"/>
    <n v="3.6845211665539588"/>
    <n v="21.752086341134969"/>
    <n v="11.292801825899865"/>
    <m/>
    <n v="0.30424300579557134"/>
    <n v="0.18"/>
    <n v="114.59560417390414"/>
    <n v="57.060051870823642"/>
    <n v="2.3469910371098575"/>
    <m/>
    <m/>
    <m/>
    <m/>
    <m/>
    <m/>
    <m/>
    <m/>
    <m/>
    <m/>
    <m/>
    <n v="0.20783071139414402"/>
    <m/>
    <m/>
    <m/>
    <m/>
    <m/>
    <m/>
    <m/>
    <m/>
    <m/>
    <m/>
    <m/>
    <n v="1553.9808943893659"/>
    <n v="0.16938702379027565"/>
    <n v="0.2688607798225085"/>
    <n v="428.39246259462624"/>
    <n v="380.48537583443596"/>
    <x v="8"/>
    <n v="9.762677251918257"/>
    <n v="2.6643645582431001"/>
    <n v="0.2"/>
    <n v="0"/>
    <n v="0.3"/>
    <x v="0"/>
    <n v="0.23582612959514859"/>
    <n v="0.18"/>
    <n v="380.48537583443596"/>
    <n v="0.23582612959514859"/>
    <n v="46.390678783678446"/>
    <n v="202.2471268153391"/>
    <n v="101224.48191257066"/>
    <n v="60.699837136563161"/>
    <n v="349047.9323215136"/>
    <x v="1"/>
    <n v="7.2530993390383006E-6"/>
    <n v="2212244.8191257063"/>
    <n v="0.15777997502982496"/>
  </r>
  <r>
    <x v="0"/>
    <n v="1000"/>
    <n v="25"/>
    <x v="4"/>
    <n v="20.012336869893296"/>
    <n v="3.1455307826264658"/>
    <n v="22.228196362636389"/>
    <n v="11.203243181647615"/>
    <m/>
    <n v="0.30305403450791257"/>
    <n v="0.18"/>
    <n v="113.6245435240314"/>
    <n v="56.576536194538456"/>
    <n v="2.5334233418736822"/>
    <m/>
    <m/>
    <m/>
    <m/>
    <m/>
    <m/>
    <m/>
    <m/>
    <m/>
    <m/>
    <m/>
    <n v="0.22613303137289412"/>
    <m/>
    <m/>
    <m/>
    <m/>
    <m/>
    <m/>
    <m/>
    <m/>
    <m/>
    <m/>
    <m/>
    <n v="1741.9200305740565"/>
    <n v="0.14151084196438996"/>
    <n v="0.26685375774441317"/>
    <n v="525.00635164725441"/>
    <n v="475.20835963721561"/>
    <x v="8"/>
    <n v="9.762677251918257"/>
    <n v="2.6643645582431001"/>
    <n v="0.2"/>
    <n v="0"/>
    <n v="0.3"/>
    <x v="0"/>
    <n v="0.2411668181224606"/>
    <n v="0.18"/>
    <n v="475.20835963721561"/>
    <n v="0.2411668181224606"/>
    <n v="43.282663175016999"/>
    <n v="199.54153520312801"/>
    <n v="98099.475252428179"/>
    <n v="57.69610536881558"/>
    <n v="358108.97287288611"/>
    <x v="1"/>
    <n v="7.6158364113758624E-6"/>
    <n v="2180994.7525242819"/>
    <n v="0.16419524735601085"/>
  </r>
  <r>
    <x v="0"/>
    <n v="1000"/>
    <n v="25"/>
    <x v="5"/>
    <n v="20.578726351233602"/>
    <n v="2.7453155760512438"/>
    <n v="22.584085116328573"/>
    <n v="11.13997224408247"/>
    <m/>
    <n v="0.30265488542049057"/>
    <n v="0.18"/>
    <n v="112.94144190138763"/>
    <n v="56.236402606500064"/>
    <n v="2.6823592464794199"/>
    <m/>
    <m/>
    <m/>
    <m/>
    <m/>
    <m/>
    <m/>
    <m/>
    <m/>
    <m/>
    <m/>
    <n v="0.24078688776843979"/>
    <m/>
    <m/>
    <m/>
    <m/>
    <m/>
    <m/>
    <m/>
    <m/>
    <m/>
    <m/>
    <m/>
    <n v="1912.3794537474446"/>
    <n v="0.12155974270865401"/>
    <n v="0.26521523820723619"/>
    <n v="622.40745105621113"/>
    <n v="571.19983050773521"/>
    <x v="8"/>
    <n v="9.762677251918257"/>
    <n v="2.6643645582431001"/>
    <n v="0.2"/>
    <n v="0"/>
    <n v="0.3"/>
    <x v="0"/>
    <n v="0.24572050540013401"/>
    <n v="0.18"/>
    <n v="571.19983050773521"/>
    <n v="0.24572050540013401"/>
    <n v="40.967307242211298"/>
    <n v="197.65852816373538"/>
    <n v="95810.649755243139"/>
    <n v="55.42186266400487"/>
    <n v="364482.39083294838"/>
    <x v="1"/>
    <n v="7.8903529952150648E-6"/>
    <n v="2158106.4975524312"/>
    <n v="0.16888990012602159"/>
  </r>
  <r>
    <x v="0"/>
    <n v="1000"/>
    <n v="25"/>
    <x v="6"/>
    <n v="21.011514968747651"/>
    <n v="2.4361450289059983"/>
    <n v="22.854217665466074"/>
    <n v="11.091585694662351"/>
    <m/>
    <n v="0.30246672224796323"/>
    <n v="0.18"/>
    <n v="112.42160413214049"/>
    <n v="55.977562223472454"/>
    <n v="2.8054192998467258"/>
    <m/>
    <m/>
    <m/>
    <m/>
    <m/>
    <m/>
    <m/>
    <m/>
    <m/>
    <m/>
    <m/>
    <n v="0.25293221159502821"/>
    <m/>
    <m/>
    <m/>
    <m/>
    <m/>
    <m/>
    <m/>
    <m/>
    <m/>
    <m/>
    <m/>
    <n v="2070.8185855723054"/>
    <n v="0.10659498673573682"/>
    <n v="0.26394179303179566"/>
    <n v="720.39337640546944"/>
    <n v="668.10893564894172"/>
    <x v="8"/>
    <n v="9.762677251918257"/>
    <n v="2.6643645582431001"/>
    <n v="0.2"/>
    <n v="0"/>
    <n v="0.3"/>
    <x v="0"/>
    <n v="0.24952064388698428"/>
    <n v="0.18"/>
    <n v="668.10893564894172"/>
    <n v="0.24952064388698428"/>
    <n v="39.169591639743707"/>
    <n v="196.23656867990377"/>
    <n v="94028.548224243277"/>
    <n v="53.615504226266026"/>
    <n v="368976.52192068216"/>
    <x v="1"/>
    <n v="8.104962132535444E-6"/>
    <n v="2140285.4822424329"/>
    <n v="0.17239593735602779"/>
  </r>
  <r>
    <x v="0"/>
    <n v="1000"/>
    <n v="25"/>
    <x v="7"/>
    <n v="21.354005738373871"/>
    <n v="2.1906807435056139"/>
    <n v="23.067595003080513"/>
    <n v="11.053723023584826"/>
    <m/>
    <n v="0.3022005985014769"/>
    <n v="0.18"/>
    <n v="112.01608829557017"/>
    <n v="55.775645624350304"/>
    <n v="2.9106451947663512"/>
    <m/>
    <m/>
    <m/>
    <m/>
    <m/>
    <m/>
    <m/>
    <m/>
    <m/>
    <m/>
    <m/>
    <n v="0.26331808645431409"/>
    <m/>
    <m/>
    <m/>
    <m/>
    <m/>
    <m/>
    <m/>
    <m/>
    <m/>
    <m/>
    <m/>
    <n v="2220.96233872127"/>
    <n v="9.4967886475077451E-2"/>
    <n v="0.26290321181638593"/>
    <n v="818.7761701698505"/>
    <n v="765.63974133809506"/>
    <x v="8"/>
    <n v="9.762677251918257"/>
    <n v="2.6643645582431001"/>
    <n v="0.2"/>
    <n v="0"/>
    <n v="0.3"/>
    <x v="0"/>
    <n v="0.25260868485417676"/>
    <n v="0.18"/>
    <n v="765.63974133809506"/>
    <n v="0.25260868485417676"/>
    <n v="37.739488466090009"/>
    <n v="195.13383342358969"/>
    <n v="92617.63044810266"/>
    <n v="52.16572375794393"/>
    <n v="372344.53902704606"/>
    <x v="1"/>
    <n v="8.2771135724272168E-6"/>
    <n v="2126176.3044810267"/>
    <n v="0.17512401875719838"/>
  </r>
  <r>
    <x v="0"/>
    <n v="1000"/>
    <n v="25"/>
    <x v="8"/>
    <n v="21.633904598316686"/>
    <n v="1.9913758609281358"/>
    <n v="23.242748239392316"/>
    <n v="11.02374725704593"/>
    <m/>
    <n v="0.30175774492008939"/>
    <n v="0.18"/>
    <n v="111.69552316428695"/>
    <n v="55.616028131595165"/>
    <n v="3.0031053153459926"/>
    <m/>
    <m/>
    <m/>
    <m/>
    <m/>
    <m/>
    <m/>
    <m/>
    <m/>
    <m/>
    <m/>
    <n v="0.27242145935689249"/>
    <m/>
    <m/>
    <m/>
    <m/>
    <m/>
    <m/>
    <m/>
    <m/>
    <m/>
    <m/>
    <m/>
    <n v="2365.1481594895099"/>
    <n v="8.5677297728205329E-2"/>
    <n v="0.26200173359461409"/>
    <n v="917.42839140221088"/>
    <n v="863.59550181651502"/>
    <x v="8"/>
    <n v="9.762677251918257"/>
    <n v="2.6643645582431001"/>
    <n v="0.2"/>
    <n v="0"/>
    <n v="0.3"/>
    <x v="0"/>
    <n v="0.25506844628952369"/>
    <n v="0.18"/>
    <n v="863.59550181651502"/>
    <n v="0.25506844628952369"/>
    <n v="36.57958912711797"/>
    <n v="194.26610155112508"/>
    <n v="91490.734421245681"/>
    <n v="50.996182693499236"/>
    <n v="375046.49235819466"/>
    <x v="1"/>
    <n v="8.4181850388992062E-6"/>
    <n v="2114907.3442124566"/>
    <n v="0.17733471557726962"/>
  </r>
  <r>
    <x v="0"/>
    <n v="1000"/>
    <n v="25"/>
    <x v="9"/>
    <n v="21.865159596700163"/>
    <n v="1.8260638507287577"/>
    <n v="23.387126907534288"/>
    <n v="10.999032693063437"/>
    <m/>
    <n v="0.30120265774478966"/>
    <n v="0.18"/>
    <n v="111.43179318366629"/>
    <n v="55.484710298920973"/>
    <n v="3.0850391210134873"/>
    <m/>
    <m/>
    <m/>
    <m/>
    <m/>
    <m/>
    <m/>
    <m/>
    <m/>
    <m/>
    <m/>
    <n v="0.2804827667217567"/>
    <m/>
    <m/>
    <m/>
    <m/>
    <m/>
    <m/>
    <m/>
    <m/>
    <m/>
    <m/>
    <m/>
    <n v="2504.4160606437772"/>
    <n v="7.8079870945604757E-2"/>
    <n v="0.26124776533128002"/>
    <n v="1016.3048932917238"/>
    <n v="961.89650013703204"/>
    <x v="8"/>
    <n v="9.762677251918257"/>
    <n v="2.6643645582431001"/>
    <n v="0.2"/>
    <n v="0"/>
    <n v="0.3"/>
    <x v="0"/>
    <n v="0.25705796047182217"/>
    <n v="0.18"/>
    <n v="961.89650013703204"/>
    <n v="0.25705796047182217"/>
    <n v="35.616245055123002"/>
    <n v="193.55483688603121"/>
    <n v="90556.633346101036"/>
    <n v="50.019317301866963"/>
    <n v="377185.57416146109"/>
    <x v="1"/>
    <n v="8.5359270958576764E-6"/>
    <n v="2105566.3334610104"/>
    <n v="0.17913735044455467"/>
  </r>
  <r>
    <x v="0"/>
    <n v="1000"/>
    <n v="25"/>
    <x v="0"/>
    <n v="18.162792863725844"/>
    <n v="4.4299113806562751"/>
    <n v="21.054561549930838"/>
    <n v="11.419022507736566"/>
    <m/>
    <n v="0.30635513511002765"/>
    <n v="0.18"/>
    <n v="115.9812208698022"/>
    <n v="57.749985495337206"/>
    <n v="2.1276583622853344"/>
    <m/>
    <m/>
    <m/>
    <m/>
    <m/>
    <m/>
    <m/>
    <m/>
    <m/>
    <m/>
    <m/>
    <n v="0.18632578759204763"/>
    <m/>
    <m/>
    <m/>
    <m/>
    <m/>
    <m/>
    <m/>
    <m/>
    <m/>
    <m/>
    <m/>
    <n v="1351.8169881863325"/>
    <n v="0.21040150231344176"/>
    <n v="0.27183083590218171"/>
    <n v="333.18347124436713"/>
    <n v="287.98780704366465"/>
    <x v="8"/>
    <n v="9.762677251918257"/>
    <n v="2.6643645582431001"/>
    <n v="0.2"/>
    <n v="0"/>
    <n v="0.3"/>
    <x v="0"/>
    <n v="0.22932629146633601"/>
    <n v="0.18"/>
    <n v="287.98780704366465"/>
    <n v="0.22932629146633601"/>
    <n v="50.630571823761329"/>
    <n v="206.16794390286097"/>
    <n v="105442.5134657521"/>
    <n v="64.557254447881107"/>
    <n v="334290.59380667377"/>
    <x v="2"/>
    <n v="6.7558779237992811E-6"/>
    <n v="2254425.1346575208"/>
    <n v="0.14828196717096009"/>
  </r>
  <r>
    <x v="0"/>
    <n v="1000"/>
    <n v="25"/>
    <x v="0"/>
    <n v="17.552444490401207"/>
    <n v="4.2357185329748113"/>
    <n v="20.311863634980202"/>
    <n v="11.028011185563896"/>
    <m/>
    <n v="0.30987875125133441"/>
    <n v="0.18"/>
    <n v="112.04814151077794"/>
    <n v="55.791605731507694"/>
    <n v="2.0608905181994146"/>
    <m/>
    <m/>
    <m/>
    <m/>
    <m/>
    <m/>
    <m/>
    <m/>
    <m/>
    <m/>
    <m/>
    <n v="0.18687780448547259"/>
    <m/>
    <m/>
    <m/>
    <m/>
    <m/>
    <m/>
    <m/>
    <m/>
    <m/>
    <m/>
    <m/>
    <n v="1322.5430671560171"/>
    <n v="0.20853421473745237"/>
    <n v="0.27329423103695882"/>
    <n v="335.77455175763475"/>
    <n v="292.09780805630908"/>
    <x v="8"/>
    <n v="9.762677251918257"/>
    <n v="2.6643645582431001"/>
    <n v="0.2"/>
    <n v="0"/>
    <n v="0.3"/>
    <x v="1"/>
    <n v="0.23159472973642103"/>
    <n v="0.18"/>
    <n v="292.09780805630908"/>
    <n v="0.23159472973642103"/>
    <n v="48.596365236875798"/>
    <n v="195.22079097669382"/>
    <n v="98816.70794349919"/>
    <n v="61.403160259943242"/>
    <n v="381073.06777024461"/>
    <x v="2"/>
    <n v="6.5625482230643749E-6"/>
    <n v="2188167.0794349918"/>
    <n v="0.17415172330836901"/>
  </r>
  <r>
    <x v="0"/>
    <n v="1000"/>
    <n v="25"/>
    <x v="0"/>
    <n v="15.34219404923333"/>
    <n v="3.5849511133839806"/>
    <n v="17.662097841426423"/>
    <n v="9.6312583311377189"/>
    <m/>
    <n v="0.32657622603514547"/>
    <n v="0.18"/>
    <n v="97.969696523208086"/>
    <n v="48.781591629813157"/>
    <n v="1.7849390521818922"/>
    <m/>
    <m/>
    <m/>
    <m/>
    <m/>
    <m/>
    <m/>
    <m/>
    <m/>
    <m/>
    <m/>
    <n v="0.18532771013017169"/>
    <m/>
    <m/>
    <m/>
    <m/>
    <m/>
    <m/>
    <m/>
    <m/>
    <m/>
    <m/>
    <m/>
    <n v="1199.0568022755995"/>
    <n v="0.20297425286454271"/>
    <n v="0.27775804154131339"/>
    <n v="344.76417689260188"/>
    <n v="306.58727618465264"/>
    <x v="8"/>
    <n v="9.762677251918257"/>
    <n v="2.6643645582431001"/>
    <n v="0.2"/>
    <n v="0"/>
    <n v="0.3"/>
    <x v="2"/>
    <n v="0.24183777036548801"/>
    <n v="0.18"/>
    <n v="306.58727618465264"/>
    <n v="0.24183777036548801"/>
    <n v="41.601394828260155"/>
    <n v="160.04769634691911"/>
    <n v="77787.433696071472"/>
    <n v="50.923597853522082"/>
    <n v="502559.34397984104"/>
    <x v="2"/>
    <n v="5.8907358545653166E-6"/>
    <n v="1977874.3369607148"/>
    <n v="0.25409063386306685"/>
  </r>
  <r>
    <x v="0"/>
    <n v="1000"/>
    <n v="25"/>
    <x v="0"/>
    <n v="13.296480720452749"/>
    <n v="3.0342861581607066"/>
    <n v="15.249254062893929"/>
    <n v="8.3309268858746695"/>
    <m/>
    <n v="0.33795190378908341"/>
    <n v="0.18"/>
    <n v="84.826629761907824"/>
    <n v="42.237326022526716"/>
    <n v="1.568852288364746"/>
    <m/>
    <m/>
    <m/>
    <m/>
    <m/>
    <m/>
    <m/>
    <m/>
    <m/>
    <m/>
    <m/>
    <n v="0.18831665550021584"/>
    <m/>
    <m/>
    <m/>
    <m/>
    <m/>
    <m/>
    <m/>
    <m/>
    <m/>
    <m/>
    <m/>
    <n v="1103.9520471732424"/>
    <n v="0.19897931699780957"/>
    <n v="0.28058928209366352"/>
    <n v="352.61230000932733"/>
    <n v="319.52590299086853"/>
    <x v="8"/>
    <n v="9.762677251918257"/>
    <n v="2.6643645582431001"/>
    <n v="0.2"/>
    <n v="0"/>
    <n v="0.3"/>
    <x v="3"/>
    <n v="0.24864361378594782"/>
    <n v="0.18"/>
    <n v="319.52590299086853"/>
    <n v="0.24864361378594782"/>
    <n v="35.550473390085159"/>
    <n v="131.62681157592991"/>
    <n v="61601.254875876017"/>
    <n v="42.625293768400709"/>
    <n v="573751.95998941502"/>
    <x v="2"/>
    <n v="5.25188856814006E-6"/>
    <n v="1816012.5487587601"/>
    <n v="0.31594052606165801"/>
  </r>
  <r>
    <x v="0"/>
    <n v="1000"/>
    <n v="25"/>
    <x v="0"/>
    <n v="12.168567119351993"/>
    <n v="2.7504713830486711"/>
    <n v="13.932854072243238"/>
    <n v="7.5905864552725264"/>
    <m/>
    <n v="0.34008913467542778"/>
    <n v="0.18"/>
    <n v="77.329808081087009"/>
    <n v="38.50446875406822"/>
    <n v="1.4673277471680573"/>
    <m/>
    <m/>
    <m/>
    <m/>
    <m/>
    <m/>
    <m/>
    <m/>
    <m/>
    <m/>
    <m/>
    <n v="0.19330887749112338"/>
    <m/>
    <m/>
    <m/>
    <m/>
    <m/>
    <m/>
    <m/>
    <m/>
    <m/>
    <m/>
    <m/>
    <n v="1060.0193799352314"/>
    <n v="0.19740904259724554"/>
    <n v="0.28060956736671705"/>
    <n v="356.63523794450884"/>
    <n v="326.35550635120234"/>
    <x v="8"/>
    <n v="9.762677251918257"/>
    <n v="2.6643645582431001"/>
    <n v="0.2"/>
    <n v="0"/>
    <n v="0.3"/>
    <x v="4"/>
    <n v="0.24956650115829263"/>
    <n v="0.18"/>
    <n v="326.35550635120234"/>
    <n v="0.24956650115829263"/>
    <n v="32.377887629169052"/>
    <n v="116.88037387741838"/>
    <n v="53761.9961699864"/>
    <n v="38.740130669345547"/>
    <n v="603037.04036542331"/>
    <x v="2"/>
    <n v="4.8785526556686699E-6"/>
    <n v="1737619.9616998639"/>
    <n v="0.34704771679504037"/>
  </r>
  <r>
    <x v="0"/>
    <n v="1000"/>
    <n v="25"/>
    <x v="0"/>
    <n v="10.773061215707294"/>
    <n v="2.4112937368447946"/>
    <n v="12.313899077866605"/>
    <n v="6.6872145250063273"/>
    <m/>
    <n v="0.34317629473927003"/>
    <n v="0.18"/>
    <n v="68.168840691853831"/>
    <n v="33.942991215860836"/>
    <n v="1.3369468677033698"/>
    <m/>
    <m/>
    <m/>
    <m/>
    <m/>
    <m/>
    <m/>
    <m/>
    <m/>
    <m/>
    <m/>
    <n v="0.19992582303199025"/>
    <m/>
    <m/>
    <m/>
    <m/>
    <m/>
    <m/>
    <m/>
    <m/>
    <m/>
    <m/>
    <m/>
    <n v="1003.272665790374"/>
    <n v="0.19581886465018469"/>
    <n v="0.28059596796288011"/>
    <n v="361.60650028608944"/>
    <n v="334.79923193868984"/>
    <x v="8"/>
    <n v="9.762677251918257"/>
    <n v="2.6643645582431001"/>
    <n v="0.2"/>
    <n v="0"/>
    <n v="0.3"/>
    <x v="5"/>
    <n v="0.25091776722630871"/>
    <n v="0.18"/>
    <n v="334.79923193868984"/>
    <n v="0.25091776722630871"/>
    <n v="28.532918140928"/>
    <n v="100.03313942127932"/>
    <n v="44944.440001616007"/>
    <n v="34.043258073486356"/>
    <n v="632281.78357087122"/>
    <x v="2"/>
    <n v="4.3921357517588226E-6"/>
    <n v="1649444.4000161602"/>
    <n v="0.38333015866717091"/>
  </r>
  <r>
    <x v="0"/>
    <n v="1000"/>
    <n v="25"/>
    <x v="0"/>
    <n v="8.9180203912481506"/>
    <n v="1.9789167920648363"/>
    <n v="10.176352059745554"/>
    <n v="5.5050413668278884"/>
    <m/>
    <n v="0.34852898608169008"/>
    <n v="0.18"/>
    <n v="56.160436850315456"/>
    <n v="27.963702996007697"/>
    <n v="1.1523880021488502"/>
    <m/>
    <m/>
    <m/>
    <m/>
    <m/>
    <m/>
    <m/>
    <m/>
    <m/>
    <m/>
    <m/>
    <n v="0.20933321393239201"/>
    <m/>
    <m/>
    <m/>
    <m/>
    <m/>
    <m/>
    <m/>
    <m/>
    <m/>
    <m/>
    <m/>
    <n v="922.20092319459081"/>
    <n v="0.19446229655249531"/>
    <n v="0.28042444756972645"/>
    <n v="368.19813511790653"/>
    <n v="346.00692212016645"/>
    <x v="8"/>
    <n v="9.762677251918257"/>
    <n v="2.6643645582431001"/>
    <n v="0.2"/>
    <n v="0"/>
    <n v="0.3"/>
    <x v="6"/>
    <n v="0.25341375065134242"/>
    <n v="0.18"/>
    <n v="346.00692212016645"/>
    <n v="0.25341375065134242"/>
    <n v="23.543238852895747"/>
    <n v="79.573902239506722"/>
    <n v="34530.970224333061"/>
    <n v="27.975406746487174"/>
    <n v="650189.23983590503"/>
    <x v="2"/>
    <n v="3.723754450928127E-6"/>
    <n v="1545309.7022433307"/>
    <n v="0.42075011817503211"/>
  </r>
  <r>
    <x v="0"/>
    <n v="1000"/>
    <n v="25"/>
    <x v="0"/>
    <n v="7.7387075767164752"/>
    <n v="1.7136360344188271"/>
    <n v="8.824824515311537"/>
    <n v="4.7639622700006043"/>
    <m/>
    <n v="0.35342510168793601"/>
    <n v="0.18"/>
    <n v="48.621942289218516"/>
    <n v="24.210095745668973"/>
    <n v="1.0254618182122739"/>
    <m/>
    <m/>
    <m/>
    <m/>
    <m/>
    <m/>
    <m/>
    <m/>
    <m/>
    <m/>
    <m/>
    <n v="0.21525397559711232"/>
    <m/>
    <m/>
    <m/>
    <m/>
    <m/>
    <m/>
    <m/>
    <m/>
    <m/>
    <m/>
    <m/>
    <n v="865.85810502512652"/>
    <n v="0.19418358194495289"/>
    <n v="0.28022696050140528"/>
    <n v="372.38414332843013"/>
    <n v="353.12719591898934"/>
    <x v="8"/>
    <n v="9.762677251918257"/>
    <n v="2.6643645582431001"/>
    <n v="0.2"/>
    <n v="0"/>
    <n v="0.3"/>
    <x v="7"/>
    <n v="0.25596388560323602"/>
    <n v="0.18"/>
    <n v="353.12719591898934"/>
    <n v="0.25596388560323602"/>
    <n v="20.431981371168259"/>
    <n v="67.519844025825833"/>
    <n v="28593.081449543759"/>
    <n v="24.199724528433702"/>
    <n v="653135.1140741203"/>
    <x v="2"/>
    <n v="3.2753071847204718E-6"/>
    <n v="1485930.8144954375"/>
    <n v="0.43954611325285609"/>
  </r>
  <r>
    <x v="0"/>
    <n v="1000"/>
    <n v="25"/>
    <x v="0"/>
    <n v="6.2802348818455211"/>
    <n v="1.3932022414687655"/>
    <n v="7.1594914221286539"/>
    <n v="3.8573413731602066"/>
    <m/>
    <n v="0.36110896708609164"/>
    <n v="0.18"/>
    <n v="39.389233055417641"/>
    <n v="19.612896127178914"/>
    <n v="0.86069718634102754"/>
    <m/>
    <m/>
    <m/>
    <m/>
    <m/>
    <m/>
    <m/>
    <m/>
    <m/>
    <m/>
    <m/>
    <n v="0.22313223100497417"/>
    <m/>
    <m/>
    <m/>
    <m/>
    <m/>
    <m/>
    <m/>
    <m/>
    <m/>
    <m/>
    <m/>
    <n v="792.28946045470377"/>
    <n v="0.1945951408172146"/>
    <n v="0.27997342487502308"/>
    <n v="377.56846070426525"/>
    <n v="361.94086728419023"/>
    <x v="8"/>
    <n v="9.762677251918257"/>
    <n v="2.6643645582431001"/>
    <n v="0.2"/>
    <n v="0"/>
    <n v="0.3"/>
    <x v="8"/>
    <n v="0.26042531080720954"/>
    <n v="0.18"/>
    <n v="361.94086728419023"/>
    <n v="0.26042531080720954"/>
    <n v="16.631146268675842"/>
    <n v="53.458787900950668"/>
    <n v="21906.48222281225"/>
    <n v="19.603379918549361"/>
    <n v="647198.80122660764"/>
    <x v="2"/>
    <n v="2.6932459085792032E-6"/>
    <n v="1419064.8222281225"/>
    <n v="0.45607416313119403"/>
  </r>
  <r>
    <x v="0"/>
    <n v="1000"/>
    <n v="25"/>
    <x v="0"/>
    <n v="4.2986480529884616"/>
    <n v="0.96558964285584936"/>
    <n v="4.9040789821479249"/>
    <n v="2.6387401266935404"/>
    <m/>
    <n v="0.37326426295436405"/>
    <n v="0.18"/>
    <n v="26.96310837117937"/>
    <n v="13.425614126728318"/>
    <n v="0.62860003614658222"/>
    <m/>
    <m/>
    <m/>
    <m/>
    <m/>
    <m/>
    <m/>
    <m/>
    <m/>
    <m/>
    <m/>
    <n v="0.23821975865969272"/>
    <m/>
    <m/>
    <m/>
    <m/>
    <m/>
    <m/>
    <m/>
    <m/>
    <m/>
    <m/>
    <m/>
    <n v="688.23710828112371"/>
    <n v="0.19689520629068932"/>
    <n v="0.27974453972203017"/>
    <n v="384.63366592513353"/>
    <n v="373.93709020783263"/>
    <x v="8"/>
    <n v="9.762677251918257"/>
    <n v="2.6643645582431001"/>
    <n v="0.2"/>
    <n v="0"/>
    <n v="0.3"/>
    <x v="9"/>
    <n v="0.26914264915044522"/>
    <n v="0.18"/>
    <n v="373.93709020783263"/>
    <n v="0.26914264915044522"/>
    <n v="11.507600194308868"/>
    <n v="35.57589886156304"/>
    <n v="13881.702929298068"/>
    <n v="13.478544231052439"/>
    <n v="615255.85456885886"/>
    <x v="2"/>
    <n v="1.8529063615384018E-6"/>
    <n v="1338817.0292929807"/>
    <n v="0.45955185892262734"/>
  </r>
  <r>
    <x v="0"/>
    <n v="1000"/>
    <n v="25"/>
    <x v="0"/>
    <n v="18.164791950865371"/>
    <n v="4.4307630902556943"/>
    <n v="21.057097359119219"/>
    <n v="11.419884186911878"/>
    <m/>
    <n v="0.30633493424630842"/>
    <n v="0.18"/>
    <n v="115.98990136485872"/>
    <n v="57.754307733539626"/>
    <n v="2.1276970967598015"/>
    <m/>
    <m/>
    <m/>
    <m/>
    <m/>
    <m/>
    <m/>
    <m/>
    <m/>
    <m/>
    <m/>
    <n v="0.18631512035807829"/>
    <m/>
    <m/>
    <m/>
    <m/>
    <m/>
    <m/>
    <m/>
    <m/>
    <m/>
    <m/>
    <m/>
    <n v="1351.8172595422948"/>
    <n v="0.2104166122562405"/>
    <n v="0.27180273152297274"/>
    <n v="333.16920750176462"/>
    <n v="287.96871116239402"/>
    <x v="8"/>
    <n v="9.762677251918257"/>
    <n v="2.6643645582431001"/>
    <n v="0.2"/>
    <n v="0"/>
    <n v="0.3"/>
    <x v="0"/>
    <n v="0.22930856136900937"/>
    <n v="0.18"/>
    <n v="287.96871116239402"/>
    <n v="0.22930856136900937"/>
    <n v="50.638809509583595"/>
    <n v="206.1927345390952"/>
    <n v="105465.98894797704"/>
    <n v="64.576810711303892"/>
    <n v="334383.42115543038"/>
    <x v="3"/>
    <n v="6.7557532237295292E-6"/>
    <n v="2254659.8894797703"/>
    <n v="0.1483076994076408"/>
  </r>
  <r>
    <x v="1"/>
    <n v="1000"/>
    <n v="25"/>
    <x v="0"/>
    <n v="18.05408803539051"/>
    <n v="4.5056872038533626"/>
    <n v="20.985997166599837"/>
    <n v="11.435386757271258"/>
    <m/>
    <n v="0.30705410940617045"/>
    <n v="0.18"/>
    <n v="116.15885703763271"/>
    <n v="57.838435039485184"/>
    <n v="2.1033859515617177"/>
    <m/>
    <m/>
    <m/>
    <m/>
    <m/>
    <m/>
    <m/>
    <m/>
    <m/>
    <m/>
    <m/>
    <n v="0.18393658178847927"/>
    <m/>
    <m/>
    <m/>
    <m/>
    <m/>
    <m/>
    <m/>
    <m/>
    <m/>
    <m/>
    <m/>
    <n v="1332.101264385662"/>
    <n v="0.21469969561533953"/>
    <n v="0.24179652185947961"/>
    <n v="325.33354947974533"/>
    <n v="280.40828860480451"/>
    <x v="8"/>
    <n v="9.762677251918257"/>
    <n v="2.6643645582431001"/>
    <n v="0.2"/>
    <n v="0"/>
    <n v="0.3"/>
    <x v="0"/>
    <n v="0.22899403095620507"/>
    <n v="0.18"/>
    <n v="280.40828860480451"/>
    <n v="0.22899403095620507"/>
    <n v="51.058538874951353"/>
    <n v="206.67582821648389"/>
    <n v="105918.50719010027"/>
    <n v="64.950383496574773"/>
    <n v="332863.58769873483"/>
    <x v="3"/>
    <n v="6.7052529659024022E-6"/>
    <n v="2259185.0719010029"/>
    <n v="0.14733790154635054"/>
  </r>
  <r>
    <x v="2"/>
    <n v="1000"/>
    <n v="25"/>
    <x v="0"/>
    <n v="17.892969951638683"/>
    <n v="4.5961470238622759"/>
    <n v="20.871979655354743"/>
    <n v="11.448541572221487"/>
    <m/>
    <n v="0.30821020830840495"/>
    <n v="0.18"/>
    <n v="116.3085022030034"/>
    <n v="57.912947155022444"/>
    <n v="2.0716751881971742"/>
    <m/>
    <m/>
    <m/>
    <m/>
    <m/>
    <m/>
    <m/>
    <m/>
    <m/>
    <m/>
    <m/>
    <n v="0.18095537978600224"/>
    <m/>
    <m/>
    <m/>
    <m/>
    <m/>
    <m/>
    <m/>
    <m/>
    <m/>
    <m/>
    <m/>
    <n v="1306.8996616842471"/>
    <n v="0.22020656879488315"/>
    <n v="0.21196743923512135"/>
    <n v="315.58623335638259"/>
    <n v="271.0620675856614"/>
    <x v="8"/>
    <n v="9.762677251918257"/>
    <n v="2.6643645582431001"/>
    <n v="0.2"/>
    <n v="0"/>
    <n v="0.3"/>
    <x v="0"/>
    <n v="0.22876358070084968"/>
    <n v="0.18"/>
    <n v="271.0620675856614"/>
    <n v="0.22876358070084968"/>
    <n v="51.535191896137412"/>
    <n v="207.10462041111469"/>
    <n v="106312.18070280898"/>
    <n v="65.269856302854848"/>
    <n v="330094.09352093062"/>
    <x v="3"/>
    <n v="6.6405125996540948E-6"/>
    <n v="2263121.8070280896"/>
    <n v="0.14585785550553598"/>
  </r>
  <r>
    <x v="3"/>
    <n v="1000"/>
    <n v="25"/>
    <x v="0"/>
    <n v="17.687726675412591"/>
    <n v="4.7284547154605114"/>
    <n v="20.736300271223264"/>
    <n v="11.475547130682383"/>
    <m/>
    <n v="0.31124335239736567"/>
    <n v="0.18"/>
    <n v="116.60471078148434"/>
    <n v="58.060436903643669"/>
    <n v="2.0125466981670517"/>
    <m/>
    <m/>
    <m/>
    <m/>
    <m/>
    <m/>
    <m/>
    <m/>
    <m/>
    <m/>
    <m/>
    <n v="0.1753769711586185"/>
    <m/>
    <m/>
    <m/>
    <m/>
    <m/>
    <m/>
    <m/>
    <m/>
    <m/>
    <m/>
    <m/>
    <n v="1265.0626186780228"/>
    <n v="0.22802788605556651"/>
    <n v="0.18197744663018661"/>
    <n v="302.80264393775417"/>
    <n v="258.78926959449723"/>
    <x v="8"/>
    <n v="9.762677251918257"/>
    <n v="2.6643645582431001"/>
    <n v="0.2"/>
    <n v="0"/>
    <n v="0.3"/>
    <x v="0"/>
    <n v="0.22918031009938269"/>
    <n v="0.18"/>
    <n v="258.78926959449723"/>
    <n v="0.22918031009938269"/>
    <n v="52.248465019736045"/>
    <n v="207.95591727845584"/>
    <n v="107011.9195340296"/>
    <n v="65.782577953710728"/>
    <n v="326942.02599161898"/>
    <x v="3"/>
    <n v="6.5519215896484895E-6"/>
    <n v="2270119.1953402963"/>
    <n v="0.14401976189739657"/>
  </r>
  <r>
    <x v="4"/>
    <n v="1000"/>
    <n v="25"/>
    <x v="0"/>
    <n v="17.387598240213965"/>
    <n v="4.9134215461623691"/>
    <n v="20.533173485742925"/>
    <n v="11.510509108592469"/>
    <m/>
    <n v="0.31458524070354887"/>
    <n v="0.18"/>
    <n v="116.99344387325519"/>
    <n v="58.253996949338678"/>
    <n v="1.9439232999815701"/>
    <m/>
    <m/>
    <m/>
    <m/>
    <m/>
    <m/>
    <m/>
    <m/>
    <m/>
    <m/>
    <m/>
    <n v="0.16888247788540062"/>
    <m/>
    <m/>
    <m/>
    <m/>
    <m/>
    <m/>
    <m/>
    <m/>
    <m/>
    <m/>
    <m/>
    <n v="1214.3617938515019"/>
    <n v="0.23929187320089471"/>
    <n v="0.15207830321040855"/>
    <n v="285.66680536830239"/>
    <n v="242.40014386071707"/>
    <x v="8"/>
    <n v="9.762677251918257"/>
    <n v="2.6643645582431001"/>
    <n v="0.2"/>
    <n v="0"/>
    <n v="0.3"/>
    <x v="0"/>
    <n v="0.22925892781422166"/>
    <n v="0.18"/>
    <n v="242.40014386071707"/>
    <n v="0.22925892781422166"/>
    <n v="53.238433380323428"/>
    <n v="209.07829343774861"/>
    <n v="107941.49873728376"/>
    <n v="66.467495541361643"/>
    <n v="322093.92806342815"/>
    <x v="3"/>
    <n v="6.4258807102955411E-6"/>
    <n v="2279414.987372838"/>
    <n v="0.14130552349954523"/>
  </r>
  <r>
    <x v="5"/>
    <n v="1000"/>
    <n v="25"/>
    <x v="0"/>
    <n v="16.913818192082186"/>
    <n v="5.1924889664761329"/>
    <n v="20.205282298891504"/>
    <n v="11.56238729888436"/>
    <m/>
    <n v="0.32089869879979571"/>
    <n v="0.18"/>
    <n v="117.57697017518321"/>
    <n v="58.544549464821515"/>
    <n v="1.8375419129462021"/>
    <m/>
    <m/>
    <m/>
    <m/>
    <m/>
    <m/>
    <m/>
    <m/>
    <m/>
    <m/>
    <m/>
    <n v="0.15892409287513695"/>
    <m/>
    <m/>
    <m/>
    <m/>
    <m/>
    <m/>
    <m/>
    <m/>
    <m/>
    <m/>
    <m/>
    <n v="1138.3197506338809"/>
    <n v="0.25698670722165567"/>
    <n v="0.122241826323299"/>
    <n v="261.63640792350913"/>
    <n v="219.54879416077955"/>
    <x v="8"/>
    <n v="9.762677251918257"/>
    <n v="2.6643645582431001"/>
    <n v="0.2"/>
    <n v="0"/>
    <n v="0.3"/>
    <x v="0"/>
    <n v="0.23005712117113131"/>
    <n v="0.18"/>
    <n v="219.54879416077955"/>
    <n v="0.23005712117113131"/>
    <n v="54.692926617992072"/>
    <n v="210.77422522361186"/>
    <n v="109219.76617395681"/>
    <n v="67.313624204888981"/>
    <n v="313977.83199698525"/>
    <x v="3"/>
    <n v="6.2336784856253635E-6"/>
    <n v="2292197.6617395682"/>
    <n v="0.13697677003941483"/>
  </r>
  <r>
    <x v="6"/>
    <n v="1000"/>
    <n v="25"/>
    <x v="0"/>
    <n v="16.10182881007669"/>
    <n v="5.678915517564632"/>
    <n v="19.647685345657152"/>
    <n v="11.654037965584388"/>
    <m/>
    <n v="0.3337873869314571"/>
    <n v="0.18"/>
    <n v="118.62193132035168"/>
    <n v="59.064862068224905"/>
    <n v="1.6606467256586068"/>
    <m/>
    <m/>
    <m/>
    <m/>
    <m/>
    <m/>
    <m/>
    <m/>
    <m/>
    <m/>
    <m/>
    <n v="0.14249539349045137"/>
    <m/>
    <m/>
    <m/>
    <m/>
    <m/>
    <m/>
    <m/>
    <m/>
    <m/>
    <m/>
    <m/>
    <n v="1015.7454426101153"/>
    <n v="0.28903738112947119"/>
    <n v="9.2268363238546022E-2"/>
    <n v="225.48916828135529"/>
    <n v="185.42207978081083"/>
    <x v="8"/>
    <n v="9.762677251918257"/>
    <n v="2.6643645582431001"/>
    <n v="0.2"/>
    <n v="0"/>
    <n v="0.3"/>
    <x v="0"/>
    <n v="0.23238786808295983"/>
    <n v="0.18"/>
    <n v="185.42207978081083"/>
    <n v="0.23238786808295983"/>
    <n v="57.201247353298513"/>
    <n v="213.84527419021629"/>
    <n v="111944.08955882656"/>
    <n v="68.714236529041713"/>
    <n v="300726.63055674394"/>
    <x v="3"/>
    <n v="5.8917821309313901E-6"/>
    <n v="2319440.8955882657"/>
    <n v="0.12965479358786267"/>
  </r>
  <r>
    <x v="7"/>
    <n v="1000"/>
    <n v="25"/>
    <x v="0"/>
    <n v="14.404261218134089"/>
    <n v="7.184499044171579"/>
    <n v="18.744737631368089"/>
    <n v="11.829799193845556"/>
    <m/>
    <n v="0.35989294993261206"/>
    <n v="0.18"/>
    <n v="120.82025842526514"/>
    <n v="60.15946477606564"/>
    <n v="1.2853076782276567"/>
    <m/>
    <m/>
    <m/>
    <m/>
    <m/>
    <m/>
    <m/>
    <m/>
    <m/>
    <m/>
    <m/>
    <n v="0.10864999964634539"/>
    <m/>
    <m/>
    <m/>
    <m/>
    <m/>
    <m/>
    <m/>
    <m/>
    <m/>
    <m/>
    <m/>
    <n v="765.50548838262716"/>
    <n v="0.38328085383007926"/>
    <n v="5.9693072071198748E-2"/>
    <n v="158.69459020381049"/>
    <n v="122.85164926879838"/>
    <x v="8"/>
    <n v="9.762677251918257"/>
    <n v="2.6643645582431001"/>
    <n v="0.2"/>
    <n v="0"/>
    <n v="0.3"/>
    <x v="0"/>
    <n v="0.23179220156230518"/>
    <n v="0.18"/>
    <n v="122.85164926879838"/>
    <n v="0.23179220156230518"/>
    <n v="65.758454805253663"/>
    <n v="220.45369280838736"/>
    <n v="121214.63238379372"/>
    <n v="78.837063650897008"/>
    <n v="282559.23921315087"/>
    <x v="3"/>
    <n v="5.0964600049567758E-6"/>
    <n v="2412146.3238379373"/>
    <n v="0.11714017363738292"/>
  </r>
  <r>
    <x v="8"/>
    <n v="1000"/>
    <n v="25"/>
    <x v="0"/>
    <n v="10.066024512625562"/>
    <n v="4.444703175361159"/>
    <n v="12.71663575679564"/>
    <n v="7.7313588600521719"/>
    <m/>
    <n v="0.35862668042056833"/>
    <n v="0.18"/>
    <n v="79.22782405318614"/>
    <n v="39.449538947644555"/>
    <n v="1.0706898381256833"/>
    <m/>
    <m/>
    <m/>
    <m/>
    <m/>
    <m/>
    <m/>
    <m/>
    <m/>
    <m/>
    <m/>
    <n v="0.1384866305531261"/>
    <m/>
    <m/>
    <m/>
    <m/>
    <m/>
    <m/>
    <m/>
    <m/>
    <m/>
    <m/>
    <m/>
    <n v="686.21744251768928"/>
    <n v="0.34951879257734936"/>
    <n v="4.4921643589681079E-2"/>
    <n v="175.92038696157988"/>
    <n v="150.87252345484836"/>
    <x v="8"/>
    <n v="9.762677251918257"/>
    <n v="2.6643645582431001"/>
    <n v="0.2"/>
    <n v="0"/>
    <n v="0.3"/>
    <x v="0"/>
    <n v="0.23413515161455303"/>
    <n v="0.18"/>
    <n v="150.87252345484836"/>
    <n v="0.23413515161455303"/>
    <n v="42.329114419326118"/>
    <n v="120.52602676029758"/>
    <n v="62451.464371353541"/>
    <n v="50.77783583550189"/>
    <n v="661753.53489523951"/>
    <x v="3"/>
    <n v="3.7244383531469623E-6"/>
    <n v="1824514.6437135353"/>
    <n v="0.36270113653258274"/>
  </r>
  <r>
    <x v="9"/>
    <n v="1000"/>
    <n v="25"/>
    <x v="0"/>
    <n v="3.5667350624813525"/>
    <n v="0.98501812845604442"/>
    <n v="4.1685066338365173"/>
    <n v="2.3175686924574364"/>
    <m/>
    <n v="0.37776025468631885"/>
    <n v="0.18"/>
    <n v="23.716271884103659"/>
    <n v="11.808932058474852"/>
    <n v="0.56132407680689811"/>
    <m/>
    <m/>
    <m/>
    <m/>
    <m/>
    <m/>
    <m/>
    <m/>
    <m/>
    <m/>
    <m/>
    <n v="0.24220385727238036"/>
    <m/>
    <m/>
    <m/>
    <m/>
    <m/>
    <m/>
    <m/>
    <m/>
    <m/>
    <m/>
    <m/>
    <n v="583.40908069092313"/>
    <n v="0.23630000261016146"/>
    <n v="4.0357916695353629E-2"/>
    <n v="311.62241873372051"/>
    <n v="302.74704228747402"/>
    <x v="8"/>
    <n v="9.762677251918257"/>
    <n v="2.6643645582431001"/>
    <n v="0.2"/>
    <n v="0"/>
    <n v="0.3"/>
    <x v="0"/>
    <n v="0.26414768356273455"/>
    <n v="0.18"/>
    <n v="302.74704228747402"/>
    <n v="0.26414768356273455"/>
    <n v="10.917661417342675"/>
    <n v="31.076005239233844"/>
    <n v="12361.191286130523"/>
    <n v="12.628997611623307"/>
    <n v="855167.59355835698"/>
    <x v="3"/>
    <n v="1.2538675633861896E-6"/>
    <n v="1323611.9128613053"/>
    <n v="0.64608635299277917"/>
  </r>
  <r>
    <x v="0"/>
    <n v="100"/>
    <n v="25"/>
    <x v="0"/>
    <n v="3.1240156467799411"/>
    <n v="0.59358837901042616"/>
    <n v="3.6309153238355298"/>
    <n v="2.9827560194657843"/>
    <m/>
    <n v="0.53403689899414108"/>
    <n v="0.27"/>
    <n v="20.015485972878245"/>
    <n v="8.7204399466896927"/>
    <n v="0.91209930495699965"/>
    <m/>
    <m/>
    <m/>
    <m/>
    <m/>
    <m/>
    <m/>
    <m/>
    <m/>
    <m/>
    <m/>
    <n v="0.30579078510094093"/>
    <m/>
    <m/>
    <m/>
    <m/>
    <m/>
    <m/>
    <m/>
    <m/>
    <m/>
    <m/>
    <m/>
    <n v="831.92715817690635"/>
    <n v="0.16348174663114617"/>
    <n v="0.19108498613060579"/>
    <n v="383.6511716067285"/>
    <n v="375.87750569840665"/>
    <x v="9"/>
    <n v="14.644015877877388"/>
    <n v="3.9965468373646496"/>
    <n v="0.3"/>
    <n v="0"/>
    <n v="0.4"/>
    <x v="0"/>
    <n v="0.40617872934121158"/>
    <n v="0.27"/>
    <n v="375.87750569840665"/>
    <n v="0.40617872934121158"/>
    <n v="7.6582631044190173"/>
    <n v="70.156957135539528"/>
    <n v="24888.201549715151"/>
    <n v="13.885237884610673"/>
    <n v="17208.732065943434"/>
    <x v="0"/>
    <n v="1.9253697360333876E-6"/>
    <n v="1448882.0154971515"/>
    <n v="1.1877248721345086E-2"/>
  </r>
  <r>
    <x v="0"/>
    <n v="200"/>
    <n v="25"/>
    <x v="0"/>
    <n v="5.8608320414254695"/>
    <n v="1.0120172528147726"/>
    <n v="6.6749536641306504"/>
    <n v="5.5124895350589496"/>
    <m/>
    <n v="0.54551101409799974"/>
    <n v="0.27"/>
    <n v="37.07029076170258"/>
    <n v="16.150956555928509"/>
    <n v="1.4067419484678751"/>
    <m/>
    <m/>
    <m/>
    <m/>
    <m/>
    <m/>
    <m/>
    <m/>
    <m/>
    <m/>
    <m/>
    <n v="0.25519176762533874"/>
    <m/>
    <m/>
    <m/>
    <m/>
    <m/>
    <m/>
    <m/>
    <m/>
    <m/>
    <m/>
    <m/>
    <n v="1061.5584864138675"/>
    <n v="0.15161412404299862"/>
    <n v="0.21524551935041419"/>
    <n v="372.77140978770302"/>
    <n v="358.18751217992974"/>
    <x v="9"/>
    <n v="14.644015877877388"/>
    <n v="3.9965468373646496"/>
    <n v="0.3"/>
    <n v="0"/>
    <n v="0.4"/>
    <x v="0"/>
    <n v="0.43457174556893086"/>
    <n v="0.27"/>
    <n v="358.18751217992974"/>
    <n v="0.43457174556893086"/>
    <n v="13.402821324978085"/>
    <n v="102.17074680386553"/>
    <n v="39547.801904566884"/>
    <n v="21.074451715252462"/>
    <n v="48315.837584824825"/>
    <x v="0"/>
    <n v="3.3517133897312836E-6"/>
    <n v="1595478.0190456689"/>
    <n v="3.0282985417577124E-2"/>
  </r>
  <r>
    <x v="0"/>
    <n v="300"/>
    <n v="25"/>
    <x v="0"/>
    <n v="8.2413178536943654"/>
    <n v="1.3650022008604159"/>
    <n v="9.3033563256840726"/>
    <n v="7.7400739084048995"/>
    <m/>
    <n v="0.55633634400203325"/>
    <n v="0.27"/>
    <n v="52.134330845135068"/>
    <n v="22.714127546635613"/>
    <n v="1.7626554584817677"/>
    <m/>
    <m/>
    <m/>
    <m/>
    <m/>
    <m/>
    <m/>
    <m/>
    <m/>
    <m/>
    <m/>
    <n v="0.22773108879072987"/>
    <m/>
    <m/>
    <m/>
    <m/>
    <m/>
    <m/>
    <m/>
    <m/>
    <m/>
    <m/>
    <m/>
    <n v="1224.7798361493553"/>
    <n v="0.14672147911738162"/>
    <n v="0.22866822311723567"/>
    <n v="363.95949668323993"/>
    <n v="343.45210690847165"/>
    <x v="9"/>
    <n v="14.644015877877388"/>
    <n v="3.9965468373646496"/>
    <n v="0.3"/>
    <n v="0"/>
    <n v="0.4"/>
    <x v="0"/>
    <n v="0.45409011228647539"/>
    <n v="0.27"/>
    <n v="343.45210690847165"/>
    <n v="0.45409011228647539"/>
    <n v="18.227460336799641"/>
    <n v="125.20413427621349"/>
    <n v="51153.148082972482"/>
    <n v="26.610814347586121"/>
    <n v="84080.630736623469"/>
    <x v="0"/>
    <n v="4.3678463478743392E-6"/>
    <n v="1711531.4808297248"/>
    <n v="4.9125962144653298E-2"/>
  </r>
  <r>
    <x v="0"/>
    <n v="400"/>
    <n v="25"/>
    <x v="0"/>
    <n v="10.334531254976902"/>
    <n v="1.6754992412236609"/>
    <n v="11.609059324939818"/>
    <n v="9.7316924051881077"/>
    <m/>
    <n v="0.56666020358816838"/>
    <n v="0.27"/>
    <n v="65.63573835249727"/>
    <n v="28.596483514573499"/>
    <n v="2.0378210920790281"/>
    <m/>
    <m/>
    <m/>
    <m/>
    <m/>
    <m/>
    <m/>
    <m/>
    <m/>
    <m/>
    <m/>
    <n v="0.20940048320810425"/>
    <m/>
    <m/>
    <m/>
    <m/>
    <m/>
    <m/>
    <m/>
    <m/>
    <m/>
    <m/>
    <m/>
    <n v="1349.6999677580618"/>
    <n v="0.14432687389443993"/>
    <n v="0.23760629026936772"/>
    <n v="356.50564956314531"/>
    <n v="330.78942171854709"/>
    <x v="9"/>
    <n v="14.644015877877388"/>
    <n v="3.9965468373646496"/>
    <n v="0.3"/>
    <n v="0"/>
    <n v="0.4"/>
    <x v="0"/>
    <n v="0.46966618084447387"/>
    <n v="0.27"/>
    <n v="330.78942171854709"/>
    <n v="0.46966618084447387"/>
    <n v="22.407106886668608"/>
    <n v="143.54773590042979"/>
    <n v="60911.870924726871"/>
    <n v="31.163643840003797"/>
    <n v="121646.02577524414"/>
    <x v="0"/>
    <n v="5.1231566348736327E-6"/>
    <n v="1809118.7092472687"/>
    <n v="6.7240488506062804E-2"/>
  </r>
  <r>
    <x v="0"/>
    <n v="600"/>
    <n v="25"/>
    <x v="0"/>
    <n v="13.830954179009076"/>
    <n v="2.2021804325941314"/>
    <n v="15.456561234779386"/>
    <n v="13.145921089465762"/>
    <m/>
    <n v="0.58698147273880041"/>
    <n v="0.27"/>
    <n v="88.852362027569313"/>
    <n v="38.711610012011526"/>
    <n v="2.4310698536100723"/>
    <m/>
    <m/>
    <m/>
    <m/>
    <m/>
    <m/>
    <m/>
    <m/>
    <m/>
    <m/>
    <m/>
    <n v="0.18492959428747557"/>
    <m/>
    <m/>
    <m/>
    <m/>
    <m/>
    <m/>
    <m/>
    <m/>
    <m/>
    <m/>
    <m/>
    <n v="1525.6291759339729"/>
    <n v="0.14247544451471669"/>
    <n v="0.24925404186555661"/>
    <n v="344.51061224327407"/>
    <n v="310.09424912893485"/>
    <x v="9"/>
    <n v="14.644015877877388"/>
    <n v="3.9965468373646496"/>
    <n v="0.3"/>
    <n v="0"/>
    <n v="0.4"/>
    <x v="0"/>
    <n v="0.4957604848928156"/>
    <n v="0.27"/>
    <n v="310.09424912893485"/>
    <n v="0.4957604848928156"/>
    <n v="29.306912606420525"/>
    <n v="171.58568436792885"/>
    <n v="76504.604782700655"/>
    <n v="38.221051421368529"/>
    <n v="196705.83199299913"/>
    <x v="0"/>
    <n v="6.1555666366405463E-6"/>
    <n v="1965046.0478270066"/>
    <n v="0.10010240330526655"/>
  </r>
  <r>
    <x v="0"/>
    <n v="800"/>
    <n v="25"/>
    <x v="0"/>
    <n v="16.587175361080764"/>
    <n v="2.6255604819571881"/>
    <n v="18.487620211704389"/>
    <n v="15.93326250900602"/>
    <m/>
    <n v="0.60623509341790582"/>
    <n v="0.27"/>
    <n v="107.87762992658311"/>
    <n v="47.000627146436621"/>
    <n v="2.6930203547475955"/>
    <m/>
    <m/>
    <m/>
    <m/>
    <m/>
    <m/>
    <m/>
    <m/>
    <m/>
    <m/>
    <m/>
    <n v="0.16901876519171194"/>
    <m/>
    <m/>
    <m/>
    <m/>
    <m/>
    <m/>
    <m/>
    <m/>
    <m/>
    <m/>
    <m/>
    <n v="1640.6635826848683"/>
    <n v="0.14201722297902697"/>
    <n v="0.25687963873107106"/>
    <n v="335.42822061328889"/>
    <n v="294.15340531107182"/>
    <x v="9"/>
    <n v="14.644015877877388"/>
    <n v="3.9965468373646496"/>
    <n v="0.3"/>
    <n v="0"/>
    <n v="0.4"/>
    <x v="0"/>
    <n v="0.51806327232198901"/>
    <n v="0.27"/>
    <n v="294.15340531107182"/>
    <n v="0.51806327232198901"/>
    <n v="34.666815367884666"/>
    <n v="191.7966643399385"/>
    <n v="88099.572276889667"/>
    <n v="43.269179518074303"/>
    <n v="266541.35189662734"/>
    <x v="0"/>
    <n v="6.8127920766524837E-6"/>
    <n v="2080995.7227688967"/>
    <n v="0.12808356546835051"/>
  </r>
  <r>
    <x v="0"/>
    <n v="1000"/>
    <n v="25"/>
    <x v="0"/>
    <n v="18.763108874636853"/>
    <n v="2.9675078531604679"/>
    <n v="20.880822658261792"/>
    <n v="18.218367856442711"/>
    <m/>
    <n v="0.62794639416632814"/>
    <n v="0.27"/>
    <n v="123.52755330423257"/>
    <n v="53.819058493545306"/>
    <n v="2.8451062961549418"/>
    <m/>
    <m/>
    <m/>
    <m/>
    <m/>
    <m/>
    <m/>
    <m/>
    <m/>
    <m/>
    <m/>
    <n v="0.15616691454326978"/>
    <m/>
    <m/>
    <m/>
    <m/>
    <m/>
    <m/>
    <m/>
    <m/>
    <m/>
    <m/>
    <m/>
    <n v="1704.327136816238"/>
    <n v="0.1421164243251849"/>
    <n v="0.2622864530578346"/>
    <n v="328.46329402113821"/>
    <n v="281.77398873876814"/>
    <x v="9"/>
    <n v="14.644015877877388"/>
    <n v="3.9965468373646496"/>
    <n v="0.3"/>
    <n v="0"/>
    <n v="0.4"/>
    <x v="0"/>
    <n v="0.5412380798264087"/>
    <n v="0.27"/>
    <n v="281.77398873876814"/>
    <n v="0.5412380798264087"/>
    <n v="38.81552470098373"/>
    <n v="206.83207832671101"/>
    <n v="96712.403911640635"/>
    <n v="46.751864491171183"/>
    <n v="328230.55994108331"/>
    <x v="0"/>
    <n v="7.2578316926821135E-6"/>
    <n v="2167124.0391164063"/>
    <n v="0.15145905541932503"/>
  </r>
  <r>
    <x v="0"/>
    <n v="1300"/>
    <n v="25"/>
    <x v="0"/>
    <n v="21.352090317353241"/>
    <n v="3.4255230439100695"/>
    <n v="23.75102273235369"/>
    <n v="20.814359107755472"/>
    <m/>
    <n v="0.63239913505423573"/>
    <n v="0.27"/>
    <n v="141.39493020368647"/>
    <n v="61.603600296211958"/>
    <n v="3.0747943185826117"/>
    <m/>
    <m/>
    <m/>
    <m/>
    <m/>
    <m/>
    <m/>
    <m/>
    <m/>
    <m/>
    <m/>
    <n v="0.14772466942962165"/>
    <m/>
    <m/>
    <m/>
    <m/>
    <m/>
    <m/>
    <m/>
    <m/>
    <m/>
    <m/>
    <m/>
    <n v="1803.20591322924"/>
    <n v="0.14422633848283994"/>
    <n v="0.26341215193029827"/>
    <n v="318.94037476675248"/>
    <n v="265.80875393793406"/>
    <x v="9"/>
    <n v="14.644015877877388"/>
    <n v="3.9965468373646496"/>
    <n v="0.3"/>
    <n v="0"/>
    <n v="0.4"/>
    <x v="0"/>
    <n v="0.54789348615304834"/>
    <n v="0.27"/>
    <n v="265.80875393793406"/>
    <n v="0.54789348615304834"/>
    <n v="44.171962477727689"/>
    <n v="221.43316538064468"/>
    <n v="107217.55300774188"/>
    <n v="53.035191837521197"/>
    <n v="411651.95273288421"/>
    <x v="0"/>
    <n v="7.6842571693868376E-6"/>
    <n v="2272175.5300774188"/>
    <n v="0.18117084146173257"/>
  </r>
  <r>
    <x v="0"/>
    <n v="1600"/>
    <n v="25"/>
    <x v="0"/>
    <n v="23.208273477498089"/>
    <n v="3.7751269192017416"/>
    <n v="25.816034258410095"/>
    <n v="22.668500922271598"/>
    <m/>
    <n v="0.63196724950978367"/>
    <n v="0.27"/>
    <n v="154.22814789225583"/>
    <n v="67.194836218617681"/>
    <n v="3.2452220812730204"/>
    <m/>
    <m/>
    <m/>
    <m/>
    <m/>
    <m/>
    <m/>
    <m/>
    <m/>
    <m/>
    <m/>
    <n v="0.14315997746832121"/>
    <m/>
    <m/>
    <m/>
    <m/>
    <m/>
    <m/>
    <m/>
    <m/>
    <m/>
    <m/>
    <m/>
    <n v="1876.8763136364646"/>
    <n v="0.1462318682030691"/>
    <n v="0.26377752716463632"/>
    <n v="312.01572883419789"/>
    <n v="254.26527299995348"/>
    <x v="9"/>
    <n v="14.644015877877388"/>
    <n v="3.9965468373646496"/>
    <n v="0.3"/>
    <n v="0"/>
    <n v="0.4"/>
    <x v="0"/>
    <n v="0.54899618466429911"/>
    <n v="0.27"/>
    <n v="254.26527299995348"/>
    <n v="0.54899618466429911"/>
    <n v="48.152456226362965"/>
    <n v="230.16257717994901"/>
    <n v="114310.94537382739"/>
    <n v="57.916351344504996"/>
    <n v="477100.77345732064"/>
    <x v="0"/>
    <n v="7.9503237695657469E-6"/>
    <n v="2343109.4537382741"/>
    <n v="0.20361864559768572"/>
  </r>
  <r>
    <x v="0"/>
    <n v="1900"/>
    <n v="25"/>
    <x v="0"/>
    <n v="24.515859136838653"/>
    <n v="4.0309225889977878"/>
    <n v="27.272734079569307"/>
    <n v="23.985449845913532"/>
    <m/>
    <n v="0.63195907867533929"/>
    <n v="0.27"/>
    <n v="163.39353798843518"/>
    <n v="71.188055970065122"/>
    <n v="3.3588284345452131"/>
    <m/>
    <m/>
    <m/>
    <m/>
    <m/>
    <m/>
    <m/>
    <m/>
    <m/>
    <m/>
    <m/>
    <n v="0.14003608254683061"/>
    <m/>
    <m/>
    <m/>
    <m/>
    <m/>
    <m/>
    <m/>
    <m/>
    <m/>
    <m/>
    <m/>
    <n v="1925.6069059609504"/>
    <n v="0.14780045804125863"/>
    <n v="0.26417140963888203"/>
    <n v="307.19715214318069"/>
    <n v="246.19268868834482"/>
    <x v="9"/>
    <n v="14.644015877877388"/>
    <n v="3.9965468373646496"/>
    <n v="0.3"/>
    <n v="0"/>
    <n v="0.4"/>
    <x v="0"/>
    <n v="0.54998754218227897"/>
    <n v="0.27"/>
    <n v="246.19268868834482"/>
    <n v="0.54998754218227897"/>
    <n v="50.999503600878505"/>
    <n v="235.21069196111242"/>
    <n v="118916.7494571813"/>
    <n v="61.354767331591354"/>
    <n v="525602.3352472136"/>
    <x v="0"/>
    <n v="8.1267563012217495E-6"/>
    <n v="2389167.4945718129"/>
    <n v="0.21999392526534109"/>
  </r>
  <r>
    <x v="0"/>
    <n v="1000"/>
    <n v="25"/>
    <x v="1"/>
    <n v="17.259167472006826"/>
    <n v="5.6493697958647857"/>
    <n v="20.774880023932678"/>
    <n v="18.775575182087692"/>
    <m/>
    <n v="0.99999999945778961"/>
    <n v="0.27"/>
    <n v="129.19154929817424"/>
    <n v="56.28677459049085"/>
    <n v="1.1017911188435541"/>
    <m/>
    <m/>
    <m/>
    <m/>
    <m/>
    <m/>
    <m/>
    <m/>
    <m/>
    <m/>
    <m/>
    <n v="5.8682149982530858E-2"/>
    <m/>
    <m/>
    <m/>
    <m/>
    <m/>
    <m/>
    <m/>
    <m/>
    <m/>
    <m/>
    <m/>
    <n v="626.19277907221897"/>
    <n v="0.2719327278596414"/>
    <n v="0.21110629346945442"/>
    <n v="118.24418311572457"/>
    <n v="75.297219650441406"/>
    <x v="9"/>
    <n v="14.644015877877388"/>
    <n v="3.9965468373646496"/>
    <n v="0.3"/>
    <n v="0"/>
    <n v="0.4"/>
    <x v="0"/>
    <n v="0.99999999900000003"/>
    <n v="0.27"/>
    <n v="75.297219650441406"/>
    <n v="0.99999999900000003"/>
    <n v="49.302936809424949"/>
    <n v="222.66880120398002"/>
    <n v="108164.95273300498"/>
    <n v="53.742260393403775"/>
    <n v="319671.38135856751"/>
    <x v="1"/>
    <n v="6.3774228150363085E-6"/>
    <n v="2281649.5273300498"/>
    <n v="0.14010538320170579"/>
  </r>
  <r>
    <x v="0"/>
    <n v="1000"/>
    <n v="25"/>
    <x v="2"/>
    <n v="18.108420610389519"/>
    <n v="3.7068848563459724"/>
    <n v="20.61501134348584"/>
    <n v="18.385810089134992"/>
    <m/>
    <n v="0.67116767098876562"/>
    <n v="0.27"/>
    <n v="124.97733264831855"/>
    <n v="54.450705095740453"/>
    <n v="2.2764513818594168"/>
    <m/>
    <m/>
    <m/>
    <m/>
    <m/>
    <m/>
    <m/>
    <m/>
    <m/>
    <m/>
    <m/>
    <n v="0.12381566930274533"/>
    <m/>
    <m/>
    <m/>
    <m/>
    <m/>
    <m/>
    <m/>
    <m/>
    <m/>
    <m/>
    <m/>
    <n v="1321.497701035812"/>
    <n v="0.17981483466499837"/>
    <n v="0.25267177337052033"/>
    <n v="228.33223763449368"/>
    <n v="183.27201010610256"/>
    <x v="9"/>
    <n v="14.644015877877388"/>
    <n v="3.9965468373646496"/>
    <n v="0.3"/>
    <n v="0"/>
    <n v="0.4"/>
    <x v="0"/>
    <n v="0.56740279549025197"/>
    <n v="0.27"/>
    <n v="183.27201010610256"/>
    <n v="0.56740279549025197"/>
    <n v="42.503331318301029"/>
    <n v="210.7753597944681"/>
    <n v="100916.4273318522"/>
    <n v="50.483962174865013"/>
    <n v="323632.90782151656"/>
    <x v="1"/>
    <n v="6.8899446879477332E-6"/>
    <n v="2209164.2733185221"/>
    <n v="0.14649562811160602"/>
  </r>
  <r>
    <x v="0"/>
    <n v="1000"/>
    <n v="25"/>
    <x v="0"/>
    <n v="18.763382832880545"/>
    <n v="2.9678249782092423"/>
    <n v="20.881281550062027"/>
    <n v="18.219352022106801"/>
    <m/>
    <n v="0.62818545029929906"/>
    <n v="0.27"/>
    <n v="123.53414456394242"/>
    <n v="53.82193020420727"/>
    <n v="2.8433638008208675"/>
    <m/>
    <m/>
    <m/>
    <m/>
    <m/>
    <m/>
    <m/>
    <m/>
    <m/>
    <m/>
    <m/>
    <n v="0.15606283897313239"/>
    <m/>
    <m/>
    <m/>
    <m/>
    <m/>
    <m/>
    <m/>
    <m/>
    <m/>
    <m/>
    <m/>
    <n v="1703.4527815472811"/>
    <n v="0.14212848819139773"/>
    <n v="0.26228141851299802"/>
    <n v="328.46087633939391"/>
    <n v="281.77088113684403"/>
    <x v="9"/>
    <n v="14.644015877877388"/>
    <n v="3.9965468373646496"/>
    <n v="0.3"/>
    <n v="0"/>
    <n v="0.4"/>
    <x v="0"/>
    <n v="0.54144756214038448"/>
    <n v="0.27"/>
    <n v="281.77088113684403"/>
    <n v="0.54144756214038448"/>
    <n v="38.815752746163184"/>
    <n v="206.84984250458922"/>
    <n v="96715.080495388116"/>
    <n v="46.744648726155333"/>
    <n v="328242.39951899601"/>
    <x v="1"/>
    <n v="7.2578238864642315E-6"/>
    <n v="2167150.8049538811"/>
    <n v="0.15146264799323983"/>
  </r>
  <r>
    <x v="0"/>
    <n v="1000"/>
    <n v="25"/>
    <x v="3"/>
    <n v="19.424907650533044"/>
    <n v="2.5662113904882826"/>
    <n v="21.334806266433418"/>
    <n v="18.04902353859665"/>
    <m/>
    <n v="0.58474103930659482"/>
    <n v="0.27"/>
    <n v="122.24695343619723"/>
    <n v="53.261120791704187"/>
    <n v="3.3593796435593664"/>
    <m/>
    <m/>
    <m/>
    <m/>
    <m/>
    <m/>
    <m/>
    <m/>
    <m/>
    <m/>
    <m/>
    <n v="0.18612528463800571"/>
    <m/>
    <m/>
    <m/>
    <m/>
    <m/>
    <m/>
    <m/>
    <m/>
    <m/>
    <m/>
    <m/>
    <n v="2056.7001358337839"/>
    <n v="0.12028285415114207"/>
    <n v="0.26020062972661767"/>
    <n v="425.3464233697589"/>
    <n v="377.01031405410083"/>
    <x v="9"/>
    <n v="14.644015877877388"/>
    <n v="3.9965468373646496"/>
    <n v="0.3"/>
    <n v="0"/>
    <n v="0.4"/>
    <x v="0"/>
    <n v="0.5103798524895462"/>
    <n v="0.27"/>
    <n v="377.01031405410083"/>
    <n v="0.5103798524895462"/>
    <n v="37.156540555004995"/>
    <n v="203.40840014550105"/>
    <n v="95640.206302993683"/>
    <n v="47.308768116991665"/>
    <n v="339578.8688238766"/>
    <x v="1"/>
    <n v="7.5189842541942062E-6"/>
    <n v="2156402.063029937"/>
    <n v="0.15747474677646062"/>
  </r>
  <r>
    <x v="0"/>
    <n v="1000"/>
    <n v="25"/>
    <x v="4"/>
    <n v="19.892443311018333"/>
    <n v="2.256687345688027"/>
    <n v="21.640867565295764"/>
    <n v="17.934298703272447"/>
    <m/>
    <n v="0.56411000095303454"/>
    <n v="0.27"/>
    <n v="121.39241765394041"/>
    <n v="52.888812670803908"/>
    <n v="3.7366123602763963"/>
    <m/>
    <m/>
    <m/>
    <m/>
    <m/>
    <m/>
    <m/>
    <m/>
    <m/>
    <m/>
    <m/>
    <n v="0.20835006832994155"/>
    <m/>
    <m/>
    <m/>
    <m/>
    <m/>
    <m/>
    <m/>
    <m/>
    <m/>
    <m/>
    <m/>
    <n v="2341.9267050054095"/>
    <n v="0.10427896843225218"/>
    <n v="0.25874746329066717"/>
    <n v="523.1202383280106"/>
    <n v="473.62052486720961"/>
    <x v="9"/>
    <n v="14.644015877877388"/>
    <n v="3.9965468373646496"/>
    <n v="0.3"/>
    <n v="0"/>
    <n v="0.4"/>
    <x v="0"/>
    <n v="0.49811240931146183"/>
    <n v="0.27"/>
    <n v="473.62052486720961"/>
    <n v="0.49811240931146183"/>
    <n v="35.683072129137805"/>
    <n v="201.15389156654973"/>
    <n v="94404.135856100009"/>
    <n v="46.878341006817273"/>
    <n v="346335.57138295658"/>
    <x v="1"/>
    <n v="7.7228247768971155E-6"/>
    <n v="2144041.3585609999"/>
    <n v="0.16153399746700969"/>
  </r>
  <r>
    <x v="0"/>
    <n v="1000"/>
    <n v="25"/>
    <x v="5"/>
    <n v="20.24161381872381"/>
    <n v="2.0149057109538449"/>
    <n v="21.863530676950823"/>
    <n v="17.849707525156514"/>
    <m/>
    <n v="0.55146487314737069"/>
    <n v="0.27"/>
    <n v="120.76940477986636"/>
    <n v="52.617375526497796"/>
    <n v="4.0375953125147301"/>
    <m/>
    <m/>
    <m/>
    <m/>
    <m/>
    <m/>
    <m/>
    <m/>
    <m/>
    <m/>
    <m/>
    <n v="0.22619952213919128"/>
    <m/>
    <m/>
    <m/>
    <m/>
    <m/>
    <m/>
    <m/>
    <m/>
    <m/>
    <m/>
    <m/>
    <n v="2589.8688249529437"/>
    <n v="9.2158295049665412E-2"/>
    <n v="0.25765649189133544"/>
    <n v="621.43953497876328"/>
    <n v="571.07116869557819"/>
    <x v="9"/>
    <n v="14.644015877877388"/>
    <n v="3.9965468373646496"/>
    <n v="0.3"/>
    <n v="0"/>
    <n v="0.4"/>
    <x v="0"/>
    <n v="0.49157073911079263"/>
    <n v="0.27"/>
    <n v="571.07116869557819"/>
    <n v="0.49157073911079263"/>
    <n v="34.467739706048441"/>
    <n v="199.52503780175502"/>
    <n v="93308.696263486287"/>
    <n v="46.260563298280701"/>
    <n v="350839.66348458111"/>
    <x v="1"/>
    <n v="7.8831246910855925E-6"/>
    <n v="2133086.9626348629"/>
    <n v="0.16447508687185064"/>
  </r>
  <r>
    <x v="0"/>
    <n v="1000"/>
    <n v="25"/>
    <x v="6"/>
    <n v="20.515273927471235"/>
    <n v="1.8222211262000352"/>
    <n v="22.036305486425032"/>
    <n v="17.785645902344555"/>
    <m/>
    <n v="0.54247425009824779"/>
    <n v="0.27"/>
    <n v="120.30060523439909"/>
    <n v="52.413126761875134"/>
    <n v="4.2884334956088104"/>
    <m/>
    <m/>
    <m/>
    <m/>
    <m/>
    <m/>
    <m/>
    <m/>
    <m/>
    <m/>
    <m/>
    <n v="0.24111766978580726"/>
    <m/>
    <m/>
    <m/>
    <m/>
    <m/>
    <m/>
    <m/>
    <m/>
    <m/>
    <m/>
    <m/>
    <n v="2813.2684976875294"/>
    <n v="8.2691770965081846E-2"/>
    <n v="0.25676529496556327"/>
    <n v="720.10106377412615"/>
    <n v="669.05174988312456"/>
    <x v="9"/>
    <n v="14.644015877877388"/>
    <n v="3.9965468373646496"/>
    <n v="0.3"/>
    <n v="0"/>
    <n v="0.4"/>
    <x v="0"/>
    <n v="0.48730189988287298"/>
    <n v="0.27"/>
    <n v="669.05174988312456"/>
    <n v="0.48730189988287298"/>
    <n v="33.474144216874393"/>
    <n v="198.30748483509376"/>
    <n v="92399.677383015412"/>
    <n v="45.660913506417891"/>
    <n v="354157.76286541077"/>
    <x v="1"/>
    <n v="8.0117559673804391E-6"/>
    <n v="2123996.773830154"/>
    <n v="0.16674119623391251"/>
  </r>
  <r>
    <x v="0"/>
    <n v="1000"/>
    <n v="25"/>
    <x v="7"/>
    <n v="20.734309071056479"/>
    <n v="1.664831877601689"/>
    <n v="22.172854944616816"/>
    <n v="17.734131162962967"/>
    <m/>
    <n v="0.5352791072156291"/>
    <n v="0.27"/>
    <n v="119.92613151068184"/>
    <n v="52.249974309633174"/>
    <n v="4.5062564806588306"/>
    <m/>
    <m/>
    <m/>
    <m/>
    <m/>
    <m/>
    <m/>
    <m/>
    <m/>
    <m/>
    <m/>
    <n v="0.25410077546228876"/>
    <m/>
    <m/>
    <m/>
    <m/>
    <m/>
    <m/>
    <m/>
    <m/>
    <m/>
    <m/>
    <m/>
    <n v="3020.5556972371614"/>
    <n v="7.5084236186999512E-2"/>
    <n v="0.25605004249360902"/>
    <n v="819.02243456345445"/>
    <n v="767.42745690774643"/>
    <x v="9"/>
    <n v="14.644015877877388"/>
    <n v="3.9965468373646496"/>
    <n v="0.3"/>
    <n v="0"/>
    <n v="0.4"/>
    <x v="0"/>
    <n v="0.48394251157077217"/>
    <n v="0.27"/>
    <n v="767.42745690774643"/>
    <n v="0.48394251157077217"/>
    <n v="32.648628667524328"/>
    <n v="197.33985703687415"/>
    <n v="91630.379926509981"/>
    <n v="45.112116866921824"/>
    <n v="356645.50756115082"/>
    <x v="1"/>
    <n v="8.1171436001887981E-6"/>
    <n v="2116303.7992650997"/>
    <n v="0.16852283102501556"/>
  </r>
  <r>
    <x v="0"/>
    <n v="1000"/>
    <n v="25"/>
    <x v="8"/>
    <n v="20.91430966392517"/>
    <n v="1.5339208456364939"/>
    <n v="22.284219475451792"/>
    <n v="17.691963754477843"/>
    <m/>
    <n v="0.52915731026117796"/>
    <n v="0.27"/>
    <n v="119.62103833605886"/>
    <n v="52.117049897453029"/>
    <n v="4.6991485517044111"/>
    <m/>
    <m/>
    <m/>
    <m/>
    <m/>
    <m/>
    <m/>
    <m/>
    <m/>
    <m/>
    <m/>
    <n v="0.26560921200819521"/>
    <m/>
    <m/>
    <m/>
    <m/>
    <m/>
    <m/>
    <m/>
    <m/>
    <m/>
    <m/>
    <m/>
    <n v="3215.6611358749878"/>
    <n v="6.8834398589829676E-2"/>
    <n v="0.25545575840015716"/>
    <n v="918.12942563947195"/>
    <n v="866.08686002278341"/>
    <x v="9"/>
    <n v="14.644015877877388"/>
    <n v="3.9965468373646496"/>
    <n v="0.3"/>
    <n v="0"/>
    <n v="0.4"/>
    <x v="0"/>
    <n v="0.48102813648881815"/>
    <n v="0.27"/>
    <n v="866.08686002278341"/>
    <n v="0.48102813648881815"/>
    <n v="31.954605672716539"/>
    <n v="196.55472206082356"/>
    <n v="90979.259312027716"/>
    <n v="44.625033422526315"/>
    <n v="358597.29892370751"/>
    <x v="1"/>
    <n v="8.2050596401450041E-6"/>
    <n v="2109792.5931202769"/>
    <n v="0.16996803386884593"/>
  </r>
  <r>
    <x v="0"/>
    <n v="1000"/>
    <n v="25"/>
    <x v="9"/>
    <n v="21.065243787424887"/>
    <n v="1.4232711934582585"/>
    <n v="22.377132685436166"/>
    <n v="17.656836208558921"/>
    <m/>
    <n v="0.52372701982177139"/>
    <n v="0.27"/>
    <n v="119.36778638592835"/>
    <n v="52.006711910881648"/>
    <n v="4.8726791300031334"/>
    <m/>
    <m/>
    <m/>
    <m/>
    <m/>
    <m/>
    <m/>
    <m/>
    <m/>
    <m/>
    <m/>
    <n v="0.27596558479945382"/>
    <m/>
    <m/>
    <m/>
    <m/>
    <m/>
    <m/>
    <m/>
    <m/>
    <m/>
    <m/>
    <m/>
    <n v="3401.2967461753096"/>
    <n v="6.3603823307736562E-2"/>
    <n v="0.25495130159490137"/>
    <n v="1017.3754216760344"/>
    <n v="964.9571811737427"/>
    <x v="9"/>
    <n v="14.644015877877388"/>
    <n v="3.9965468373646496"/>
    <n v="0.3"/>
    <n v="0"/>
    <n v="0.4"/>
    <x v="0"/>
    <n v="0.47834074026863227"/>
    <n v="0.27"/>
    <n v="964.9571811737427"/>
    <n v="0.47834074026863227"/>
    <n v="31.363740739980582"/>
    <n v="195.90517300149861"/>
    <n v="90424.003450063086"/>
    <n v="44.196147511362305"/>
    <n v="360178.17325800238"/>
    <x v="1"/>
    <n v="8.2795513091547374E-6"/>
    <n v="2104240.0345006306"/>
    <n v="0.17116781705157433"/>
  </r>
  <r>
    <x v="0"/>
    <n v="1000"/>
    <n v="25"/>
    <x v="0"/>
    <n v="18.763615462997482"/>
    <n v="2.9681103363471113"/>
    <n v="20.881680003300453"/>
    <n v="18.220228978689033"/>
    <m/>
    <n v="0.62840188354043458"/>
    <n v="0.27"/>
    <n v="123.54001781283961"/>
    <n v="53.824489088581579"/>
    <n v="2.8417858298220757"/>
    <m/>
    <m/>
    <m/>
    <m/>
    <m/>
    <m/>
    <m/>
    <m/>
    <m/>
    <m/>
    <m/>
    <n v="0.15596872208060172"/>
    <m/>
    <m/>
    <m/>
    <m/>
    <m/>
    <m/>
    <m/>
    <m/>
    <m/>
    <m/>
    <m/>
    <n v="1702.661021667029"/>
    <n v="0.14213944164827672"/>
    <n v="0.26227687406886807"/>
    <n v="328.45874982454393"/>
    <n v="281.76810675599006"/>
    <x v="9"/>
    <n v="14.644015877877388"/>
    <n v="3.9965468373646496"/>
    <n v="0.3"/>
    <n v="0"/>
    <n v="0.4"/>
    <x v="0"/>
    <n v="0.54163725212503433"/>
    <n v="0.27"/>
    <n v="281.76810675599006"/>
    <n v="0.54163725212503433"/>
    <n v="38.815932220671961"/>
    <n v="206.86567280640915"/>
    <n v="96717.370498874778"/>
    <n v="46.738076045357836"/>
    <n v="328252.49243242515"/>
    <x v="2"/>
    <n v="7.2578166189653034E-6"/>
    <n v="2167173.7049887478"/>
    <n v="0.15146570469953605"/>
  </r>
  <r>
    <x v="0"/>
    <n v="1000"/>
    <n v="25"/>
    <x v="0"/>
    <n v="18.14537276030639"/>
    <n v="2.8557900000595389"/>
    <n v="20.175890036220125"/>
    <n v="17.618757413590487"/>
    <m/>
    <n v="0.63080103498458739"/>
    <n v="0.27"/>
    <n v="119.50498666728271"/>
    <n v="52.066487967073378"/>
    <n v="2.7694490975438235"/>
    <m/>
    <m/>
    <m/>
    <m/>
    <m/>
    <m/>
    <m/>
    <m/>
    <m/>
    <m/>
    <m/>
    <n v="0.15718753783439735"/>
    <m/>
    <m/>
    <m/>
    <m/>
    <m/>
    <m/>
    <m/>
    <m/>
    <m/>
    <m/>
    <m/>
    <n v="1670.6533224219365"/>
    <n v="0.14154468501428055"/>
    <n v="0.26328597617943039"/>
    <n v="331.08112697981204"/>
    <n v="285.92877365002482"/>
    <x v="9"/>
    <n v="14.644015877877388"/>
    <n v="3.9965468373646496"/>
    <n v="0.3"/>
    <n v="0"/>
    <n v="0.4"/>
    <x v="1"/>
    <n v="0.54371551290928211"/>
    <n v="0.27"/>
    <n v="285.92877365002482"/>
    <n v="0.54371551290928211"/>
    <n v="37.464184972505365"/>
    <n v="196.25682465665818"/>
    <n v="91011.857560172313"/>
    <n v="44.792085696926549"/>
    <n v="374870.50336742355"/>
    <x v="2"/>
    <n v="7.0315944340177823E-6"/>
    <n v="2110118.575601723"/>
    <n v="0.17765376206904637"/>
  </r>
  <r>
    <x v="0"/>
    <n v="1000"/>
    <n v="25"/>
    <x v="0"/>
    <n v="15.930242509965296"/>
    <n v="2.4870632588506307"/>
    <n v="17.673812091540015"/>
    <n v="15.385616396157159"/>
    <m/>
    <n v="0.62770430058074167"/>
    <n v="0.27"/>
    <n v="104.49241852679422"/>
    <n v="45.52574251167384"/>
    <n v="2.5331404367630022"/>
    <m/>
    <m/>
    <m/>
    <m/>
    <m/>
    <m/>
    <m/>
    <m/>
    <m/>
    <m/>
    <m/>
    <n v="0.16464341574223185"/>
    <m/>
    <m/>
    <m/>
    <m/>
    <m/>
    <m/>
    <m/>
    <m/>
    <m/>
    <m/>
    <m/>
    <n v="1566.5742720207695"/>
    <n v="0.14072025016273212"/>
    <n v="0.2639388241903024"/>
    <n v="339.64418626613474"/>
    <n v="300.0040536392695"/>
    <x v="9"/>
    <n v="14.644015877877388"/>
    <n v="3.9965468373646496"/>
    <n v="0.3"/>
    <n v="0"/>
    <n v="0.4"/>
    <x v="2"/>
    <n v="0.53948836155082924"/>
    <n v="0.27"/>
    <n v="300.0040536392695"/>
    <n v="0.53948836155082924"/>
    <n v="32.917423428531649"/>
    <n v="160.82340531999077"/>
    <n v="72812.461412465491"/>
    <n v="39.191775539770177"/>
    <n v="500818.06672186294"/>
    <x v="2"/>
    <n v="6.2622881124108358E-6"/>
    <n v="1928124.6141246548"/>
    <n v="0.25974361981226418"/>
  </r>
  <r>
    <x v="0"/>
    <n v="1000"/>
    <n v="25"/>
    <x v="0"/>
    <n v="13.820209020615714"/>
    <n v="2.1479616887925066"/>
    <n v="15.309211367912443"/>
    <n v="13.292594126964881"/>
    <m/>
    <n v="0.62338760828692352"/>
    <n v="0.27"/>
    <n v="90.377042733749931"/>
    <n v="39.375889987733373"/>
    <n v="2.3086007560283335"/>
    <m/>
    <m/>
    <m/>
    <m/>
    <m/>
    <m/>
    <m/>
    <m/>
    <m/>
    <m/>
    <m/>
    <n v="0.17367571250409192"/>
    <m/>
    <m/>
    <m/>
    <m/>
    <m/>
    <m/>
    <m/>
    <m/>
    <m/>
    <m/>
    <m/>
    <n v="1467.6843810308951"/>
    <n v="0.14030518210066373"/>
    <n v="0.26462142397234517"/>
    <n v="347.77365788017215"/>
    <n v="313.38400301672925"/>
    <x v="9"/>
    <n v="14.644015877877388"/>
    <n v="3.9965468373646496"/>
    <n v="0.3"/>
    <n v="0"/>
    <n v="0.4"/>
    <x v="3"/>
    <n v="0.53394134054454045"/>
    <n v="0.27"/>
    <n v="313.38400301672925"/>
    <n v="0.53394134054454045"/>
    <n v="28.64870486693243"/>
    <n v="132.03170709038"/>
    <n v="58195.230904455115"/>
    <n v="33.976894069810754"/>
    <n v="575409.88631144539"/>
    <x v="2"/>
    <n v="5.5486645173578018E-6"/>
    <n v="1781952.3090445511"/>
    <n v="0.32290981267617047"/>
  </r>
  <r>
    <x v="0"/>
    <n v="1000"/>
    <n v="25"/>
    <x v="0"/>
    <n v="12.635987731144017"/>
    <n v="1.9643661364554799"/>
    <n v="13.989581685896269"/>
    <n v="12.131965513317004"/>
    <m/>
    <n v="0.6218517056986107"/>
    <n v="0.27"/>
    <n v="82.533027475534382"/>
    <n v="35.958372966519136"/>
    <n v="2.1707525227726521"/>
    <m/>
    <m/>
    <m/>
    <m/>
    <m/>
    <m/>
    <m/>
    <m/>
    <m/>
    <m/>
    <m/>
    <n v="0.17892834597904705"/>
    <m/>
    <m/>
    <m/>
    <m/>
    <m/>
    <m/>
    <m/>
    <m/>
    <m/>
    <m/>
    <m/>
    <n v="1406.2327224474741"/>
    <n v="0.14041635987128009"/>
    <n v="0.26490153035810587"/>
    <n v="352.29930263497488"/>
    <n v="320.85646106114785"/>
    <x v="9"/>
    <n v="14.644015877877388"/>
    <n v="3.9965468373646496"/>
    <n v="0.3"/>
    <n v="0"/>
    <n v="0.4"/>
    <x v="4"/>
    <n v="0.53139980775776108"/>
    <n v="0.27"/>
    <n v="320.85646106114785"/>
    <n v="0.53139980775776108"/>
    <n v="26.279165784129702"/>
    <n v="117.48416210638395"/>
    <n v="50927.31395201241"/>
    <n v="31.080192503420964"/>
    <n v="604917.81969250785"/>
    <x v="2"/>
    <n v="5.1382339514557615E-6"/>
    <n v="1709273.1395201241"/>
    <n v="0.35390354280202263"/>
  </r>
  <r>
    <x v="0"/>
    <n v="1000"/>
    <n v="25"/>
    <x v="0"/>
    <n v="11.162514920306302"/>
    <n v="1.7420951408867302"/>
    <n v="12.353998709113277"/>
    <n v="10.697236656996825"/>
    <m/>
    <n v="0.62047663549088772"/>
    <n v="0.27"/>
    <n v="72.821532070101853"/>
    <n v="31.727223516019478"/>
    <n v="1.9878917712085666"/>
    <m/>
    <m/>
    <m/>
    <m/>
    <m/>
    <m/>
    <m/>
    <m/>
    <m/>
    <m/>
    <m/>
    <n v="0.18583227004782873"/>
    <m/>
    <m/>
    <m/>
    <m/>
    <m/>
    <m/>
    <m/>
    <m/>
    <m/>
    <m/>
    <m/>
    <n v="1324.0470371008316"/>
    <n v="0.14101467726410108"/>
    <n v="0.26500104029369986"/>
    <n v="357.87746754527859"/>
    <n v="330.10115149654683"/>
    <x v="9"/>
    <n v="14.644015877877388"/>
    <n v="3.9965468373646496"/>
    <n v="0.3"/>
    <n v="0"/>
    <n v="0.4"/>
    <x v="5"/>
    <n v="0.52842956507148509"/>
    <n v="0.27"/>
    <n v="330.10115149654683"/>
    <n v="0.52842956507148509"/>
    <n v="23.356104252534571"/>
    <n v="100.63932792937305"/>
    <n v="42656.755787554626"/>
    <n v="27.53515941607106"/>
    <n v="633066.44167435134"/>
    <x v="2"/>
    <n v="4.6092230495541526E-6"/>
    <n v="1626567.5578755462"/>
    <n v="0.38920390278851807"/>
  </r>
  <r>
    <x v="0"/>
    <n v="1000"/>
    <n v="25"/>
    <x v="0"/>
    <n v="9.2318071563564317"/>
    <n v="1.4564713832291449"/>
    <n v="10.218220821027014"/>
    <n v="8.8376396679684106"/>
    <m/>
    <n v="0.61927753768506733"/>
    <n v="0.27"/>
    <n v="60.211341921127513"/>
    <n v="26.233157268541031"/>
    <n v="1.7362036909488667"/>
    <m/>
    <m/>
    <m/>
    <m/>
    <m/>
    <m/>
    <m/>
    <m/>
    <m/>
    <m/>
    <m/>
    <n v="0.19645558725840015"/>
    <m/>
    <m/>
    <m/>
    <m/>
    <m/>
    <m/>
    <m/>
    <m/>
    <m/>
    <m/>
    <m/>
    <n v="1210.3206117531938"/>
    <n v="0.1425366909503486"/>
    <n v="0.26521164607788356"/>
    <n v="365.19079273899848"/>
    <n v="342.21876627875992"/>
    <x v="9"/>
    <n v="14.644015877877388"/>
    <n v="3.9965468373646496"/>
    <n v="0.3"/>
    <n v="0"/>
    <n v="0.4"/>
    <x v="6"/>
    <n v="0.52470673816324931"/>
    <n v="0.27"/>
    <n v="342.21876627875992"/>
    <n v="0.52470673816324931"/>
    <n v="19.537689366394634"/>
    <n v="80.370101677539566"/>
    <n v="32982.131111569237"/>
    <n v="22.901087544864748"/>
    <n v="653721.58982481307"/>
    <x v="2"/>
    <n v="3.8881894636738714E-6"/>
    <n v="1529821.3111156924"/>
    <n v="0.42731891958548845"/>
  </r>
  <r>
    <x v="0"/>
    <n v="1000"/>
    <n v="25"/>
    <x v="0"/>
    <n v="8.007675137851578"/>
    <n v="1.2791012515732012"/>
    <n v="8.8681291708105245"/>
    <n v="7.6650365238806302"/>
    <m/>
    <n v="0.61905393416442489"/>
    <n v="0.27"/>
    <n v="52.247664128827331"/>
    <n v="22.763505118368755"/>
    <n v="1.5644693772755796"/>
    <m/>
    <m/>
    <m/>
    <m/>
    <m/>
    <m/>
    <m/>
    <m/>
    <m/>
    <m/>
    <m/>
    <n v="0.20410462134152035"/>
    <m/>
    <m/>
    <m/>
    <m/>
    <m/>
    <m/>
    <m/>
    <m/>
    <m/>
    <m/>
    <m/>
    <n v="1132.096478032626"/>
    <n v="0.14423574881874376"/>
    <n v="0.26504731260503639"/>
    <n v="369.78775200869774"/>
    <n v="349.86178939483682"/>
    <x v="9"/>
    <n v="14.644015877877388"/>
    <n v="3.9965468373646496"/>
    <n v="0.3"/>
    <n v="0"/>
    <n v="0.4"/>
    <x v="7"/>
    <n v="0.52250293989276619"/>
    <n v="0.27"/>
    <n v="349.86178939483682"/>
    <n v="0.52250293989276619"/>
    <n v="17.12488390594255"/>
    <n v="68.352854058043917"/>
    <n v="27438.717723056492"/>
    <n v="20.00850881089459"/>
    <n v="659358.83066214551"/>
    <x v="2"/>
    <n v="3.408664912190625E-6"/>
    <n v="1474387.1772305649"/>
    <n v="0.44720873922727755"/>
  </r>
  <r>
    <x v="0"/>
    <n v="1000"/>
    <n v="25"/>
    <x v="0"/>
    <n v="6.4805470899746052"/>
    <n v="1.0592526145616838"/>
    <n v="7.1865350221472779"/>
    <n v="6.2118841125927968"/>
    <m/>
    <n v="0.62030306464037133"/>
    <n v="0.27"/>
    <n v="42.366654022888653"/>
    <n v="18.458500715366426"/>
    <n v="1.3354070412369081"/>
    <m/>
    <m/>
    <m/>
    <m/>
    <m/>
    <m/>
    <m/>
    <m/>
    <m/>
    <m/>
    <m/>
    <n v="0.21497616778293674"/>
    <m/>
    <m/>
    <m/>
    <m/>
    <m/>
    <m/>
    <m/>
    <m/>
    <m/>
    <m/>
    <m/>
    <n v="1027.1035545899135"/>
    <n v="0.1473940656098254"/>
    <n v="0.26479597840501135"/>
    <n v="375.52626316679755"/>
    <n v="359.40003397145995"/>
    <x v="9"/>
    <n v="14.644015877877388"/>
    <n v="3.9965468373646496"/>
    <n v="0.3"/>
    <n v="0"/>
    <n v="0.4"/>
    <x v="8"/>
    <n v="0.52087457460120334"/>
    <n v="0.27"/>
    <n v="359.40003397145995"/>
    <n v="0.52087457460120334"/>
    <n v="14.103150885215335"/>
    <n v="54.15585486828531"/>
    <n v="21106.12309818748"/>
    <n v="16.388795088446962"/>
    <n v="653957.61736705678"/>
    <x v="2"/>
    <n v="2.7904651347246097E-6"/>
    <n v="1411061.2309818747"/>
    <n v="0.46345091411235645"/>
  </r>
  <r>
    <x v="0"/>
    <n v="1000"/>
    <n v="25"/>
    <x v="0"/>
    <n v="4.407362017924318"/>
    <n v="0.75777400750605506"/>
    <n v="4.9049494355511074"/>
    <n v="4.2503565292216221"/>
    <m/>
    <n v="0.62343968216230095"/>
    <n v="0.27"/>
    <n v="29.009506273046874"/>
    <n v="12.638996509003825"/>
    <n v="1.0000416388141433"/>
    <m/>
    <m/>
    <m/>
    <m/>
    <m/>
    <m/>
    <m/>
    <m/>
    <m/>
    <m/>
    <m/>
    <n v="0.23528417720696088"/>
    <m/>
    <m/>
    <m/>
    <m/>
    <m/>
    <m/>
    <m/>
    <m/>
    <m/>
    <m/>
    <m/>
    <n v="872.39672832374106"/>
    <n v="0.15449170627809206"/>
    <n v="0.26459549178640912"/>
    <n v="383.34301923223205"/>
    <n v="372.37590891666974"/>
    <x v="9"/>
    <n v="14.644015877877388"/>
    <n v="3.9965468373646496"/>
    <n v="0.3"/>
    <n v="0"/>
    <n v="0.4"/>
    <x v="9"/>
    <n v="0.5199659325667646"/>
    <n v="0.27"/>
    <n v="372.37590891666974"/>
    <n v="0.5199659325667646"/>
    <n v="9.9396008740585966"/>
    <n v="36.035243548989769"/>
    <n v="13442.209849250057"/>
    <n v="11.444922000514755"/>
    <n v="620572.65984721412"/>
    <x v="2"/>
    <n v="1.90627748527877E-6"/>
    <n v="1334422.0984925006"/>
    <n v="0.46504974741371291"/>
  </r>
  <r>
    <x v="0"/>
    <n v="1000"/>
    <n v="25"/>
    <x v="0"/>
    <n v="18.762760730651756"/>
    <n v="2.9670868254584226"/>
    <n v="20.880229799386228"/>
    <n v="18.21707333406809"/>
    <m/>
    <n v="0.62762646028557267"/>
    <n v="0.27"/>
    <n v="123.51888354359326"/>
    <n v="53.815281211938974"/>
    <n v="2.8474443904319351"/>
    <m/>
    <m/>
    <m/>
    <m/>
    <m/>
    <m/>
    <m/>
    <m/>
    <m/>
    <m/>
    <m/>
    <n v="0.1563063582286226"/>
    <m/>
    <m/>
    <m/>
    <m/>
    <m/>
    <m/>
    <m/>
    <m/>
    <m/>
    <m/>
    <m/>
    <n v="1705.5002377836518"/>
    <n v="0.14210029554107875"/>
    <n v="0.26229327506131866"/>
    <n v="328.46648193223632"/>
    <n v="281.77804256768553"/>
    <x v="9"/>
    <n v="14.644015877877388"/>
    <n v="3.9965468373646496"/>
    <n v="0.3"/>
    <n v="0"/>
    <n v="0.4"/>
    <x v="0"/>
    <n v="0.54095784383766043"/>
    <n v="0.27"/>
    <n v="281.77804256768553"/>
    <n v="0.54095784383766043"/>
    <n v="38.815258937315839"/>
    <n v="206.8087146036649"/>
    <n v="96709.012646921561"/>
    <n v="46.76154779843867"/>
    <n v="328215.53764281783"/>
    <x v="3"/>
    <n v="7.2578412366062133E-6"/>
    <n v="2167090.1264692154"/>
    <n v="0.15145449357824864"/>
  </r>
  <r>
    <x v="1"/>
    <n v="1000"/>
    <n v="25"/>
    <x v="0"/>
    <n v="18.696528317839192"/>
    <n v="3.0111249543559557"/>
    <n v="20.836857923812939"/>
    <n v="18.238266944079367"/>
    <m/>
    <n v="0.63367971867810546"/>
    <n v="0.27"/>
    <n v="123.67911325840946"/>
    <n v="53.885090838726114"/>
    <n v="2.7897691922647638"/>
    <m/>
    <m/>
    <m/>
    <m/>
    <m/>
    <m/>
    <m/>
    <m/>
    <m/>
    <m/>
    <m/>
    <n v="0.15296240595767779"/>
    <m/>
    <m/>
    <m/>
    <m/>
    <m/>
    <m/>
    <m/>
    <m/>
    <m/>
    <m/>
    <m/>
    <n v="1668.1833946142342"/>
    <n v="0.144509549633909"/>
    <n v="0.23318899425293285"/>
    <n v="319.82242396242918"/>
    <n v="273.29879848185277"/>
    <x v="9"/>
    <n v="14.644015877877388"/>
    <n v="3.9965468373646496"/>
    <n v="0.3"/>
    <n v="0"/>
    <n v="0.4"/>
    <x v="0"/>
    <n v="0.54561042943305893"/>
    <n v="0.27"/>
    <n v="273.29879848185277"/>
    <n v="0.54561042943305893"/>
    <n v="38.985736876731551"/>
    <n v="207.24092273616643"/>
    <n v="96857.691789422548"/>
    <n v="46.665928782141371"/>
    <n v="327168.53470409702"/>
    <x v="3"/>
    <n v="7.2301846965220724E-6"/>
    <n v="2168576.9178942256"/>
    <n v="0.15086784886643112"/>
  </r>
  <r>
    <x v="2"/>
    <n v="1000"/>
    <n v="25"/>
    <x v="0"/>
    <n v="18.650556258873838"/>
    <n v="3.0835263482869841"/>
    <n v="20.829897604100296"/>
    <n v="18.271020068409257"/>
    <m/>
    <n v="0.63635850154907669"/>
    <n v="0.27"/>
    <n v="123.92507793175167"/>
    <n v="53.992253870680187"/>
    <n v="2.7397233127217326"/>
    <m/>
    <m/>
    <m/>
    <m/>
    <m/>
    <m/>
    <m/>
    <m/>
    <m/>
    <m/>
    <m/>
    <n v="0.14994911627614796"/>
    <m/>
    <m/>
    <m/>
    <m/>
    <m/>
    <m/>
    <m/>
    <m/>
    <m/>
    <m/>
    <m/>
    <n v="1631.7407939992131"/>
    <n v="0.14803367769220346"/>
    <n v="0.20336105339893795"/>
    <n v="308.28845569418536"/>
    <n v="261.87913763834729"/>
    <x v="9"/>
    <n v="14.644015877877388"/>
    <n v="3.9965468373646496"/>
    <n v="0.3"/>
    <n v="0"/>
    <n v="0.4"/>
    <x v="0"/>
    <n v="0.54672114773827885"/>
    <n v="0.27"/>
    <n v="261.87913763834729"/>
    <n v="0.54672114773827885"/>
    <n v="39.385468001593814"/>
    <n v="207.90609861459217"/>
    <n v="97447.568339316713"/>
    <n v="47.125169818594728"/>
    <n v="327538.87304583425"/>
    <x v="3"/>
    <n v="7.1931243673948433E-6"/>
    <n v="2174475.6833931673"/>
    <n v="0.15062889667946308"/>
  </r>
  <r>
    <x v="3"/>
    <n v="1000"/>
    <n v="25"/>
    <x v="0"/>
    <n v="18.554925649226959"/>
    <n v="3.1802916177707736"/>
    <n v="20.784960964025469"/>
    <n v="18.286266384013132"/>
    <m/>
    <n v="0.64055311543116922"/>
    <n v="0.27"/>
    <n v="124.06635325756132"/>
    <n v="54.053805361178163"/>
    <n v="2.6660315770967529"/>
    <m/>
    <m/>
    <m/>
    <m/>
    <m/>
    <m/>
    <m/>
    <m/>
    <m/>
    <m/>
    <m/>
    <n v="0.14579419992631987"/>
    <m/>
    <m/>
    <m/>
    <m/>
    <m/>
    <m/>
    <m/>
    <m/>
    <m/>
    <m/>
    <m/>
    <n v="1579.9013794912564"/>
    <n v="0.15300926584732155"/>
    <n v="0.17350283915817663"/>
    <n v="293.05693359685563"/>
    <n v="246.88559094287913"/>
    <x v="9"/>
    <n v="14.644015877877388"/>
    <n v="3.9965468373646496"/>
    <n v="0.3"/>
    <n v="0"/>
    <n v="0.4"/>
    <x v="0"/>
    <n v="0.54867876972700957"/>
    <n v="0.27"/>
    <n v="246.88559094287913"/>
    <n v="0.54867876972700957"/>
    <n v="39.878653451415502"/>
    <n v="208.28909466116394"/>
    <n v="97988.162814822164"/>
    <n v="47.66670770408588"/>
    <n v="326739.86300476239"/>
    <x v="3"/>
    <n v="7.1415340574722094E-6"/>
    <n v="2179881.6281482214"/>
    <n v="0.14988880991777673"/>
  </r>
  <r>
    <x v="4"/>
    <n v="1000"/>
    <n v="25"/>
    <x v="0"/>
    <n v="18.408039486909374"/>
    <n v="3.3324290009686841"/>
    <n v="20.71748399095317"/>
    <n v="18.301710241651573"/>
    <m/>
    <n v="0.64782304016654035"/>
    <n v="0.27"/>
    <n v="124.23442338694926"/>
    <n v="54.12703093622271"/>
    <n v="2.5492254498906561"/>
    <m/>
    <m/>
    <m/>
    <m/>
    <m/>
    <m/>
    <m/>
    <m/>
    <m/>
    <m/>
    <m/>
    <n v="0.13928891979117086"/>
    <m/>
    <m/>
    <m/>
    <m/>
    <m/>
    <m/>
    <m/>
    <m/>
    <m/>
    <m/>
    <m/>
    <n v="1500.413638116376"/>
    <n v="0.16085104747390544"/>
    <n v="0.1433723854618523"/>
    <n v="271.60679912236458"/>
    <n v="225.80091317104743"/>
    <x v="9"/>
    <n v="14.644015877877388"/>
    <n v="3.9965468373646496"/>
    <n v="0.3"/>
    <n v="0"/>
    <n v="0.4"/>
    <x v="0"/>
    <n v="0.55239908338196997"/>
    <n v="0.27"/>
    <n v="225.80091317104743"/>
    <n v="0.55239908338196997"/>
    <n v="40.644534108121235"/>
    <n v="208.7456262436867"/>
    <n v="98735.619376759947"/>
    <n v="48.546375180093946"/>
    <n v="325296.06503146165"/>
    <x v="3"/>
    <n v="7.0657227408328476E-6"/>
    <n v="2187356.1937675998"/>
    <n v="0.14871654921055963"/>
  </r>
  <r>
    <x v="5"/>
    <n v="1000"/>
    <n v="25"/>
    <x v="0"/>
    <n v="18.196177455069108"/>
    <n v="3.6167577620576976"/>
    <n v="20.655780895823018"/>
    <n v="18.372563524450282"/>
    <m/>
    <n v="0.66565266507788567"/>
    <n v="0.27"/>
    <n v="124.83805873514304"/>
    <n v="54.390025590000086"/>
    <n v="2.3359307726122083"/>
    <m/>
    <m/>
    <m/>
    <m/>
    <m/>
    <m/>
    <m/>
    <m/>
    <m/>
    <m/>
    <m/>
    <n v="0.12714234295630777"/>
    <m/>
    <m/>
    <m/>
    <m/>
    <m/>
    <m/>
    <m/>
    <m/>
    <m/>
    <m/>
    <m/>
    <n v="1361.3374661694384"/>
    <n v="0.17509663664127426"/>
    <n v="0.11277507486065476"/>
    <n v="238.65071712386481"/>
    <n v="193.37207986333499"/>
    <x v="9"/>
    <n v="14.644015877877388"/>
    <n v="3.9965468373646496"/>
    <n v="0.3"/>
    <n v="0"/>
    <n v="0.4"/>
    <x v="0"/>
    <n v="0.56377565468702262"/>
    <n v="0.27"/>
    <n v="193.37207986333499"/>
    <n v="0.56377565468702262"/>
    <n v="42.073220731474841"/>
    <n v="210.39337345172655"/>
    <n v="100461.87299850372"/>
    <n v="50.096450438298469"/>
    <n v="324539.08506718231"/>
    <x v="3"/>
    <n v="6.934677707593026E-6"/>
    <n v="2204618.7299850374"/>
    <n v="0.14720871262369478"/>
  </r>
  <r>
    <x v="6"/>
    <n v="1000"/>
    <n v="25"/>
    <x v="0"/>
    <n v="17.687175980703628"/>
    <n v="4.6929848920576234"/>
    <n v="20.711342007589547"/>
    <n v="18.65156264222983"/>
    <m/>
    <n v="0.79941972003724759"/>
    <n v="0.27"/>
    <n v="127.23662324556585"/>
    <n v="55.435043322756904"/>
    <n v="1.5501505182224875"/>
    <m/>
    <m/>
    <m/>
    <m/>
    <m/>
    <m/>
    <m/>
    <m/>
    <m/>
    <m/>
    <m/>
    <n v="8.3111026564215207E-2"/>
    <m/>
    <m/>
    <m/>
    <m/>
    <m/>
    <m/>
    <m/>
    <m/>
    <m/>
    <m/>
    <m/>
    <n v="899.48629697901697"/>
    <n v="0.22659009205380837"/>
    <n v="7.6377139006030978E-2"/>
    <n v="168.42316678938454"/>
    <n v="124.41103786777492"/>
    <x v="9"/>
    <n v="14.644015877877388"/>
    <n v="3.9965468373646496"/>
    <n v="0.3"/>
    <n v="0"/>
    <n v="0.4"/>
    <x v="0"/>
    <n v="0.68945948778034782"/>
    <n v="0.27"/>
    <n v="124.41103786777492"/>
    <n v="0.68945948778034782"/>
    <n v="46.672867993805269"/>
    <n v="217.06919038250683"/>
    <n v="105941.08078742224"/>
    <n v="54.000241960336581"/>
    <n v="324808.18005624256"/>
    <x v="3"/>
    <n v="6.5856473897569526E-6"/>
    <n v="2259410.8078742223"/>
    <n v="0.1437579119849568"/>
  </r>
  <r>
    <x v="7"/>
    <n v="1000"/>
    <n v="25"/>
    <x v="0"/>
    <n v="17.230420950829668"/>
    <n v="5.6728240090280488"/>
    <n v="20.790422142177523"/>
    <n v="18.83271116314387"/>
    <m/>
    <n v="0.99999999931668315"/>
    <n v="0.27"/>
    <n v="133.04365250820305"/>
    <n v="57.96507681892664"/>
    <n v="1.1681366999562961"/>
    <m/>
    <m/>
    <m/>
    <m/>
    <m/>
    <m/>
    <m/>
    <m/>
    <m/>
    <m/>
    <m/>
    <n v="6.2027006618270208E-2"/>
    <m/>
    <m/>
    <m/>
    <m/>
    <m/>
    <m/>
    <m/>
    <m/>
    <m/>
    <m/>
    <m/>
    <n v="623.91670647519788"/>
    <n v="0.2728575673083421"/>
    <n v="5.4307320179967908E-2"/>
    <n v="82.723785785596988"/>
    <n v="39.8483564970483"/>
    <x v="9"/>
    <n v="14.644015877877388"/>
    <n v="3.9965468373646496"/>
    <n v="0.3"/>
    <n v="0"/>
    <n v="0.4"/>
    <x v="0"/>
    <n v="0.99999999900000003"/>
    <n v="0.27"/>
    <n v="39.8483564970483"/>
    <n v="0.99999999900000003"/>
    <n v="49.439900196817611"/>
    <n v="234.15111697011156"/>
    <n v="114159.97862641717"/>
    <n v="55.284557763421404"/>
    <n v="336142.805298288"/>
    <x v="3"/>
    <n v="6.1760999142171974E-6"/>
    <n v="2341599.7862641718"/>
    <n v="0.14355262896337037"/>
  </r>
  <r>
    <x v="8"/>
    <n v="1000"/>
    <n v="25"/>
    <x v="0"/>
    <n v="11.684941070145264"/>
    <n v="3.9721587303364143"/>
    <n v="14.095331268913544"/>
    <n v="12.828523928355626"/>
    <m/>
    <n v="0.99999999937934692"/>
    <n v="0.27"/>
    <n v="89.546692385381093"/>
    <n v="39.014119089066455"/>
    <n v="0.88899635876098593"/>
    <m/>
    <m/>
    <m/>
    <m/>
    <m/>
    <m/>
    <m/>
    <m/>
    <m/>
    <m/>
    <m/>
    <n v="6.929841373222885E-2"/>
    <m/>
    <m/>
    <m/>
    <m/>
    <m/>
    <m/>
    <m/>
    <m/>
    <m/>
    <m/>
    <m/>
    <n v="511.64093967833185"/>
    <n v="0.28180669574590178"/>
    <n v="3.8465023482371047E-2"/>
    <n v="96.219057931926045"/>
    <n v="67.142760297839089"/>
    <x v="9"/>
    <n v="14.644015877877388"/>
    <n v="3.9965468373646496"/>
    <n v="0.3"/>
    <n v="0"/>
    <n v="0.4"/>
    <x v="0"/>
    <n v="0.99999999900000003"/>
    <n v="0.27"/>
    <n v="67.142760297839089"/>
    <n v="0.99999999900000003"/>
    <n v="35.689250866932575"/>
    <n v="130.44749232415361"/>
    <n v="60812.54626987801"/>
    <n v="39.276841115875328"/>
    <n v="675266.70656815823"/>
    <x v="3"/>
    <n v="4.3783411689005725E-6"/>
    <n v="1808125.46269878"/>
    <n v="0.37346230695754135"/>
  </r>
  <r>
    <x v="9"/>
    <n v="1000"/>
    <n v="25"/>
    <x v="0"/>
    <n v="3.8866984643896663"/>
    <n v="0.81835201522337264"/>
    <n v="4.4062272325085043"/>
    <n v="3.8904177322586397"/>
    <m/>
    <n v="0.63828634392622297"/>
    <n v="0.27"/>
    <n v="26.605062812892747"/>
    <n v="11.591417408106798"/>
    <n v="0.88237437322493273"/>
    <m/>
    <m/>
    <m/>
    <m/>
    <m/>
    <m/>
    <m/>
    <m/>
    <m/>
    <m/>
    <m/>
    <n v="0.22680710246317359"/>
    <m/>
    <m/>
    <m/>
    <m/>
    <m/>
    <m/>
    <m/>
    <m/>
    <m/>
    <m/>
    <m/>
    <n v="727.94895252446292"/>
    <n v="0.18572623971494034"/>
    <n v="3.7528513323133297E-2"/>
    <n v="296.43345498597648"/>
    <n v="286.76176591199624"/>
    <x v="9"/>
    <n v="14.644015877877388"/>
    <n v="3.9965468373646496"/>
    <n v="0.3"/>
    <n v="0"/>
    <n v="0.4"/>
    <x v="0"/>
    <n v="0.52355718164534693"/>
    <n v="0.27"/>
    <n v="286.76176591199624"/>
    <n v="0.52355718164534693"/>
    <n v="9.85326182905815"/>
    <n v="32.888408388241224"/>
    <n v="12485.470679501093"/>
    <n v="11.252695814619498"/>
    <n v="874432.16881790326"/>
    <x v="3"/>
    <n v="1.3817082152922229E-6"/>
    <n v="1324854.7067950109"/>
    <n v="0.66002118144204958"/>
  </r>
  <r>
    <x v="0"/>
    <n v="100"/>
    <n v="25"/>
    <x v="0"/>
    <n v="3.3388686339411637"/>
    <n v="0.96795023796543034"/>
    <n v="4.0511734707420848"/>
    <n v="0"/>
    <m/>
    <n v="4.8305664675071932E-4"/>
    <n v="1E-8"/>
    <n v="17.453454226704167"/>
    <n v="10.472072454573047"/>
    <n v="-1.7201019725051094E-3"/>
    <m/>
    <m/>
    <m/>
    <m/>
    <m/>
    <m/>
    <m/>
    <m/>
    <m/>
    <m/>
    <m/>
    <s v="-"/>
    <m/>
    <m/>
    <m/>
    <m/>
    <m/>
    <m/>
    <m/>
    <m/>
    <m/>
    <m/>
    <m/>
    <n v="375.16203551263084"/>
    <n v="0.23893082953767553"/>
    <n v="0.2130792053247057"/>
    <n v="384.33038724331101"/>
    <n v="376.02208649888348"/>
    <x v="0"/>
    <n v="0"/>
    <n v="0"/>
    <n v="0"/>
    <n v="0"/>
    <n v="0"/>
    <x v="0"/>
    <n v="4.8374957792260192E-4"/>
    <n v="1E-8"/>
    <n v="376.02208649888348"/>
    <n v="4.8374957792260192E-4"/>
    <n v="10.789793960922248"/>
    <n v="69.922269616369618"/>
    <n v="26361.277442749106"/>
    <n v="21.409617510912682"/>
    <n v="19357.27438315349"/>
    <x v="0"/>
    <n v="2.0453826642686299E-6"/>
    <n v="1463612.774427491"/>
    <n v="1.3225680126169512E-2"/>
  </r>
  <r>
    <x v="0"/>
    <n v="200"/>
    <n v="25"/>
    <x v="0"/>
    <n v="6.0307124784606332"/>
    <n v="1.818816378192039"/>
    <n v="7.2788229399678688"/>
    <n v="0"/>
    <m/>
    <n v="3.4154892583676847E-4"/>
    <n v="1E-8"/>
    <n v="32.278664988561239"/>
    <n v="19.367198842502976"/>
    <n v="-2.1702587604042899E-3"/>
    <m/>
    <m/>
    <m/>
    <m/>
    <m/>
    <m/>
    <m/>
    <m/>
    <m/>
    <m/>
    <m/>
    <s v="-"/>
    <m/>
    <m/>
    <m/>
    <m/>
    <m/>
    <m/>
    <m/>
    <m/>
    <m/>
    <m/>
    <m/>
    <n v="358.46364329262627"/>
    <n v="0.24987781584917462"/>
    <n v="0.2370129459391345"/>
    <n v="374.5553456813733"/>
    <n v="359.54877267282842"/>
    <x v="0"/>
    <n v="0"/>
    <n v="0"/>
    <n v="0"/>
    <n v="0"/>
    <n v="0"/>
    <x v="0"/>
    <n v="3.4202187652592115E-4"/>
    <n v="1E-8"/>
    <n v="359.54877267282842"/>
    <n v="3.4202187652592115E-4"/>
    <n v="19.94095459257202"/>
    <n v="101.42027223822511"/>
    <n v="42949.997616895082"/>
    <n v="34.060636726261215"/>
    <n v="52997.804706008872"/>
    <x v="0"/>
    <n v="3.3696808862799825E-6"/>
    <n v="1629499.9761689508"/>
    <n v="3.2523967769922765E-2"/>
  </r>
  <r>
    <x v="0"/>
    <n v="300"/>
    <n v="25"/>
    <x v="0"/>
    <n v="8.2807406084380375"/>
    <n v="2.5942128509681059"/>
    <n v="9.9989425040842512"/>
    <n v="0"/>
    <m/>
    <n v="2.7433953683637501E-4"/>
    <n v="1E-8"/>
    <n v="45.332564036094126"/>
    <n v="27.19953821010451"/>
    <n v="-2.3806262013745865E-3"/>
    <m/>
    <m/>
    <m/>
    <m/>
    <m/>
    <m/>
    <m/>
    <m/>
    <m/>
    <m/>
    <m/>
    <s v="-"/>
    <m/>
    <m/>
    <m/>
    <m/>
    <m/>
    <m/>
    <m/>
    <m/>
    <m/>
    <m/>
    <m/>
    <n v="345.09489167093153"/>
    <n v="0.2594487216931643"/>
    <n v="0.2501027019760238"/>
    <n v="366.89063915338318"/>
    <n v="346.28520477161891"/>
    <x v="0"/>
    <n v="0"/>
    <n v="0"/>
    <n v="0"/>
    <n v="0"/>
    <n v="0"/>
    <x v="0"/>
    <n v="2.7470166522821916E-4"/>
    <n v="1E-8"/>
    <n v="346.28520477161891"/>
    <n v="2.7470166522821916E-4"/>
    <n v="28.059184941412656"/>
    <n v="123.9715973192674"/>
    <n v="56628.041515723446"/>
    <n v="44.466590745597216"/>
    <n v="90892.280448562553"/>
    <x v="0"/>
    <n v="4.2359494571440978E-6"/>
    <n v="1766280.4151572343"/>
    <n v="5.145971141873943E-2"/>
  </r>
  <r>
    <x v="0"/>
    <n v="400"/>
    <n v="25"/>
    <x v="0"/>
    <n v="10.603788783104022"/>
    <n v="3.5221387097424719"/>
    <n v="12.899949701598635"/>
    <n v="0"/>
    <m/>
    <n v="2.3051396734864789E-4"/>
    <n v="1E-8"/>
    <n v="58.361444924772854"/>
    <n v="35.016866682510305"/>
    <n v="-2.5593925931615413E-3"/>
    <m/>
    <m/>
    <m/>
    <m/>
    <m/>
    <m/>
    <m/>
    <m/>
    <m/>
    <m/>
    <m/>
    <s v="-"/>
    <m/>
    <m/>
    <m/>
    <m/>
    <m/>
    <m/>
    <m/>
    <m/>
    <m/>
    <m/>
    <m/>
    <n v="327.77418031909588"/>
    <n v="0.27303507309846242"/>
    <n v="0.23796601694274375"/>
    <n v="355.43990306122004"/>
    <n v="329.0538766156767"/>
    <x v="0"/>
    <n v="0"/>
    <n v="0"/>
    <n v="0"/>
    <n v="0"/>
    <n v="0"/>
    <x v="0"/>
    <n v="2.3093276296534004E-4"/>
    <n v="1E-8"/>
    <n v="329.0538766156767"/>
    <n v="2.3093276296534004E-4"/>
    <n v="37.42017327939314"/>
    <n v="150.47898844488969"/>
    <n v="78019.779022156566"/>
    <n v="63.557637004461142"/>
    <n v="148074.37615167769"/>
    <x v="0"/>
    <n v="4.7498779216375201E-6"/>
    <n v="1980197.7902215656"/>
    <n v="7.4777568626167162E-2"/>
  </r>
  <r>
    <x v="0"/>
    <n v="600"/>
    <n v="25"/>
    <x v="0"/>
    <n v="13.304145322862087"/>
    <n v="4.5792720640327103"/>
    <n v="16.188116912353806"/>
    <n v="0"/>
    <m/>
    <n v="1.8674137932913099E-4"/>
    <n v="1E-8"/>
    <n v="76.947490934990185"/>
    <n v="46.168494201905808"/>
    <n v="-2.5865106116812289E-3"/>
    <m/>
    <m/>
    <m/>
    <m/>
    <m/>
    <m/>
    <m/>
    <m/>
    <m/>
    <m/>
    <m/>
    <s v="-"/>
    <m/>
    <m/>
    <m/>
    <m/>
    <m/>
    <m/>
    <m/>
    <m/>
    <m/>
    <m/>
    <m/>
    <n v="316.3102407005984"/>
    <n v="0.28287861329553921"/>
    <n v="0.26991024554878568"/>
    <n v="350.70900218770169"/>
    <n v="317.60349600643906"/>
    <x v="0"/>
    <n v="0"/>
    <n v="0"/>
    <n v="0"/>
    <n v="0"/>
    <n v="0"/>
    <x v="0"/>
    <n v="1.8696237078898205E-4"/>
    <n v="1E-8"/>
    <n v="317.60349600643906"/>
    <n v="1.8696237078898205E-4"/>
    <n v="48.067831040931772"/>
    <n v="169.00687420670144"/>
    <n v="88246.727700960051"/>
    <n v="68.727348783443546"/>
    <n v="207005.69953948504"/>
    <x v="0"/>
    <n v="5.5688135209984772E-6"/>
    <n v="2082467.2770096005"/>
    <n v="9.940405874551983E-2"/>
  </r>
  <r>
    <x v="0"/>
    <n v="800"/>
    <n v="25"/>
    <x v="0"/>
    <n v="15.664788404490574"/>
    <n v="5.6547016338782461"/>
    <n v="19.165466880633677"/>
    <n v="0"/>
    <m/>
    <n v="1.5941151831464105E-4"/>
    <n v="1E-8"/>
    <n v="93.196093069442327"/>
    <n v="55.917655406750292"/>
    <n v="-2.5949326106284513E-3"/>
    <m/>
    <m/>
    <m/>
    <m/>
    <m/>
    <m/>
    <m/>
    <m/>
    <m/>
    <m/>
    <m/>
    <s v="-"/>
    <m/>
    <m/>
    <m/>
    <m/>
    <m/>
    <m/>
    <m/>
    <m/>
    <m/>
    <m/>
    <m/>
    <n v="303.20797706752722"/>
    <n v="0.29504638050806942"/>
    <n v="0.27717992065884323"/>
    <n v="343.48512559186781"/>
    <n v="304.50544337284146"/>
    <x v="0"/>
    <n v="0"/>
    <n v="0"/>
    <n v="0"/>
    <n v="0"/>
    <n v="0"/>
    <x v="0"/>
    <n v="1.595892318263643E-4"/>
    <n v="1E-8"/>
    <n v="304.50544337284146"/>
    <n v="1.595892318263643E-4"/>
    <n v="58.532045109294842"/>
    <n v="188.45490472760147"/>
    <n v="103719.4654487489"/>
    <n v="80.876158953989872"/>
    <n v="277410.12628155755"/>
    <x v="0"/>
    <n v="5.9780405669983573E-6"/>
    <n v="2237194.6544874888"/>
    <n v="0.12399910116230296"/>
  </r>
  <r>
    <x v="0"/>
    <n v="1000"/>
    <n v="25"/>
    <x v="0"/>
    <n v="17.474902619939932"/>
    <n v="6.5514032023804418"/>
    <n v="21.483373082476088"/>
    <n v="0"/>
    <m/>
    <n v="1.4158941717273591E-4"/>
    <n v="1E-8"/>
    <n v="106.3698363931332"/>
    <n v="63.821901339487347"/>
    <n v="-2.5681858553160144E-3"/>
    <m/>
    <m/>
    <m/>
    <m/>
    <m/>
    <m/>
    <m/>
    <m/>
    <m/>
    <m/>
    <m/>
    <s v="-"/>
    <m/>
    <m/>
    <m/>
    <m/>
    <m/>
    <m/>
    <m/>
    <m/>
    <m/>
    <m/>
    <m/>
    <n v="293.3299647158384"/>
    <n v="0.30495226132456815"/>
    <n v="0.28230043689152184"/>
    <n v="338.0982090840514"/>
    <n v="294.61405764349638"/>
    <x v="0"/>
    <n v="0"/>
    <n v="0"/>
    <n v="0"/>
    <n v="0"/>
    <n v="0"/>
    <x v="0"/>
    <n v="1.4173922878819989E-4"/>
    <n v="1E-8"/>
    <n v="294.61405764349638"/>
    <n v="1.4173922878819989E-4"/>
    <n v="67.092557041789163"/>
    <n v="202.49365949067001"/>
    <n v="115765.82970872358"/>
    <n v="90.613885047704301"/>
    <n v="338800.99765278905"/>
    <x v="0"/>
    <n v="6.2220496565558336E-6"/>
    <n v="2357658.2970872358"/>
    <n v="0.14370233297647927"/>
  </r>
  <r>
    <x v="0"/>
    <n v="1300"/>
    <n v="25"/>
    <x v="0"/>
    <n v="19.448947824391738"/>
    <n v="7.6073157272549095"/>
    <n v="24.048624342894616"/>
    <n v="0"/>
    <m/>
    <n v="1.2441433807969379E-4"/>
    <n v="1E-8"/>
    <n v="121.57878208272943"/>
    <n v="72.947268682270007"/>
    <n v="-2.5088589383318515E-3"/>
    <m/>
    <m/>
    <m/>
    <m/>
    <m/>
    <m/>
    <m/>
    <m/>
    <m/>
    <m/>
    <m/>
    <s v="-"/>
    <m/>
    <m/>
    <m/>
    <m/>
    <m/>
    <m/>
    <m/>
    <m/>
    <m/>
    <m/>
    <m/>
    <n v="282.7624100446555"/>
    <n v="0.31633059832391452"/>
    <n v="0.28776081816698568"/>
    <n v="332.41280050466901"/>
    <n v="284.01683951382142"/>
    <x v="0"/>
    <n v="0"/>
    <n v="0"/>
    <n v="0"/>
    <n v="0"/>
    <n v="0"/>
    <x v="0"/>
    <n v="1.2453734772889779E-4"/>
    <n v="1E-8"/>
    <n v="284.01683951382142"/>
    <n v="1.2453734772889779E-4"/>
    <n v="77.008799781617256"/>
    <n v="216.77657585793838"/>
    <n v="128954.65905159006"/>
    <n v="101.63088609223229"/>
    <n v="413469.79765084066"/>
    <x v="0"/>
    <n v="6.4330990519536366E-6"/>
    <n v="2489546.5905159004"/>
    <n v="0.16608236986846617"/>
  </r>
  <r>
    <x v="0"/>
    <n v="1600"/>
    <n v="25"/>
    <x v="0"/>
    <n v="20.708759537676254"/>
    <n v="8.2041824242915897"/>
    <n v="25.654045229069279"/>
    <n v="0"/>
    <m/>
    <n v="9.9999993813135301E-9"/>
    <n v="1E-8"/>
    <n v="136.82236996000796"/>
    <n v="82.093421337500374"/>
    <n v="-2.155194529277256E-7"/>
    <m/>
    <m/>
    <m/>
    <m/>
    <m/>
    <m/>
    <m/>
    <m/>
    <m/>
    <m/>
    <m/>
    <s v="-"/>
    <m/>
    <m/>
    <m/>
    <m/>
    <m/>
    <m/>
    <m/>
    <m/>
    <m/>
    <m/>
    <m/>
    <n v="280.934728012368"/>
    <n v="0.31980073127006159"/>
    <n v="0.30664025302328046"/>
    <n v="332.46561945634704"/>
    <n v="280.93483577209452"/>
    <x v="0"/>
    <n v="0"/>
    <n v="0"/>
    <n v="0"/>
    <n v="0"/>
    <n v="0"/>
    <x v="0"/>
    <n v="9.9999999999948221E-9"/>
    <n v="1E-8"/>
    <n v="280.93483577209452"/>
    <n v="9.9999999999948221E-9"/>
    <n v="82.769453620078224"/>
    <n v="235.38962405040505"/>
    <n v="136484.35971952457"/>
    <n v="101.88816764848703"/>
    <n v="463700.133284515"/>
    <x v="0"/>
    <n v="6.5664091939320371E-6"/>
    <n v="2564843.5971952458"/>
    <n v="0.1807908029135144"/>
  </r>
  <r>
    <x v="0"/>
    <n v="1900"/>
    <n v="25"/>
    <x v="0"/>
    <n v="21.089330717894917"/>
    <n v="8.4084096040658221"/>
    <n v="26.131425738562051"/>
    <n v="0"/>
    <m/>
    <n v="9.9999994009491683E-9"/>
    <n v="1E-8"/>
    <n v="141.0640483652638"/>
    <n v="84.638428360859379"/>
    <n v="-2.1927211902277162E-7"/>
    <m/>
    <m/>
    <m/>
    <m/>
    <m/>
    <m/>
    <m/>
    <m/>
    <m/>
    <m/>
    <m/>
    <s v="-"/>
    <m/>
    <m/>
    <m/>
    <m/>
    <m/>
    <m/>
    <m/>
    <m/>
    <m/>
    <m/>
    <m/>
    <n v="279.21202784096869"/>
    <n v="0.32177385528787134"/>
    <n v="0.30873025348098088"/>
    <n v="331.69010655706887"/>
    <n v="279.21213747702819"/>
    <x v="0"/>
    <n v="0"/>
    <n v="0"/>
    <n v="0"/>
    <n v="0"/>
    <n v="0"/>
    <x v="0"/>
    <n v="9.9999999999948221E-9"/>
    <n v="1E-8"/>
    <n v="279.21213747702819"/>
    <n v="9.9999999999948221E-9"/>
    <n v="84.668611239598675"/>
    <n v="232.0228352131895"/>
    <n v="136681.12990608477"/>
    <n v="103.13325224049852"/>
    <n v="475010.26425973477"/>
    <x v="0"/>
    <n v="6.6602509472844773E-6"/>
    <n v="2566811.2990608476"/>
    <n v="0.18505850602790042"/>
  </r>
  <r>
    <x v="0"/>
    <n v="1000"/>
    <n v="25"/>
    <x v="1"/>
    <n v="10.789211648618698"/>
    <n v="11.51137335689425"/>
    <n v="17.410642975535488"/>
    <n v="0"/>
    <m/>
    <n v="1.0793814707354431E-4"/>
    <n v="1E-8"/>
    <n v="111.45713475706336"/>
    <n v="66.874280334104711"/>
    <n v="-1.2503293839183018E-3"/>
    <m/>
    <m/>
    <m/>
    <m/>
    <m/>
    <m/>
    <m/>
    <m/>
    <m/>
    <m/>
    <m/>
    <s v="-"/>
    <m/>
    <m/>
    <m/>
    <m/>
    <m/>
    <m/>
    <m/>
    <m/>
    <m/>
    <m/>
    <m/>
    <n v="135.26027879205475"/>
    <n v="0.6611687674642126"/>
    <n v="0.28951004860702761"/>
    <n v="162.73285953102217"/>
    <n v="135.88544348401388"/>
    <x v="0"/>
    <n v="0"/>
    <n v="0"/>
    <n v="0"/>
    <n v="0"/>
    <n v="0"/>
    <x v="0"/>
    <n v="1.0806595882048245E-4"/>
    <n v="1E-8"/>
    <n v="135.88544348401388"/>
    <n v="1.0806595882048245E-4"/>
    <n v="97.549863900005548"/>
    <n v="218.47270446003904"/>
    <n v="147927.47263147804"/>
    <n v="127.82515492782711"/>
    <n v="220023.20538537612"/>
    <x v="1"/>
    <n v="3.485904106621279E-6"/>
    <n v="2679274.7263147803"/>
    <n v="8.2120434767063988E-2"/>
  </r>
  <r>
    <x v="0"/>
    <n v="1000"/>
    <n v="25"/>
    <x v="2"/>
    <n v="14.890348850405454"/>
    <n v="8.4899440456426092"/>
    <n v="19.921378212819985"/>
    <n v="0"/>
    <m/>
    <n v="1.236022191390248E-4"/>
    <n v="1E-8"/>
    <n v="108.55035176533133"/>
    <n v="65.130210552630473"/>
    <n v="-1.9284905968191225E-3"/>
    <m/>
    <m/>
    <m/>
    <m/>
    <m/>
    <m/>
    <m/>
    <m/>
    <m/>
    <m/>
    <m/>
    <s v="-"/>
    <m/>
    <m/>
    <m/>
    <m/>
    <m/>
    <m/>
    <m/>
    <m/>
    <m/>
    <m/>
    <m/>
    <n v="209.84995007433739"/>
    <n v="0.42617252455852095"/>
    <n v="0.28562068449475864"/>
    <n v="247.86669993195574"/>
    <n v="210.81419537274698"/>
    <x v="0"/>
    <n v="0"/>
    <n v="0"/>
    <n v="0"/>
    <n v="0"/>
    <n v="0"/>
    <x v="0"/>
    <n v="1.2374442078974068E-4"/>
    <n v="1E-8"/>
    <n v="210.81419537274698"/>
    <n v="1.2374442078974068E-4"/>
    <n v="79.026185114710259"/>
    <n v="209.19694180266694"/>
    <n v="128464.66311942057"/>
    <n v="105.2259940346233"/>
    <n v="297792.65940029809"/>
    <x v="1"/>
    <n v="5.1015995686049599E-6"/>
    <n v="2484646.631194206"/>
    <n v="0.1198531234428168"/>
  </r>
  <r>
    <x v="0"/>
    <n v="1000"/>
    <n v="25"/>
    <x v="0"/>
    <n v="17.483124936798301"/>
    <n v="6.5559512159500768"/>
    <n v="21.494451503992469"/>
    <n v="0"/>
    <m/>
    <n v="1.4160605654268458E-4"/>
    <n v="1E-8"/>
    <n v="106.4257765760162"/>
    <n v="63.855465448956089"/>
    <n v="-2.5697211724909691E-3"/>
    <m/>
    <m/>
    <m/>
    <m/>
    <m/>
    <m/>
    <m/>
    <m/>
    <m/>
    <m/>
    <m/>
    <s v="-"/>
    <m/>
    <m/>
    <m/>
    <m/>
    <m/>
    <m/>
    <m/>
    <m/>
    <m/>
    <m/>
    <m/>
    <n v="293.27663618067641"/>
    <n v="0.30500667647799001"/>
    <n v="0.2822858716955628"/>
    <n v="338.06588749275647"/>
    <n v="294.56149676692189"/>
    <x v="0"/>
    <n v="0"/>
    <n v="0"/>
    <n v="0"/>
    <n v="0"/>
    <n v="0"/>
    <x v="0"/>
    <n v="1.4175604761532506E-4"/>
    <n v="1E-8"/>
    <n v="294.56149676692189"/>
    <n v="1.4175604761532506E-4"/>
    <n v="67.135297563597987"/>
    <n v="202.66303092997609"/>
    <n v="115875.18756668628"/>
    <n v="90.677352757676559"/>
    <n v="339195.52177049767"/>
    <x v="1"/>
    <n v="6.221486834680823E-6"/>
    <n v="2358751.8756668628"/>
    <n v="0.14380296854013133"/>
  </r>
  <r>
    <x v="0"/>
    <n v="1000"/>
    <n v="25"/>
    <x v="3"/>
    <n v="19.206709020412799"/>
    <n v="5.2820781157014531"/>
    <n v="22.546504610611706"/>
    <n v="0"/>
    <m/>
    <n v="1.6083090481893607E-4"/>
    <n v="1E-8"/>
    <n v="105.00506918465672"/>
    <n v="63.003041020770375"/>
    <n v="-3.1911724878405864E-3"/>
    <m/>
    <m/>
    <m/>
    <m/>
    <m/>
    <m/>
    <m/>
    <m/>
    <m/>
    <m/>
    <m/>
    <s v="-"/>
    <m/>
    <m/>
    <m/>
    <m/>
    <m/>
    <m/>
    <m/>
    <m/>
    <m/>
    <m/>
    <m/>
    <n v="381.89945502192086"/>
    <n v="0.23427481141424458"/>
    <n v="0.27952690715092882"/>
    <n v="431.28851452557211"/>
    <n v="383.49504126584117"/>
    <x v="0"/>
    <n v="0"/>
    <n v="0"/>
    <n v="0"/>
    <n v="0"/>
    <n v="0"/>
    <x v="0"/>
    <n v="1.6098667538047562E-4"/>
    <n v="1E-8"/>
    <n v="383.49504126584117"/>
    <n v="1.6098667538047562E-4"/>
    <n v="59.318973646757307"/>
    <n v="198.40248022549679"/>
    <n v="107693.1331481146"/>
    <n v="81.100132713775295"/>
    <n v="362631.62727204914"/>
    <x v="1"/>
    <n v="7.0123609950483038E-6"/>
    <n v="2276931.3314811462"/>
    <n v="0.15926331297666182"/>
  </r>
  <r>
    <x v="0"/>
    <n v="1000"/>
    <n v="25"/>
    <x v="4"/>
    <n v="20.422079257082952"/>
    <n v="4.4018650834817867"/>
    <n v="23.298382840681676"/>
    <n v="0"/>
    <m/>
    <n v="1.8083561997949411E-4"/>
    <n v="1E-8"/>
    <n v="104.06896773174117"/>
    <n v="62.44138015338951"/>
    <n v="-3.8046404383664857E-3"/>
    <m/>
    <m/>
    <m/>
    <m/>
    <m/>
    <m/>
    <m/>
    <m/>
    <m/>
    <m/>
    <m/>
    <s v="-"/>
    <m/>
    <m/>
    <m/>
    <m/>
    <m/>
    <m/>
    <m/>
    <m/>
    <m/>
    <m/>
    <m/>
    <n v="473.62385457462818"/>
    <n v="0.18893436139248346"/>
    <n v="0.27726152981055741"/>
    <n v="526.34362484028486"/>
    <n v="475.52617479381144"/>
    <x v="0"/>
    <n v="0"/>
    <n v="0"/>
    <n v="0"/>
    <n v="0"/>
    <n v="0"/>
    <x v="0"/>
    <n v="1.8099648508954666E-4"/>
    <n v="1E-8"/>
    <n v="475.52617479381144"/>
    <n v="1.8099648508954666E-4"/>
    <n v="53.943035021703224"/>
    <n v="195.64080443936876"/>
    <n v="102174.45558032335"/>
    <n v="74.507612303763622"/>
    <n v="377287.9998109166"/>
    <x v="1"/>
    <n v="7.58982605666274E-6"/>
    <n v="2221744.5558032338"/>
    <n v="0.1698161018670819"/>
  </r>
  <r>
    <x v="0"/>
    <n v="1000"/>
    <n v="25"/>
    <x v="5"/>
    <n v="21.296668941599219"/>
    <n v="3.7681070990377967"/>
    <n v="23.836700551196952"/>
    <n v="0"/>
    <m/>
    <n v="2.0824036000848507E-4"/>
    <n v="1E-8"/>
    <n v="102.49719512321008"/>
    <n v="61.4983165956058"/>
    <n v="-4.5599038297054776E-3"/>
    <m/>
    <m/>
    <m/>
    <m/>
    <m/>
    <m/>
    <m/>
    <m/>
    <m/>
    <m/>
    <m/>
    <s v="-"/>
    <m/>
    <m/>
    <m/>
    <m/>
    <m/>
    <m/>
    <m/>
    <m/>
    <m/>
    <m/>
    <m/>
    <n v="566.06019390714562"/>
    <n v="0.1580800619173186"/>
    <n v="0.27072217274227023"/>
    <n v="621.33385778536206"/>
    <n v="568.34014582199848"/>
    <x v="0"/>
    <n v="0"/>
    <n v="0"/>
    <n v="0"/>
    <n v="0"/>
    <n v="0"/>
    <x v="0"/>
    <n v="2.0843180785289154E-4"/>
    <n v="1E-8"/>
    <n v="568.34014582199848"/>
    <n v="2.0843180785289154E-4"/>
    <n v="50.069292497873342"/>
    <n v="191.08226259514674"/>
    <n v="98287.072879899206"/>
    <n v="71.308961436386028"/>
    <n v="386728.86420522101"/>
    <x v="1"/>
    <n v="8.0176987921098866E-6"/>
    <n v="2182870.728798992"/>
    <n v="0.17716526182839876"/>
  </r>
  <r>
    <x v="0"/>
    <n v="1000"/>
    <n v="25"/>
    <x v="6"/>
    <n v="21.980355372532404"/>
    <n v="3.2779857142444531"/>
    <n v="24.264673972421694"/>
    <n v="0"/>
    <m/>
    <n v="2.2127402907792096E-4"/>
    <n v="1E-8"/>
    <n v="102.83996802599631"/>
    <n v="61.703980335677947"/>
    <n v="-4.9956332235761387E-3"/>
    <m/>
    <m/>
    <m/>
    <m/>
    <m/>
    <m/>
    <m/>
    <m/>
    <m/>
    <m/>
    <m/>
    <s v="-"/>
    <m/>
    <m/>
    <m/>
    <m/>
    <m/>
    <m/>
    <m/>
    <m/>
    <m/>
    <m/>
    <m/>
    <n v="662.54994661695537"/>
    <n v="0.13509292224449779"/>
    <n v="0.27387377336772145"/>
    <n v="719.74275191724882"/>
    <n v="665.04776322874341"/>
    <x v="0"/>
    <n v="0"/>
    <n v="0"/>
    <n v="0"/>
    <n v="0"/>
    <n v="0"/>
    <x v="0"/>
    <n v="2.2144204098838079E-4"/>
    <n v="1E-8"/>
    <n v="665.04776322874341"/>
    <n v="2.2144204098838079E-4"/>
    <n v="47.085166860021083"/>
    <n v="192.06817330339959"/>
    <n v="95154.348115493485"/>
    <n v="66.062123803425834"/>
    <n v="393027.32199992717"/>
    <x v="1"/>
    <n v="8.3660586041626511E-6"/>
    <n v="2151543.481154935"/>
    <n v="0.18267226548865867"/>
  </r>
  <r>
    <x v="0"/>
    <n v="1000"/>
    <n v="25"/>
    <x v="7"/>
    <n v="22.52073493112475"/>
    <n v="2.9039889240207786"/>
    <n v="24.608610444911108"/>
    <n v="0"/>
    <m/>
    <n v="2.4144177805148577E-4"/>
    <n v="1E-8"/>
    <n v="102.49458864294292"/>
    <n v="61.496752707457667"/>
    <n v="-5.5800328416700006E-3"/>
    <m/>
    <m/>
    <m/>
    <m/>
    <m/>
    <m/>
    <m/>
    <m/>
    <m/>
    <m/>
    <m/>
    <s v="-"/>
    <m/>
    <m/>
    <m/>
    <m/>
    <m/>
    <m/>
    <m/>
    <m/>
    <m/>
    <m/>
    <m/>
    <n v="758.54814302820751"/>
    <n v="0.11800702565151555"/>
    <n v="0.27257639802129069"/>
    <n v="817.3782649759512"/>
    <n v="761.33815944904256"/>
    <x v="0"/>
    <n v="0"/>
    <n v="0"/>
    <n v="0"/>
    <n v="0"/>
    <n v="0"/>
    <x v="0"/>
    <n v="2.4161246519248663E-4"/>
    <n v="1E-8"/>
    <n v="761.33815944904256"/>
    <n v="2.4161246519248663E-4"/>
    <n v="44.825433790167331"/>
    <n v="191.07478293379097"/>
    <n v="92926.225498551459"/>
    <n v="63.277637776596698"/>
    <n v="398200.36923139729"/>
    <x v="1"/>
    <n v="8.6368895659021515E-6"/>
    <n v="2129262.2549855146"/>
    <n v="0.18701330392676607"/>
  </r>
  <r>
    <x v="0"/>
    <n v="1000"/>
    <n v="25"/>
    <x v="8"/>
    <n v="22.94931062607986"/>
    <n v="2.6041012164204247"/>
    <n v="24.879471818878184"/>
    <n v="0"/>
    <m/>
    <n v="2.6165132748046593E-4"/>
    <n v="1E-8"/>
    <n v="102.19345917738221"/>
    <n v="61.316075029526509"/>
    <n v="-6.1580483397590449E-3"/>
    <m/>
    <m/>
    <m/>
    <m/>
    <m/>
    <m/>
    <m/>
    <m/>
    <m/>
    <m/>
    <m/>
    <s v="-"/>
    <m/>
    <m/>
    <m/>
    <m/>
    <m/>
    <m/>
    <m/>
    <m/>
    <m/>
    <m/>
    <m/>
    <n v="855.27962391905851"/>
    <n v="0.10466866963166277"/>
    <n v="0.27147610239213932"/>
    <n v="915.46471153865969"/>
    <n v="858.35864808893814"/>
    <x v="0"/>
    <n v="0"/>
    <n v="0"/>
    <n v="0"/>
    <n v="0"/>
    <n v="0"/>
    <x v="0"/>
    <n v="2.6182428648136686E-4"/>
    <n v="1E-8"/>
    <n v="858.35864808893814"/>
    <n v="2.6182428648136686E-4"/>
    <n v="43.008553999511271"/>
    <n v="190.21239725198132"/>
    <n v="91112.249064433505"/>
    <n v="61.031836583263512"/>
    <n v="401844.34663408867"/>
    <x v="1"/>
    <n v="8.8577332444898483E-6"/>
    <n v="2111122.4906443348"/>
    <n v="0.19034629606519984"/>
  </r>
  <r>
    <x v="0"/>
    <n v="1000"/>
    <n v="25"/>
    <x v="9"/>
    <n v="23.301644143526005"/>
    <n v="2.359441016804035"/>
    <n v="25.10318149355594"/>
    <n v="0"/>
    <m/>
    <n v="2.814824306066242E-4"/>
    <n v="1E-8"/>
    <n v="101.95300007093431"/>
    <n v="61.171799566779917"/>
    <n v="-6.7229870783604212E-3"/>
    <m/>
    <m/>
    <m/>
    <m/>
    <m/>
    <m/>
    <m/>
    <m/>
    <m/>
    <m/>
    <m/>
    <s v="-"/>
    <m/>
    <m/>
    <m/>
    <m/>
    <m/>
    <m/>
    <m/>
    <m/>
    <m/>
    <m/>
    <m/>
    <n v="952.52243733944192"/>
    <n v="9.3989720681807221E-2"/>
    <n v="0.27053034991956898"/>
    <n v="1013.8668021889087"/>
    <n v="955.88393087862221"/>
    <x v="0"/>
    <n v="0"/>
    <n v="0"/>
    <n v="0"/>
    <n v="0"/>
    <n v="0"/>
    <x v="0"/>
    <n v="2.8165692270121744E-4"/>
    <n v="1E-8"/>
    <n v="955.88393087862221"/>
    <n v="2.8165692270121744E-4"/>
    <n v="41.529002221744683"/>
    <n v="189.52623739838532"/>
    <n v="89643.693516908592"/>
    <n v="59.200499252782443"/>
    <n v="404692.25240012875"/>
    <x v="1"/>
    <n v="9.0409412012561233E-6"/>
    <n v="2096436.9351690859"/>
    <n v="0.19303812369032161"/>
  </r>
  <r>
    <x v="0"/>
    <n v="1000"/>
    <n v="25"/>
    <x v="0"/>
    <n v="17.483975177305076"/>
    <n v="6.5565243387212444"/>
    <n v="21.495642147034403"/>
    <n v="0"/>
    <m/>
    <n v="1.4158653410897783E-4"/>
    <n v="1E-8"/>
    <n v="106.42793565572286"/>
    <n v="63.856760896770012"/>
    <n v="-2.5694948160300581E-3"/>
    <m/>
    <m/>
    <m/>
    <m/>
    <m/>
    <m/>
    <m/>
    <m/>
    <m/>
    <m/>
    <m/>
    <s v="-"/>
    <m/>
    <m/>
    <m/>
    <m/>
    <m/>
    <m/>
    <m/>
    <m/>
    <m/>
    <m/>
    <m/>
    <n v="293.26731617000536"/>
    <n v="0.30501644444363812"/>
    <n v="0.28226559096750303"/>
    <n v="338.05842533843247"/>
    <n v="294.55206357802041"/>
    <x v="0"/>
    <n v="0"/>
    <n v="0"/>
    <n v="0"/>
    <n v="0"/>
    <n v="0"/>
    <x v="0"/>
    <n v="1.4173654853057106E-4"/>
    <n v="1E-8"/>
    <n v="294.55206357802041"/>
    <n v="1.4173654853057106E-4"/>
    <n v="67.140478140066264"/>
    <n v="202.66957071391377"/>
    <n v="115888.00822357465"/>
    <n v="90.692349433567742"/>
    <n v="339239.11870743986"/>
    <x v="2"/>
    <n v="6.2213855275624493E-6"/>
    <n v="2358880.0822357466"/>
    <n v="0.1438136348100871"/>
  </r>
  <r>
    <x v="0"/>
    <n v="1000"/>
    <n v="25"/>
    <x v="0"/>
    <n v="16.898896825469532"/>
    <n v="6.2356484325218835"/>
    <n v="20.71000858736868"/>
    <n v="0"/>
    <m/>
    <n v="1.3751205547402637E-4"/>
    <n v="1E-8"/>
    <n v="102.55477001143996"/>
    <n v="61.532861528275035"/>
    <n v="-2.4106441227770615E-3"/>
    <m/>
    <m/>
    <m/>
    <m/>
    <m/>
    <m/>
    <m/>
    <m/>
    <m/>
    <m/>
    <m/>
    <s v="-"/>
    <m/>
    <m/>
    <m/>
    <m/>
    <m/>
    <m/>
    <m/>
    <m/>
    <m/>
    <m/>
    <m/>
    <n v="297.18446433728496"/>
    <n v="0.3010934740184073"/>
    <n v="0.28373036868845847"/>
    <n v="340.44029582175301"/>
    <n v="298.38978639867344"/>
    <x v="0"/>
    <n v="0"/>
    <n v="0"/>
    <n v="0"/>
    <n v="0"/>
    <n v="0"/>
    <x v="1"/>
    <n v="1.3764312567809682E-4"/>
    <n v="1E-8"/>
    <n v="298.38978639867344"/>
    <n v="1.3764312567809682E-4"/>
    <n v="64.120989097764138"/>
    <n v="191.24754825492877"/>
    <n v="108308.9527424781"/>
    <n v="86.06747000035331"/>
    <n v="386886.58923855273"/>
    <x v="2"/>
    <n v="6.0616102242084645E-6"/>
    <n v="2283089.5274247807"/>
    <n v="0.16945747619233439"/>
  </r>
  <r>
    <x v="0"/>
    <n v="1000"/>
    <n v="25"/>
    <x v="0"/>
    <n v="14.759464831524232"/>
    <n v="5.1532271226822504"/>
    <n v="17.899621383905739"/>
    <n v="0"/>
    <m/>
    <n v="1.2518939370118509E-4"/>
    <n v="1E-8"/>
    <n v="88.645505838617098"/>
    <n v="53.18730308949123"/>
    <n v="-1.9132786408351166E-3"/>
    <m/>
    <m/>
    <m/>
    <m/>
    <m/>
    <m/>
    <m/>
    <m/>
    <m/>
    <m/>
    <m/>
    <s v="-"/>
    <m/>
    <m/>
    <m/>
    <m/>
    <m/>
    <m/>
    <m/>
    <m/>
    <m/>
    <m/>
    <m/>
    <n v="311.1117506226617"/>
    <n v="0.28789587288788809"/>
    <n v="0.28824388624653147"/>
    <n v="348.79521982679404"/>
    <n v="312.0683899430793"/>
    <x v="0"/>
    <n v="0"/>
    <n v="0"/>
    <n v="0"/>
    <n v="0"/>
    <n v="0"/>
    <x v="2"/>
    <n v="1.2527200521789291E-4"/>
    <n v="1E-8"/>
    <n v="312.0683899430793"/>
    <n v="1.2527200521789291E-4"/>
    <n v="53.775063243140778"/>
    <n v="154.58910958356157"/>
    <n v="84255.930486425612"/>
    <n v="70.828086832591495"/>
    <n v="508292.28448928095"/>
    <x v="2"/>
    <n v="5.493103364398246E-6"/>
    <n v="2042559.3048642562"/>
    <n v="0.24885068613616626"/>
  </r>
  <r>
    <x v="0"/>
    <n v="1000"/>
    <n v="25"/>
    <x v="0"/>
    <n v="12.774377040206264"/>
    <n v="4.2548557103222171"/>
    <n v="15.362787467040057"/>
    <n v="0"/>
    <m/>
    <n v="1.1658891020322499E-4"/>
    <n v="1E-8"/>
    <n v="76.038033335134628"/>
    <n v="45.622819646236628"/>
    <n v="-1.5400408374431707E-3"/>
    <m/>
    <m/>
    <m/>
    <m/>
    <m/>
    <m/>
    <m/>
    <m/>
    <m/>
    <m/>
    <m/>
    <s v="-"/>
    <m/>
    <m/>
    <m/>
    <m/>
    <m/>
    <m/>
    <m/>
    <m/>
    <m/>
    <m/>
    <m/>
    <n v="323.62214519167304"/>
    <n v="0.27695857405114505"/>
    <n v="0.29151568972315106"/>
    <n v="356.17945280290769"/>
    <n v="324.39216561039461"/>
    <x v="0"/>
    <n v="0"/>
    <n v="0"/>
    <n v="0"/>
    <n v="0"/>
    <n v="0"/>
    <x v="3"/>
    <n v="1.1664449637752059E-4"/>
    <n v="1E-8"/>
    <n v="324.39216561039461"/>
    <n v="1.1664449637752059E-4"/>
    <n v="44.983998659783126"/>
    <n v="125.91796642905253"/>
    <n v="65935.361861315949"/>
    <n v="58.47506224002074"/>
    <n v="575820.67868404696"/>
    <x v="2"/>
    <n v="4.9354273644260457E-6"/>
    <n v="1859353.6186131595"/>
    <n v="0.30968863207071695"/>
  </r>
  <r>
    <x v="0"/>
    <n v="1000"/>
    <n v="25"/>
    <x v="0"/>
    <n v="11.678263701495901"/>
    <n v="3.7950659495325678"/>
    <n v="13.985629149182197"/>
    <n v="0"/>
    <m/>
    <n v="1.1272175138706949E-4"/>
    <n v="1E-8"/>
    <n v="69.188011854159285"/>
    <n v="41.512806789618182"/>
    <n v="-1.3602799618276399E-3"/>
    <m/>
    <m/>
    <m/>
    <m/>
    <m/>
    <m/>
    <m/>
    <m/>
    <m/>
    <m/>
    <m/>
    <s v="-"/>
    <m/>
    <m/>
    <m/>
    <m/>
    <m/>
    <m/>
    <m/>
    <m/>
    <m/>
    <m/>
    <m/>
    <n v="330.41120803941072"/>
    <n v="0.271354681941819"/>
    <n v="0.29306374608176267"/>
    <n v="360.15111436459375"/>
    <n v="331.09134802032452"/>
    <x v="0"/>
    <n v="0"/>
    <n v="0"/>
    <n v="0"/>
    <n v="0"/>
    <n v="0"/>
    <x v="4"/>
    <n v="1.1276671854407133E-4"/>
    <n v="1E-8"/>
    <n v="331.09134802032452"/>
    <n v="1.1276671854407133E-4"/>
    <n v="40.405902296330247"/>
    <n v="111.72617486645947"/>
    <n v="57107.919936614184"/>
    <n v="52.206814301545251"/>
    <n v="601281.36899743997"/>
    <x v="2"/>
    <n v="4.6043564208955936E-6"/>
    <n v="1771079.1993661418"/>
    <n v="0.33949998916628621"/>
  </r>
  <r>
    <x v="0"/>
    <n v="1000"/>
    <n v="25"/>
    <x v="0"/>
    <n v="10.320310954399719"/>
    <n v="3.2567237475618072"/>
    <n v="12.299468160376669"/>
    <n v="0"/>
    <m/>
    <n v="1.0859531868980087E-4"/>
    <n v="1E-8"/>
    <n v="60.797136180463689"/>
    <n v="36.47828142455824"/>
    <n v="-1.1572199342726496E-3"/>
    <m/>
    <m/>
    <m/>
    <m/>
    <m/>
    <m/>
    <m/>
    <m/>
    <m/>
    <m/>
    <m/>
    <s v="-"/>
    <m/>
    <m/>
    <m/>
    <m/>
    <m/>
    <m/>
    <m/>
    <m/>
    <m/>
    <m/>
    <m/>
    <n v="338.7266108916524"/>
    <n v="0.26478573748851192"/>
    <n v="0.29474928812845413"/>
    <n v="364.98613781247866"/>
    <n v="339.3052208587888"/>
    <x v="0"/>
    <n v="0"/>
    <n v="0"/>
    <n v="0"/>
    <n v="0"/>
    <n v="0"/>
    <x v="5"/>
    <n v="1.0862995214483656E-4"/>
    <n v="1E-8"/>
    <n v="339.3052208587888"/>
    <n v="1.0862995214483656E-4"/>
    <n v="34.971941363687918"/>
    <n v="95.423780364329346"/>
    <n v="47241.293698167152"/>
    <n v="44.894352514089377"/>
    <n v="623816.31257851806"/>
    <x v="2"/>
    <n v="4.1676809173637008E-6"/>
    <n v="1672412.9369816715"/>
    <n v="0.37300375928947666"/>
  </r>
  <r>
    <x v="0"/>
    <n v="1000"/>
    <n v="25"/>
    <x v="0"/>
    <n v="8.5674949534340499"/>
    <n v="2.6073962246254809"/>
    <n v="10.151674666591536"/>
    <n v="0"/>
    <m/>
    <n v="1.0416037740385377E-4"/>
    <n v="1E-8"/>
    <n v="50.114460769175238"/>
    <n v="30.068676227637663"/>
    <n v="-9.2063385693351169E-4"/>
    <m/>
    <m/>
    <m/>
    <m/>
    <m/>
    <m/>
    <m/>
    <m/>
    <m/>
    <m/>
    <m/>
    <s v="-"/>
    <m/>
    <m/>
    <m/>
    <m/>
    <m/>
    <m/>
    <m/>
    <m/>
    <m/>
    <m/>
    <m/>
    <n v="349.33643138323725"/>
    <n v="0.25684395040812752"/>
    <n v="0.29661787340574741"/>
    <n v="371.11605293685568"/>
    <n v="349.79674831170411"/>
    <x v="0"/>
    <n v="0"/>
    <n v="0"/>
    <n v="0"/>
    <n v="0"/>
    <n v="0"/>
    <x v="6"/>
    <n v="1.0418493108783802E-4"/>
    <n v="1E-8"/>
    <n v="349.79674831170411"/>
    <n v="1.0418493108783802E-4"/>
    <n v="28.303696657829409"/>
    <n v="76.112759046627772"/>
    <n v="36028.699852774283"/>
    <n v="36.079881291269992"/>
    <n v="639833.57584685821"/>
    <x v="2"/>
    <n v="3.5583876300609909E-6"/>
    <n v="1560286.9985277429"/>
    <n v="0.41007428534019252"/>
  </r>
  <r>
    <x v="0"/>
    <n v="1000"/>
    <n v="25"/>
    <x v="0"/>
    <n v="7.4562749281847038"/>
    <n v="2.2196182903577562"/>
    <n v="8.8048749821362176"/>
    <n v="0"/>
    <m/>
    <n v="1.0175353176609093E-4"/>
    <n v="1E-8"/>
    <n v="43.420894058803441"/>
    <n v="26.052536232651224"/>
    <n v="-7.823157956868169E-4"/>
    <m/>
    <m/>
    <m/>
    <m/>
    <m/>
    <m/>
    <m/>
    <m/>
    <m/>
    <m/>
    <m/>
    <s v="-"/>
    <m/>
    <m/>
    <m/>
    <m/>
    <m/>
    <m/>
    <m/>
    <m/>
    <m/>
    <m/>
    <m/>
    <n v="356.0025242609189"/>
    <n v="0.25208969972441764"/>
    <n v="0.29762702827966908"/>
    <n v="374.9475880222198"/>
    <n v="356.39368215876237"/>
    <x v="0"/>
    <n v="0"/>
    <n v="0"/>
    <n v="0"/>
    <n v="0"/>
    <n v="0"/>
    <x v="7"/>
    <n v="1.0177305912260589E-4"/>
    <n v="1E-8"/>
    <n v="356.39368215876237"/>
    <n v="1.0177305912260589E-4"/>
    <n v="24.257286724375867"/>
    <n v="64.709620583596589"/>
    <n v="29707.162874290872"/>
    <n v="30.806742925457556"/>
    <n v="642565.61248780519"/>
    <x v="2"/>
    <n v="3.1446842473044849E-6"/>
    <n v="1497071.6287429086"/>
    <n v="0.42921500892202979"/>
  </r>
  <r>
    <x v="0"/>
    <n v="1000"/>
    <n v="25"/>
    <x v="0"/>
    <n v="5.9794747424908214"/>
    <n v="1.7309743597166289"/>
    <n v="7.0309361009447429"/>
    <n v="0"/>
    <m/>
    <n v="9.9999998498789051E-9"/>
    <n v="1E-8"/>
    <n v="34.373086325218594"/>
    <n v="20.623851634723419"/>
    <n v="-6.1654484187065069E-8"/>
    <m/>
    <m/>
    <m/>
    <m/>
    <m/>
    <m/>
    <m/>
    <m/>
    <m/>
    <m/>
    <m/>
    <s v="-"/>
    <m/>
    <m/>
    <m/>
    <m/>
    <m/>
    <m/>
    <m/>
    <m/>
    <m/>
    <m/>
    <m/>
    <n v="364.92828549255108"/>
    <n v="0.24619401099151489"/>
    <n v="0.2961221482921686"/>
    <n v="379.80740455593622"/>
    <n v="364.92831631979328"/>
    <x v="0"/>
    <n v="0"/>
    <n v="0"/>
    <n v="0"/>
    <n v="0"/>
    <n v="0"/>
    <x v="8"/>
    <n v="9.9999999999948221E-9"/>
    <n v="1E-8"/>
    <n v="364.92831631979328"/>
    <n v="9.9999999999948221E-9"/>
    <n v="19.081534485599416"/>
    <n v="50.020675607474971"/>
    <n v="22166.737271313654"/>
    <n v="24.368995830767819"/>
    <n v="610452.76524121268"/>
    <x v="2"/>
    <n v="2.6022933679062738E-6"/>
    <n v="1421667.3727131365"/>
    <n v="0.4293921186896294"/>
  </r>
  <r>
    <x v="0"/>
    <n v="1000"/>
    <n v="25"/>
    <x v="0"/>
    <n v="4.1806393250833738"/>
    <n v="1.1701992947687245"/>
    <n v="4.8921244294816777"/>
    <n v="0"/>
    <m/>
    <n v="6.2132848885703626E-3"/>
    <n v="1E-8"/>
    <n v="24.067465914720437"/>
    <n v="14.440479436517421"/>
    <n v="-2.6036640935945064E-2"/>
    <m/>
    <m/>
    <m/>
    <m/>
    <m/>
    <m/>
    <m/>
    <m/>
    <m/>
    <m/>
    <m/>
    <s v="-"/>
    <m/>
    <m/>
    <m/>
    <m/>
    <m/>
    <m/>
    <m/>
    <m/>
    <m/>
    <m/>
    <m/>
    <n v="362.66422857072558"/>
    <n v="0.23920064005663641"/>
    <n v="0.30045902629216142"/>
    <n v="386.08582548950221"/>
    <n v="375.68254903869808"/>
    <x v="0"/>
    <n v="0"/>
    <n v="0"/>
    <n v="0"/>
    <n v="0"/>
    <n v="0"/>
    <x v="9"/>
    <n v="6.2500100000000003E-3"/>
    <n v="1E-8"/>
    <n v="375.68254903869808"/>
    <n v="6.2500100000000003E-3"/>
    <n v="13.038711701949715"/>
    <n v="34.16258739020865"/>
    <n v="14146.719131021246"/>
    <n v="16.391595415367899"/>
    <n v="600171.98077080655"/>
    <x v="2"/>
    <n v="1.8089000693212073E-6"/>
    <n v="1341467.1913102125"/>
    <n v="0.44739967153771232"/>
  </r>
  <r>
    <x v="0"/>
    <n v="1000"/>
    <n v="25"/>
    <x v="0"/>
    <n v="17.485016042555579"/>
    <n v="6.5571743192798602"/>
    <n v="21.497077559198484"/>
    <n v="0"/>
    <m/>
    <n v="1.415838600028574E-4"/>
    <n v="1E-8"/>
    <n v="106.43253450058602"/>
    <n v="63.859520203666442"/>
    <n v="-2.5696020199368523E-3"/>
    <m/>
    <m/>
    <m/>
    <m/>
    <m/>
    <m/>
    <m/>
    <m/>
    <m/>
    <m/>
    <m/>
    <s v="-"/>
    <m/>
    <m/>
    <m/>
    <m/>
    <m/>
    <m/>
    <m/>
    <m/>
    <m/>
    <m/>
    <m/>
    <n v="293.25773239703398"/>
    <n v="0.30502631351739623"/>
    <n v="0.28225078744389048"/>
    <n v="338.05148888723124"/>
    <n v="294.5425334070024"/>
    <x v="0"/>
    <n v="0"/>
    <n v="0"/>
    <n v="0"/>
    <n v="0"/>
    <n v="0"/>
    <x v="0"/>
    <n v="1.4173392150637398E-4"/>
    <n v="1E-8"/>
    <n v="294.5425334070024"/>
    <n v="1.4173392150637398E-4"/>
    <n v="67.146438549681804"/>
    <n v="202.6835011350598"/>
    <n v="115902.94652774524"/>
    <n v="90.706241666130836"/>
    <n v="339291.09647820186"/>
    <x v="3"/>
    <n v="6.2212830910864294E-6"/>
    <n v="2359029.4652774525"/>
    <n v="0.14382656150430781"/>
  </r>
  <r>
    <x v="1"/>
    <n v="1000"/>
    <n v="25"/>
    <x v="0"/>
    <n v="17.322498897354397"/>
    <n v="6.6772451206127279"/>
    <n v="21.397842993432029"/>
    <n v="0"/>
    <m/>
    <n v="1.4015830477400175E-4"/>
    <n v="1E-8"/>
    <n v="106.56481910770006"/>
    <n v="63.938890967317541"/>
    <n v="-2.521346977572302E-3"/>
    <m/>
    <m/>
    <m/>
    <m/>
    <m/>
    <m/>
    <m/>
    <m/>
    <m/>
    <m/>
    <m/>
    <s v="-"/>
    <m/>
    <m/>
    <m/>
    <m/>
    <m/>
    <m/>
    <m/>
    <m/>
    <m/>
    <m/>
    <m/>
    <n v="286.65015493262143"/>
    <n v="0.31205225324170655"/>
    <n v="0.25110690498343724"/>
    <n v="331.01544181552089"/>
    <n v="287.91082842140764"/>
    <x v="0"/>
    <n v="0"/>
    <n v="0"/>
    <n v="0"/>
    <n v="0"/>
    <n v="0"/>
    <x v="0"/>
    <n v="1.4030784569617717E-4"/>
    <n v="1E-8"/>
    <n v="287.91082842140764"/>
    <n v="1.4030784569617717E-4"/>
    <n v="67.88310603277877"/>
    <n v="203.08459469644049"/>
    <n v="116674.52198118623"/>
    <n v="91.604019612067376"/>
    <n v="336886.49741947214"/>
    <x v="3"/>
    <n v="6.1489731567940124E-6"/>
    <n v="2366745.2198118623"/>
    <n v="0.14234168283067325"/>
  </r>
  <r>
    <x v="2"/>
    <n v="1000"/>
    <n v="25"/>
    <x v="0"/>
    <n v="17.112408464412798"/>
    <n v="6.8344857055911739"/>
    <n v="21.270696239782687"/>
    <n v="0"/>
    <m/>
    <n v="1.3836029118789256E-4"/>
    <n v="1E-8"/>
    <n v="106.74302475858116"/>
    <n v="64.045814357014564"/>
    <n v="-2.4604586183510418E-3"/>
    <m/>
    <m/>
    <m/>
    <m/>
    <m/>
    <m/>
    <m/>
    <m/>
    <m/>
    <m/>
    <m/>
    <s v="-"/>
    <m/>
    <m/>
    <m/>
    <m/>
    <m/>
    <m/>
    <m/>
    <m/>
    <m/>
    <m/>
    <m/>
    <n v="278.3852343381061"/>
    <n v="0.32130991992676772"/>
    <n v="0.219946178407226"/>
    <n v="322.19729122672226"/>
    <n v="279.61546364728162"/>
    <x v="0"/>
    <n v="0"/>
    <n v="0"/>
    <n v="0"/>
    <n v="0"/>
    <n v="0"/>
    <x v="0"/>
    <n v="1.3850919136444503E-4"/>
    <n v="1E-8"/>
    <n v="279.61546364728162"/>
    <n v="1.3850919136444503E-4"/>
    <n v="68.850627805239995"/>
    <n v="203.62611400605627"/>
    <n v="117700.57263650125"/>
    <n v="92.791855023663587"/>
    <n v="333782.48944320634"/>
    <x v="3"/>
    <n v="6.0552445830287869E-6"/>
    <n v="2377005.7263650126"/>
    <n v="0.1404214073786168"/>
  </r>
  <r>
    <x v="3"/>
    <n v="1000"/>
    <n v="25"/>
    <x v="0"/>
    <n v="16.8221327085346"/>
    <n v="7.0413320803411166"/>
    <n v="21.089194697558849"/>
    <n v="0"/>
    <m/>
    <n v="1.3622171373843612E-4"/>
    <n v="1E-8"/>
    <n v="106.96317479099062"/>
    <n v="64.177904375432888"/>
    <n v="-2.3835262212056709E-3"/>
    <m/>
    <m/>
    <m/>
    <m/>
    <m/>
    <m/>
    <m/>
    <m/>
    <m/>
    <m/>
    <m/>
    <s v="-"/>
    <m/>
    <m/>
    <m/>
    <m/>
    <m/>
    <m/>
    <m/>
    <m/>
    <m/>
    <m/>
    <m/>
    <n v="267.89385485244776"/>
    <n v="0.33388340244002662"/>
    <n v="0.18889616433443196"/>
    <n v="310.94508050067236"/>
    <n v="269.08561796305059"/>
    <x v="0"/>
    <n v="0"/>
    <n v="0"/>
    <n v="0"/>
    <n v="0"/>
    <n v="0"/>
    <x v="0"/>
    <n v="1.3636956135729662E-4"/>
    <n v="1E-8"/>
    <n v="269.08561796305059"/>
    <n v="1.3636956135729662E-4"/>
    <n v="70.109137543269725"/>
    <n v="204.29698823718687"/>
    <n v="118971.83046505346"/>
    <n v="94.261391304289475"/>
    <n v="329155.24013774307"/>
    <x v="3"/>
    <n v="5.9306738453338586E-6"/>
    <n v="2389718.3046505349"/>
    <n v="0.13773809218316119"/>
  </r>
  <r>
    <x v="4"/>
    <n v="1000"/>
    <n v="25"/>
    <x v="0"/>
    <n v="16.427465502109076"/>
    <n v="7.3532588629570714"/>
    <n v="20.8595818071223"/>
    <n v="0"/>
    <m/>
    <n v="1.3288465108369363E-4"/>
    <n v="1E-8"/>
    <n v="107.33580283814379"/>
    <n v="64.40148120198586"/>
    <n v="-2.2737893152453203E-3"/>
    <m/>
    <m/>
    <m/>
    <m/>
    <m/>
    <m/>
    <m/>
    <m/>
    <m/>
    <m/>
    <m/>
    <s v="-"/>
    <m/>
    <m/>
    <m/>
    <m/>
    <m/>
    <m/>
    <m/>
    <m/>
    <m/>
    <m/>
    <m/>
    <n v="253.72860718977645"/>
    <n v="0.35251228576626464"/>
    <n v="0.15756686877282183"/>
    <n v="295.74289550810317"/>
    <n v="254.86550184739909"/>
    <x v="0"/>
    <n v="0"/>
    <n v="0"/>
    <n v="0"/>
    <n v="0"/>
    <n v="0"/>
    <x v="0"/>
    <n v="1.3303147544266804E-4"/>
    <n v="1E-8"/>
    <n v="254.86550184739909"/>
    <n v="1.3303147544266804E-4"/>
    <n v="72.05107871690862"/>
    <n v="205.4373306565337"/>
    <n v="121135.14474978829"/>
    <n v="96.757418757342677"/>
    <n v="323444.54156171903"/>
    <x v="3"/>
    <n v="5.7516412855511947E-6"/>
    <n v="2411351.4474978829"/>
    <n v="0.13413413540250979"/>
  </r>
  <r>
    <x v="5"/>
    <n v="1000"/>
    <n v="25"/>
    <x v="0"/>
    <n v="15.811727156348349"/>
    <n v="7.8131020239177404"/>
    <n v="20.48633311594854"/>
    <n v="0"/>
    <m/>
    <n v="1.2880127539603874E-4"/>
    <n v="1E-8"/>
    <n v="107.84721408386065"/>
    <n v="64.708327947029389"/>
    <n v="-2.1260921329966185E-3"/>
    <m/>
    <m/>
    <m/>
    <m/>
    <m/>
    <m/>
    <m/>
    <m/>
    <m/>
    <m/>
    <m/>
    <s v="-"/>
    <m/>
    <m/>
    <m/>
    <m/>
    <m/>
    <m/>
    <m/>
    <m/>
    <m/>
    <m/>
    <m/>
    <n v="234.51024047332518"/>
    <n v="0.38138118616431493"/>
    <n v="0.12641139613090477"/>
    <n v="274.91849912032785"/>
    <n v="235.57328653982353"/>
    <x v="0"/>
    <n v="0"/>
    <n v="0"/>
    <n v="0"/>
    <n v="0"/>
    <n v="0"/>
    <x v="0"/>
    <n v="1.2894634727741243E-4"/>
    <n v="1E-8"/>
    <n v="235.57328653982353"/>
    <n v="1.2894634727741243E-4"/>
    <n v="74.879139883865321"/>
    <n v="207.01234750098246"/>
    <n v="124133.78747549484"/>
    <n v="100.20963155554522"/>
    <n v="313545.58241099527"/>
    <x v="3"/>
    <n v="5.4864132832218478E-6"/>
    <n v="2441337.8747549485"/>
    <n v="0.12843186748268823"/>
  </r>
  <r>
    <x v="6"/>
    <n v="1000"/>
    <n v="25"/>
    <x v="0"/>
    <n v="14.796095594681248"/>
    <n v="8.6093189379971022"/>
    <n v="19.891890113886419"/>
    <n v="0"/>
    <m/>
    <n v="1.2253596055678448E-4"/>
    <n v="1E-8"/>
    <n v="108.80874927311407"/>
    <n v="65.285249056094273"/>
    <n v="-1.9008975534898142E-3"/>
    <m/>
    <m/>
    <m/>
    <m/>
    <m/>
    <m/>
    <m/>
    <m/>
    <m/>
    <m/>
    <m/>
    <s v="-"/>
    <m/>
    <m/>
    <m/>
    <m/>
    <m/>
    <m/>
    <m/>
    <m/>
    <m/>
    <m/>
    <m/>
    <n v="206.63291777308757"/>
    <n v="0.4328054744273388"/>
    <n v="9.5091405565301018E-2"/>
    <n v="244.40133672731869"/>
    <n v="207.58336654983248"/>
    <x v="0"/>
    <n v="0"/>
    <n v="0"/>
    <n v="0"/>
    <n v="0"/>
    <n v="0"/>
    <x v="0"/>
    <n v="1.22678435735784E-4"/>
    <n v="1E-8"/>
    <n v="207.58336654983248"/>
    <n v="1.22678435735784E-4"/>
    <n v="79.827754323720853"/>
    <n v="210.00540317886669"/>
    <n v="129631.38571398002"/>
    <n v="106.44861690378112"/>
    <n v="297110.65040563187"/>
    <x v="3"/>
    <n v="5.0471237072036386E-6"/>
    <n v="2496313.8571398002"/>
    <n v="0.11901974968245865"/>
  </r>
  <r>
    <x v="7"/>
    <n v="1000"/>
    <n v="25"/>
    <x v="0"/>
    <n v="12.815910296840217"/>
    <n v="9.9705534384451795"/>
    <n v="18.62435675421116"/>
    <n v="0"/>
    <m/>
    <n v="1.1423456208571745E-4"/>
    <n v="1E-8"/>
    <n v="109.81095673728645"/>
    <n v="65.886573529920739"/>
    <n v="-1.5496611714906202E-3"/>
    <m/>
    <m/>
    <m/>
    <m/>
    <m/>
    <m/>
    <m/>
    <m/>
    <m/>
    <m/>
    <m/>
    <s v="-"/>
    <m/>
    <m/>
    <m/>
    <m/>
    <m/>
    <m/>
    <m/>
    <m/>
    <m/>
    <m/>
    <m/>
    <n v="167.0465529225923"/>
    <n v="0.53535021746137534"/>
    <n v="6.3987480703016325E-2"/>
    <n v="199.71222251548835"/>
    <n v="167.82138350833762"/>
    <x v="0"/>
    <n v="0"/>
    <n v="0"/>
    <n v="0"/>
    <n v="0"/>
    <n v="0"/>
    <x v="0"/>
    <n v="1.143686736368282E-4"/>
    <n v="1E-8"/>
    <n v="167.82138350833762"/>
    <n v="1.143686736368282E-4"/>
    <n v="88.036785573823593"/>
    <n v="213.1703032122268"/>
    <n v="137601.28024684559"/>
    <n v="116.09759204711436"/>
    <n v="265754.57640512357"/>
    <x v="3"/>
    <n v="4.2661964905616748E-6"/>
    <n v="2576012.8024684559"/>
    <n v="0.10316508371016833"/>
  </r>
  <r>
    <x v="8"/>
    <n v="1000"/>
    <n v="25"/>
    <x v="0"/>
    <n v="9.3010874470048552"/>
    <n v="5.8272628403327111"/>
    <n v="12.687811432595574"/>
    <n v="0"/>
    <m/>
    <n v="8.3723868301365038E-5"/>
    <n v="1E-8"/>
    <n v="75.11260462368449"/>
    <n v="45.067562423685203"/>
    <n v="-8.165004792099011E-4"/>
    <m/>
    <m/>
    <m/>
    <m/>
    <m/>
    <m/>
    <m/>
    <m/>
    <m/>
    <m/>
    <m/>
    <s v="-"/>
    <m/>
    <m/>
    <m/>
    <m/>
    <m/>
    <m/>
    <m/>
    <m/>
    <m/>
    <m/>
    <m/>
    <n v="195.20903735265171"/>
    <n v="0.45928037875485789"/>
    <n v="5.131966253859252E-2"/>
    <n v="218.76171847368613"/>
    <n v="195.61728759225667"/>
    <x v="0"/>
    <n v="0"/>
    <n v="0"/>
    <n v="0"/>
    <n v="0"/>
    <n v="0"/>
    <x v="0"/>
    <n v="8.3754255391943052E-5"/>
    <n v="1E-8"/>
    <n v="195.61728759225667"/>
    <n v="8.3754255391943052E-5"/>
    <n v="53.255716806258199"/>
    <n v="123.94937596701472"/>
    <n v="69513.434578081593"/>
    <n v="65.287650202730546"/>
    <n v="752934.19751949096"/>
    <x v="3"/>
    <n v="3.1797154448558924E-6"/>
    <n v="1895134.3457808159"/>
    <n v="0.39729858687631664"/>
  </r>
  <r>
    <x v="9"/>
    <n v="1000"/>
    <n v="25"/>
    <x v="0"/>
    <n v="3.2865355785857648"/>
    <n v="1.1223229548339295"/>
    <n v="3.9557826148655102"/>
    <n v="0"/>
    <m/>
    <n v="8.6773246145212222E-5"/>
    <n v="1E-8"/>
    <n v="20.291369015972258"/>
    <n v="12.174821314890298"/>
    <n v="-2.944467845741696E-4"/>
    <m/>
    <m/>
    <m/>
    <m/>
    <m/>
    <m/>
    <m/>
    <m/>
    <m/>
    <m/>
    <m/>
    <s v="-"/>
    <m/>
    <m/>
    <m/>
    <m/>
    <m/>
    <m/>
    <m/>
    <m/>
    <m/>
    <m/>
    <m/>
    <n v="316.51746485694377"/>
    <n v="0.28371704517238405"/>
    <n v="4.3728830727586626E-2"/>
    <n v="324.84282053962096"/>
    <n v="316.66468824923089"/>
    <x v="0"/>
    <n v="0"/>
    <n v="0"/>
    <n v="0"/>
    <n v="0"/>
    <n v="0"/>
    <x v="0"/>
    <n v="8.6779958155834924E-5"/>
    <n v="1E-8"/>
    <n v="316.66468824923089"/>
    <n v="8.6779958155834924E-5"/>
    <n v="11.769106423207621"/>
    <n v="28.55634632909965"/>
    <n v="11976.653237791266"/>
    <n v="14.677877216012481"/>
    <n v="805007.39744403015"/>
    <x v="3"/>
    <n v="1.1699647849230164E-6"/>
    <n v="1319766.5323779127"/>
    <n v="0.60996197258737417"/>
  </r>
  <r>
    <x v="0"/>
    <n v="100"/>
    <n v="25"/>
    <x v="0"/>
    <n v="3.3611596052020278"/>
    <n v="0.95814894567420916"/>
    <n v="4.0690394006794248"/>
    <n v="0"/>
    <m/>
    <n v="5.9347286504537577E-2"/>
    <n v="1E-8"/>
    <n v="17.467478561121862"/>
    <n v="10.480487055158218"/>
    <n v="0.22357879928041041"/>
    <m/>
    <m/>
    <m/>
    <m/>
    <m/>
    <m/>
    <m/>
    <m/>
    <m/>
    <m/>
    <m/>
    <s v="-"/>
    <m/>
    <m/>
    <m/>
    <m/>
    <m/>
    <m/>
    <m/>
    <m/>
    <m/>
    <m/>
    <m/>
    <n v="487.58209409647969"/>
    <n v="0.23547300758852888"/>
    <n v="0.21214723564418256"/>
    <n v="384.15647700996004"/>
    <n v="375.7926944562746"/>
    <x v="1"/>
    <n v="0"/>
    <n v="0"/>
    <n v="0"/>
    <n v="1"/>
    <n v="0.1"/>
    <x v="0"/>
    <n v="5.42917958906564E-2"/>
    <n v="1E-8"/>
    <n v="375.7926944562746"/>
    <n v="5.42917958906564E-2"/>
    <n v="10.737011728888524"/>
    <n v="70.200119643027136"/>
    <n v="26397.207113508299"/>
    <n v="21.322009413089827"/>
    <n v="19515.89125828995"/>
    <x v="0"/>
    <n v="2.0595749168557373E-6"/>
    <n v="1463972.071135083"/>
    <n v="1.3330781128330138E-2"/>
  </r>
  <r>
    <x v="0"/>
    <n v="200"/>
    <n v="25"/>
    <x v="0"/>
    <n v="6.0990959672326284"/>
    <n v="1.7900342524257922"/>
    <n v="7.3335603441064761"/>
    <n v="0"/>
    <m/>
    <n v="5.9931695138392645E-2"/>
    <n v="1E-8"/>
    <n v="32.326885733100241"/>
    <n v="19.396131289001339"/>
    <n v="0.37810000405378386"/>
    <m/>
    <m/>
    <m/>
    <m/>
    <m/>
    <m/>
    <m/>
    <m/>
    <m/>
    <m/>
    <m/>
    <s v="-"/>
    <m/>
    <m/>
    <m/>
    <m/>
    <m/>
    <m/>
    <m/>
    <m/>
    <m/>
    <m/>
    <m/>
    <n v="548.02099419414969"/>
    <n v="0.24408802388383302"/>
    <n v="0.2359212739381821"/>
    <n v="374.14774909688407"/>
    <n v="358.9709921672578"/>
    <x v="1"/>
    <n v="0"/>
    <n v="0"/>
    <n v="0"/>
    <n v="1"/>
    <n v="0.1"/>
    <x v="0"/>
    <n v="5.4778763184651233E-2"/>
    <n v="1E-8"/>
    <n v="358.9709921672578"/>
    <n v="5.4778763184651233E-2"/>
    <n v="19.786602922109491"/>
    <n v="101.94763035135536"/>
    <n v="42989.952276816417"/>
    <n v="33.831269913025281"/>
    <n v="53673.020526424356"/>
    <x v="0"/>
    <n v="3.4078329869690707E-6"/>
    <n v="1629899.5227681641"/>
    <n v="3.2930263354680897E-2"/>
  </r>
  <r>
    <x v="0"/>
    <n v="300"/>
    <n v="25"/>
    <x v="0"/>
    <n v="8.4066058109996806"/>
    <n v="2.5434513697323649"/>
    <n v="10.100406932205965"/>
    <n v="0"/>
    <m/>
    <n v="6.0619942966354007E-2"/>
    <n v="1E-8"/>
    <n v="45.430811388314005"/>
    <n v="27.258486620977948"/>
    <n v="0.49905917169512082"/>
    <m/>
    <m/>
    <m/>
    <m/>
    <m/>
    <m/>
    <m/>
    <m/>
    <m/>
    <m/>
    <m/>
    <s v="-"/>
    <m/>
    <m/>
    <m/>
    <m/>
    <m/>
    <m/>
    <m/>
    <m/>
    <m/>
    <m/>
    <m/>
    <n v="594.83490894521458"/>
    <n v="0.25181672251465081"/>
    <n v="0.24889258133604303"/>
    <n v="366.22395988713913"/>
    <n v="345.30532309765414"/>
    <x v="1"/>
    <n v="0"/>
    <n v="0"/>
    <n v="0"/>
    <n v="1"/>
    <n v="0.1"/>
    <x v="0"/>
    <n v="5.5623209838614636E-2"/>
    <n v="1E-8"/>
    <n v="345.30532309765414"/>
    <n v="5.5623209838614636E-2"/>
    <n v="27.789371351720025"/>
    <n v="124.72931469626569"/>
    <n v="56667.009305618645"/>
    <n v="44.10085983977573"/>
    <n v="92426.71308141778"/>
    <x v="0"/>
    <n v="4.2986755489460941E-6"/>
    <n v="1766670.0930561866"/>
    <n v="5.2316905937728052E-2"/>
  </r>
  <r>
    <x v="0"/>
    <n v="400"/>
    <n v="25"/>
    <x v="0"/>
    <n v="10.389792257089717"/>
    <n v="3.2349326845824433"/>
    <n v="12.496799651284753"/>
    <n v="0"/>
    <m/>
    <n v="6.1278153126924834E-2"/>
    <n v="1E-8"/>
    <n v="57.152455118502573"/>
    <n v="34.291472804390082"/>
    <n v="0.59851881995595324"/>
    <m/>
    <m/>
    <m/>
    <m/>
    <m/>
    <m/>
    <m/>
    <m/>
    <m/>
    <m/>
    <m/>
    <s v="-"/>
    <m/>
    <m/>
    <m/>
    <m/>
    <m/>
    <m/>
    <m/>
    <m/>
    <m/>
    <m/>
    <m/>
    <n v="633.05465717382231"/>
    <n v="0.25886089037603088"/>
    <n v="0.25748400594040938"/>
    <n v="359.6487858764545"/>
    <n v="333.79524719584566"/>
    <x v="1"/>
    <n v="0"/>
    <n v="0"/>
    <n v="0"/>
    <n v="1"/>
    <n v="0.1"/>
    <x v="0"/>
    <n v="5.6464053538270283E-2"/>
    <n v="1E-8"/>
    <n v="333.79524719584566"/>
    <n v="5.6464053538270283E-2"/>
    <n v="34.988372324033968"/>
    <n v="142.80980331443808"/>
    <n v="68518.646335180543"/>
    <n v="53.00661744708799"/>
    <n v="132741.5605883"/>
    <x v="0"/>
    <n v="4.9180448821540263E-6"/>
    <n v="1885186.4633518055"/>
    <n v="7.0412960823137596E-2"/>
  </r>
  <r>
    <x v="0"/>
    <n v="600"/>
    <n v="25"/>
    <x v="0"/>
    <n v="13.617903518395183"/>
    <n v="4.4591937128689807"/>
    <n v="16.442945277286082"/>
    <n v="0"/>
    <m/>
    <n v="6.2419332741057397E-2"/>
    <n v="1E-8"/>
    <n v="77.235980177141499"/>
    <n v="46.341587745850326"/>
    <n v="0.75449751253383024"/>
    <m/>
    <m/>
    <m/>
    <m/>
    <m/>
    <m/>
    <m/>
    <m/>
    <m/>
    <m/>
    <m/>
    <s v="-"/>
    <m/>
    <m/>
    <m/>
    <m/>
    <m/>
    <m/>
    <m/>
    <m/>
    <m/>
    <m/>
    <m/>
    <n v="692.67528995177088"/>
    <n v="0.27119190860707976"/>
    <n v="0.26866524447054596"/>
    <n v="349.31274588482125"/>
    <n v="315.42653368485571"/>
    <x v="1"/>
    <n v="0"/>
    <n v="0"/>
    <n v="0"/>
    <n v="1"/>
    <n v="0.1"/>
    <x v="0"/>
    <n v="5.7933728031333877E-2"/>
    <n v="1E-8"/>
    <n v="315.42653368485571"/>
    <n v="5.7933728031333877E-2"/>
    <n v="47.430845640268736"/>
    <n v="170.27411082407809"/>
    <n v="88178.000788482575"/>
    <n v="67.903850158485128"/>
    <n v="212470.1749187641"/>
    <x v="0"/>
    <n v="5.6924483787464502E-6"/>
    <n v="2081780.0078848258"/>
    <n v="0.10206178083852507"/>
  </r>
  <r>
    <x v="0"/>
    <n v="800"/>
    <n v="25"/>
    <x v="0"/>
    <n v="16.097920133133698"/>
    <n v="5.4937504986371728"/>
    <n v="19.519202199611279"/>
    <n v="0"/>
    <m/>
    <n v="6.3388506415398074E-2"/>
    <n v="1E-8"/>
    <n v="93.614061897663305"/>
    <n v="56.168436701732361"/>
    <n v="0.87007773415504941"/>
    <m/>
    <m/>
    <m/>
    <m/>
    <m/>
    <m/>
    <m/>
    <m/>
    <m/>
    <m/>
    <m/>
    <s v="-"/>
    <m/>
    <m/>
    <m/>
    <m/>
    <m/>
    <m/>
    <m/>
    <m/>
    <m/>
    <m/>
    <m/>
    <n v="736.62474240134884"/>
    <n v="0.28145363947029456"/>
    <n v="0.27585433923354946"/>
    <n v="341.64340434933473"/>
    <n v="301.58587532382421"/>
    <x v="1"/>
    <n v="0"/>
    <n v="0"/>
    <n v="0"/>
    <n v="1"/>
    <n v="0.1"/>
    <x v="0"/>
    <n v="5.9160405703883062E-2"/>
    <n v="1E-8"/>
    <n v="301.58587532382421"/>
    <n v="5.9160405703883062E-2"/>
    <n v="57.680304001382169"/>
    <n v="189.9378220007209"/>
    <n v="103577.88491566203"/>
    <n v="79.824904862877034"/>
    <n v="286219.76138645865"/>
    <x v="0"/>
    <n v="6.1300395346830264E-6"/>
    <n v="2235778.84915662"/>
    <n v="0.12801792158219333"/>
  </r>
  <r>
    <x v="0"/>
    <n v="1000"/>
    <n v="25"/>
    <x v="0"/>
    <n v="18.009761384194494"/>
    <n v="6.3530562572615761"/>
    <n v="21.919844640375416"/>
    <n v="0"/>
    <m/>
    <n v="6.40952403860654E-2"/>
    <n v="1E-8"/>
    <n v="106.91117966959689"/>
    <n v="64.146707302839303"/>
    <n v="0.95880397777221393"/>
    <m/>
    <m/>
    <m/>
    <m/>
    <m/>
    <m/>
    <m/>
    <m/>
    <m/>
    <m/>
    <m/>
    <s v="-"/>
    <m/>
    <m/>
    <m/>
    <m/>
    <m/>
    <m/>
    <m/>
    <m/>
    <m/>
    <m/>
    <m/>
    <n v="770.51136553109131"/>
    <n v="0.289831263017235"/>
    <n v="0.28106913462044458"/>
    <n v="335.92408711644964"/>
    <n v="291.10937664498431"/>
    <x v="1"/>
    <n v="0"/>
    <n v="0"/>
    <n v="0"/>
    <n v="1"/>
    <n v="0.1"/>
    <x v="0"/>
    <n v="6.0078157689852675E-2"/>
    <n v="1E-8"/>
    <n v="291.10937664498431"/>
    <n v="6.0078157689852675E-2"/>
    <n v="66.034796799774142"/>
    <n v="204.13835111972253"/>
    <n v="115493.96330468303"/>
    <n v="89.283699900330987"/>
    <n v="350878.51194330747"/>
    <x v="0"/>
    <n v="6.3954240537794894E-6"/>
    <n v="2354939.6330468301"/>
    <n v="0.14899681801581449"/>
  </r>
  <r>
    <x v="0"/>
    <n v="1300"/>
    <n v="25"/>
    <x v="0"/>
    <n v="20.101967101218936"/>
    <n v="7.3612671483355836"/>
    <n v="24.578588389930712"/>
    <n v="0"/>
    <m/>
    <n v="6.4929918671118442E-2"/>
    <n v="1E-8"/>
    <n v="122.22296174160699"/>
    <n v="73.333776474590366"/>
    <n v="1.0539842967370454"/>
    <m/>
    <m/>
    <m/>
    <m/>
    <m/>
    <m/>
    <m/>
    <m/>
    <m/>
    <m/>
    <m/>
    <s v="-"/>
    <m/>
    <m/>
    <m/>
    <m/>
    <m/>
    <m/>
    <m/>
    <m/>
    <m/>
    <m/>
    <m/>
    <n v="806.82234448144732"/>
    <n v="0.29949918325461389"/>
    <n v="0.28656198935765526"/>
    <n v="329.85124389219027"/>
    <n v="279.83019611292463"/>
    <x v="1"/>
    <n v="0"/>
    <n v="0"/>
    <n v="0"/>
    <n v="1"/>
    <n v="0.1"/>
    <x v="0"/>
    <n v="6.1146421100101746E-2"/>
    <n v="1E-8"/>
    <n v="279.83019611292463"/>
    <n v="6.1146421100101746E-2"/>
    <n v="75.674008860714181"/>
    <n v="218.43338322003012"/>
    <n v="128449.00047628337"/>
    <n v="99.961702597563502"/>
    <n v="429828.18587435578"/>
    <x v="0"/>
    <n v="6.6288290133913996E-6"/>
    <n v="2484490.0047628339"/>
    <n v="0.17300459452457592"/>
  </r>
  <r>
    <x v="0"/>
    <n v="1600"/>
    <n v="25"/>
    <x v="0"/>
    <n v="21.54672688394966"/>
    <n v="8.1016858172378967"/>
    <n v="26.434625532698188"/>
    <n v="0"/>
    <m/>
    <n v="6.554236077057056E-2"/>
    <n v="1E-8"/>
    <n v="133.33183151777141"/>
    <n v="79.999098288447613"/>
    <n v="1.1184592150467778"/>
    <m/>
    <m/>
    <m/>
    <m/>
    <m/>
    <m/>
    <m/>
    <m/>
    <m/>
    <m/>
    <m/>
    <s v="-"/>
    <m/>
    <m/>
    <m/>
    <m/>
    <m/>
    <m/>
    <m/>
    <m/>
    <m/>
    <m/>
    <m/>
    <n v="831.40091468292803"/>
    <n v="0.30648006748635626"/>
    <n v="0.29033728367066614"/>
    <n v="325.7872547006728"/>
    <n v="272.17130715953925"/>
    <x v="1"/>
    <n v="0"/>
    <n v="0"/>
    <n v="0"/>
    <n v="1"/>
    <n v="0.1"/>
    <x v="0"/>
    <n v="6.1923490517190517E-2"/>
    <n v="1E-8"/>
    <n v="272.17130715953925"/>
    <n v="6.1923490517190517E-2"/>
    <n v="82.652921367622781"/>
    <n v="227.29328776696738"/>
    <n v="137214.59822191359"/>
    <n v="107.52900828486348"/>
    <n v="489431.10865573154"/>
    <x v="0"/>
    <n v="6.7631843547073493E-6"/>
    <n v="2572145.9822191359"/>
    <n v="0.19028123288456267"/>
  </r>
  <r>
    <x v="0"/>
    <n v="1900"/>
    <n v="25"/>
    <x v="0"/>
    <n v="22.569706234344508"/>
    <n v="8.6491756625633478"/>
    <n v="27.759078523530597"/>
    <n v="0"/>
    <m/>
    <n v="6.6015150520830249E-2"/>
    <n v="1E-8"/>
    <n v="141.49085584351477"/>
    <n v="84.894512845818198"/>
    <n v="1.1629056064761358"/>
    <m/>
    <m/>
    <m/>
    <m/>
    <m/>
    <m/>
    <m/>
    <m/>
    <m/>
    <m/>
    <m/>
    <s v="-"/>
    <m/>
    <m/>
    <m/>
    <m/>
    <m/>
    <m/>
    <m/>
    <m/>
    <m/>
    <m/>
    <m/>
    <n v="848.26558943716304"/>
    <n v="0.31158007119118464"/>
    <n v="0.29301513939033652"/>
    <n v="322.97426583041312"/>
    <n v="266.81278619909534"/>
    <x v="1"/>
    <n v="0"/>
    <n v="0"/>
    <n v="0"/>
    <n v="1"/>
    <n v="0.1"/>
    <x v="0"/>
    <n v="6.2512814844668474E-2"/>
    <n v="1E-8"/>
    <n v="266.81278619909534"/>
    <n v="6.2512814844668474E-2"/>
    <n v="87.763350586719412"/>
    <n v="232.92068309298949"/>
    <n v="143271.65457242375"/>
    <n v="112.99310006877577"/>
    <n v="534148.83443722699"/>
    <x v="0"/>
    <n v="6.8481167018017616E-6"/>
    <n v="2632716.5457242373"/>
    <n v="0.20288885079737565"/>
  </r>
  <r>
    <x v="0"/>
    <n v="1000"/>
    <n v="25"/>
    <x v="1"/>
    <n v="12.407590094919611"/>
    <n v="10.916474549620867"/>
    <n v="18.737178998816361"/>
    <n v="0"/>
    <m/>
    <n v="9.8066498993887377E-2"/>
    <n v="1E-8"/>
    <n v="113.27415948474311"/>
    <n v="67.964495162233121"/>
    <n v="1.0405417178951026"/>
    <m/>
    <m/>
    <m/>
    <m/>
    <m/>
    <m/>
    <m/>
    <m/>
    <m/>
    <m/>
    <m/>
    <s v="-"/>
    <m/>
    <m/>
    <m/>
    <m/>
    <m/>
    <m/>
    <m/>
    <m/>
    <m/>
    <m/>
    <m/>
    <n v="646.10226565920675"/>
    <n v="0.58261035721068077"/>
    <n v="0.28658855887150558"/>
    <n v="156.70591267224083"/>
    <n v="125.83140671165501"/>
    <x v="1"/>
    <n v="0"/>
    <n v="0"/>
    <n v="0"/>
    <n v="1"/>
    <n v="0.1"/>
    <x v="0"/>
    <n v="9.1624717977481854E-2"/>
    <n v="1E-8"/>
    <n v="125.83140671165501"/>
    <n v="9.1624717977481854E-2"/>
    <n v="94.215924721677851"/>
    <n v="224.48228165618397"/>
    <n v="147677.03318746263"/>
    <n v="124.05836997834348"/>
    <n v="259134.10200269948"/>
    <x v="1"/>
    <n v="3.9849662085532779E-6"/>
    <n v="2676770.3318746262"/>
    <n v="9.6808493024958087E-2"/>
  </r>
  <r>
    <x v="0"/>
    <n v="1000"/>
    <n v="25"/>
    <x v="2"/>
    <n v="15.80429795661394"/>
    <n v="8.1338584665315068"/>
    <n v="20.658098827401808"/>
    <n v="0"/>
    <m/>
    <n v="7.8288604699686737E-2"/>
    <n v="1E-8"/>
    <n v="109.4094246299843"/>
    <n v="65.645654267413263"/>
    <n v="1.0177512654526404"/>
    <m/>
    <m/>
    <m/>
    <m/>
    <m/>
    <m/>
    <m/>
    <m/>
    <m/>
    <m/>
    <m/>
    <s v="-"/>
    <m/>
    <m/>
    <m/>
    <m/>
    <m/>
    <m/>
    <m/>
    <m/>
    <m/>
    <m/>
    <m/>
    <n v="713.84676310101349"/>
    <n v="0.3937370294570573"/>
    <n v="0.28373010389754422"/>
    <n v="244.29812790566305"/>
    <n v="204.97113037469333"/>
    <x v="1"/>
    <n v="0"/>
    <n v="0"/>
    <n v="0"/>
    <n v="1"/>
    <n v="0.1"/>
    <x v="0"/>
    <n v="7.3110829808303718E-2"/>
    <n v="1E-8"/>
    <n v="204.97113037469333"/>
    <n v="7.3110829808303718E-2"/>
    <n v="77.055971195479799"/>
    <n v="211.89666297394956"/>
    <n v="127880.90229222924"/>
    <n v="102.85199203489658"/>
    <n v="319008.78608311247"/>
    <x v="1"/>
    <n v="5.3955849374411182E-6"/>
    <n v="2478809.0229222924"/>
    <n v="0.12869437828132071"/>
  </r>
  <r>
    <x v="0"/>
    <n v="1000"/>
    <n v="25"/>
    <x v="0"/>
    <n v="18.017561595480821"/>
    <n v="6.3577842108744722"/>
    <n v="21.93047951130184"/>
    <n v="0"/>
    <m/>
    <n v="6.4233882191958164E-2"/>
    <n v="1E-8"/>
    <n v="106.93316629482626"/>
    <n v="64.159899277874317"/>
    <n v="0.95652810414219047"/>
    <m/>
    <m/>
    <m/>
    <m/>
    <m/>
    <m/>
    <m/>
    <m/>
    <m/>
    <m/>
    <m/>
    <s v="-"/>
    <m/>
    <m/>
    <m/>
    <m/>
    <m/>
    <m/>
    <m/>
    <m/>
    <m/>
    <m/>
    <m/>
    <n v="769.28875602972687"/>
    <n v="0.28990630175678545"/>
    <n v="0.28090483499085739"/>
    <n v="335.85884131874326"/>
    <n v="291.02470395863145"/>
    <x v="1"/>
    <n v="0"/>
    <n v="0"/>
    <n v="0"/>
    <n v="1"/>
    <n v="0.1"/>
    <x v="0"/>
    <n v="6.0201892361041953E-2"/>
    <n v="1E-8"/>
    <n v="291.02470395863145"/>
    <n v="6.0201892361041953E-2"/>
    <n v="66.077709887262714"/>
    <n v="204.20541796671546"/>
    <n v="115603.07011020675"/>
    <n v="89.404906186798655"/>
    <n v="351273.62532352778"/>
    <x v="1"/>
    <n v="6.3946165450985708E-6"/>
    <n v="2356030.7011020677"/>
    <n v="0.1490955211913047"/>
  </r>
  <r>
    <x v="0"/>
    <n v="1000"/>
    <n v="25"/>
    <x v="3"/>
    <n v="19.529890738091183"/>
    <n v="5.166859545967216"/>
    <n v="22.812579909736993"/>
    <n v="0"/>
    <m/>
    <n v="5.3573981269674387E-2"/>
    <n v="1E-8"/>
    <n v="105.32221597041794"/>
    <n v="63.193329090747085"/>
    <n v="0.88895595341963363"/>
    <m/>
    <m/>
    <m/>
    <m/>
    <m/>
    <m/>
    <m/>
    <m/>
    <m/>
    <m/>
    <m/>
    <s v="-"/>
    <m/>
    <m/>
    <m/>
    <m/>
    <m/>
    <m/>
    <m/>
    <m/>
    <m/>
    <m/>
    <m/>
    <n v="825.7791247444635"/>
    <n v="0.22649167987185298"/>
    <n v="0.27859438252951069"/>
    <n v="429.89847619765828"/>
    <n v="381.30114803464699"/>
    <x v="1"/>
    <n v="0"/>
    <n v="0"/>
    <n v="0"/>
    <n v="1"/>
    <n v="0.1"/>
    <x v="0"/>
    <n v="5.0506419724182607E-2"/>
    <n v="1E-8"/>
    <n v="381.30114803464699"/>
    <n v="5.0506419724182607E-2"/>
    <n v="58.720315499724272"/>
    <n v="199.34625034950508"/>
    <n v="107552.61683499641"/>
    <n v="80.357509115375606"/>
    <n v="369751.32090264774"/>
    <x v="1"/>
    <n v="7.1176973683540109E-6"/>
    <n v="2275526.1683499641"/>
    <n v="0.16249047189413904"/>
  </r>
  <r>
    <x v="0"/>
    <n v="1000"/>
    <n v="25"/>
    <x v="4"/>
    <n v="20.618840816916862"/>
    <n v="4.3300861238273169"/>
    <n v="23.459309595418556"/>
    <n v="0"/>
    <m/>
    <n v="4.5396583476827346E-2"/>
    <n v="1E-8"/>
    <n v="104.24403786326167"/>
    <n v="62.546422231484819"/>
    <n v="0.82300447315119607"/>
    <m/>
    <m/>
    <m/>
    <m/>
    <m/>
    <m/>
    <m/>
    <m/>
    <m/>
    <m/>
    <m/>
    <s v="-"/>
    <m/>
    <m/>
    <m/>
    <m/>
    <m/>
    <m/>
    <m/>
    <m/>
    <m/>
    <m/>
    <m/>
    <n v="885.66511696831788"/>
    <n v="0.18457858302330232"/>
    <n v="0.27665122519902596"/>
    <n v="525.46990962326868"/>
    <n v="474.16288039272007"/>
    <x v="1"/>
    <n v="0"/>
    <n v="0"/>
    <n v="0"/>
    <n v="1"/>
    <n v="0.1"/>
    <x v="0"/>
    <n v="4.3084127781777261E-2"/>
    <n v="1E-8"/>
    <n v="474.16288039272007"/>
    <n v="4.3084127781777261E-2"/>
    <n v="53.567139823298028"/>
    <n v="196.154597754766"/>
    <n v="102039.47755418734"/>
    <n v="74.015688880448536"/>
    <n v="381385.63125966839"/>
    <x v="1"/>
    <n v="7.6564896569388048E-6"/>
    <n v="2220394.7755418736"/>
    <n v="0.17176478501062659"/>
  </r>
  <r>
    <x v="0"/>
    <n v="1000"/>
    <n v="25"/>
    <x v="5"/>
    <n v="21.437776276753848"/>
    <n v="3.7164937610179334"/>
    <n v="23.954412332513382"/>
    <n v="0"/>
    <m/>
    <n v="3.9057839942501428E-2"/>
    <n v="1E-8"/>
    <n v="103.49466048186142"/>
    <n v="62.09679580614177"/>
    <n v="0.76154212036736535"/>
    <m/>
    <m/>
    <m/>
    <m/>
    <m/>
    <m/>
    <m/>
    <m/>
    <m/>
    <m/>
    <m/>
    <s v="-"/>
    <m/>
    <m/>
    <m/>
    <m/>
    <m/>
    <m/>
    <m/>
    <m/>
    <m/>
    <m/>
    <m/>
    <n v="949.4644346583699"/>
    <n v="0.15514860934298635"/>
    <n v="0.27497861400923868"/>
    <n v="622.03838704331531"/>
    <n v="568.69337447468752"/>
    <x v="1"/>
    <n v="0"/>
    <n v="0"/>
    <n v="0"/>
    <n v="1"/>
    <n v="0.1"/>
    <x v="0"/>
    <n v="3.7315922970648126E-2"/>
    <n v="1E-8"/>
    <n v="568.69337447468752"/>
    <n v="3.7315922970648126E-2"/>
    <n v="49.804255500589996"/>
    <n v="193.96392273251746"/>
    <n v="98098.260596188658"/>
    <n v="69.391747367708845"/>
    <n v="389345.57396474003"/>
    <x v="1"/>
    <n v="8.0697928776461071E-6"/>
    <n v="2180982.6059618867"/>
    <n v="0.1785184223388272"/>
  </r>
  <r>
    <x v="0"/>
    <n v="1000"/>
    <n v="25"/>
    <x v="6"/>
    <n v="22.074116195672346"/>
    <n v="3.2498375329823861"/>
    <n v="24.344746153508151"/>
    <n v="0"/>
    <m/>
    <n v="3.4070277224116749E-2"/>
    <n v="1E-8"/>
    <n v="102.95244616615891"/>
    <n v="61.771467219250589"/>
    <n v="0.70579335374733765"/>
    <m/>
    <m/>
    <m/>
    <m/>
    <m/>
    <m/>
    <m/>
    <m/>
    <m/>
    <m/>
    <m/>
    <s v="-"/>
    <m/>
    <m/>
    <m/>
    <m/>
    <m/>
    <m/>
    <m/>
    <m/>
    <m/>
    <m/>
    <m/>
    <n v="1017.2698789041476"/>
    <n v="0.1334923565228498"/>
    <n v="0.273538123391184"/>
    <n v="719.30150020037831"/>
    <n v="664.37320203047875"/>
    <x v="1"/>
    <n v="0"/>
    <n v="0"/>
    <n v="0"/>
    <n v="1"/>
    <n v="0.1"/>
    <x v="0"/>
    <n v="3.2753319342066857E-2"/>
    <n v="1E-8"/>
    <n v="664.37320203047875"/>
    <n v="3.2753319342066857E-2"/>
    <n v="46.953714745833018"/>
    <n v="192.39268040272725"/>
    <n v="95163.56910197527"/>
    <n v="65.891796135117986"/>
    <n v="395105.19569393434"/>
    <x v="1"/>
    <n v="8.3951946997095866E-6"/>
    <n v="2151635.691019753"/>
    <n v="0.18363015511546796"/>
  </r>
  <r>
    <x v="0"/>
    <n v="1000"/>
    <n v="25"/>
    <x v="7"/>
    <n v="22.578968544608777"/>
    <n v="2.8837471033682878"/>
    <n v="24.656712180266503"/>
    <n v="0"/>
    <m/>
    <n v="3.0053522768656967E-2"/>
    <n v="1E-8"/>
    <n v="102.5425653662877"/>
    <n v="61.525538741240652"/>
    <n v="0.65660010065494967"/>
    <m/>
    <m/>
    <m/>
    <m/>
    <m/>
    <m/>
    <m/>
    <m/>
    <m/>
    <m/>
    <m/>
    <s v="-"/>
    <m/>
    <m/>
    <m/>
    <m/>
    <m/>
    <m/>
    <m/>
    <m/>
    <m/>
    <m/>
    <m/>
    <n v="1089.2098782825033"/>
    <n v="0.11695586509203104"/>
    <n v="0.27234536321102526"/>
    <n v="817.09435299945392"/>
    <n v="760.9098279550285"/>
    <x v="1"/>
    <n v="0"/>
    <n v="0"/>
    <n v="0"/>
    <n v="1"/>
    <n v="0.1"/>
    <x v="0"/>
    <n v="2.9052589028248994E-2"/>
    <n v="1E-8"/>
    <n v="760.9098279550285"/>
    <n v="2.9052589028248994E-2"/>
    <n v="44.721865967585117"/>
    <n v="191.21250060886021"/>
    <n v="92883.75000636201"/>
    <n v="63.135532980572279"/>
    <n v="399332.01159398339"/>
    <x v="1"/>
    <n v="8.657243749918936E-6"/>
    <n v="2128837.50006362"/>
    <n v="0.18758219525071754"/>
  </r>
  <r>
    <x v="0"/>
    <n v="1000"/>
    <n v="25"/>
    <x v="8"/>
    <n v="22.990665136829545"/>
    <n v="2.5900050707517428"/>
    <n v="24.913771693839735"/>
    <n v="0"/>
    <m/>
    <n v="2.6806074263526589E-2"/>
    <n v="1E-8"/>
    <n v="102.2269758041238"/>
    <n v="61.336185005415061"/>
    <n v="0.61265461623966688"/>
    <m/>
    <m/>
    <m/>
    <m/>
    <m/>
    <m/>
    <m/>
    <m/>
    <m/>
    <m/>
    <m/>
    <s v="-"/>
    <m/>
    <m/>
    <m/>
    <m/>
    <m/>
    <m/>
    <m/>
    <m/>
    <m/>
    <m/>
    <m/>
    <n v="1164.3760280174802"/>
    <n v="0.10395877037727516"/>
    <n v="0.27130095442960267"/>
    <n v="915.25770639043151"/>
    <n v="858.04871989764649"/>
    <x v="1"/>
    <n v="0"/>
    <n v="0"/>
    <n v="0"/>
    <n v="1"/>
    <n v="0.1"/>
    <x v="0"/>
    <n v="2.6038851384396905E-2"/>
    <n v="1E-8"/>
    <n v="858.04871989764649"/>
    <n v="2.6038851384396905E-2"/>
    <n v="42.937026939741898"/>
    <n v="190.30821245198842"/>
    <n v="91083.072036138838"/>
    <n v="60.933396201738795"/>
    <n v="402639.4574351738"/>
    <x v="1"/>
    <n v="8.8722248963979683E-6"/>
    <n v="2110830.7203613883"/>
    <n v="0.19074928820736475"/>
  </r>
  <r>
    <x v="0"/>
    <n v="1000"/>
    <n v="25"/>
    <x v="9"/>
    <n v="23.331826288813083"/>
    <n v="2.3493780194259068"/>
    <n v="25.128330528609855"/>
    <n v="0"/>
    <m/>
    <n v="2.4138429343916072E-2"/>
    <n v="1E-8"/>
    <n v="101.97698525531047"/>
    <n v="61.186190677293666"/>
    <n v="0.57361550646873072"/>
    <m/>
    <m/>
    <m/>
    <m/>
    <m/>
    <m/>
    <m/>
    <m/>
    <m/>
    <m/>
    <m/>
    <s v="-"/>
    <m/>
    <m/>
    <m/>
    <m/>
    <m/>
    <m/>
    <m/>
    <m/>
    <m/>
    <m/>
    <m/>
    <n v="1242.4613957262709"/>
    <n v="9.3495189294450859E-2"/>
    <n v="0.27039336118149476"/>
    <n v="1013.7115416337749"/>
    <n v="955.65364249190566"/>
    <x v="1"/>
    <n v="0"/>
    <n v="0"/>
    <n v="0"/>
    <n v="1"/>
    <n v="0.1"/>
    <x v="0"/>
    <n v="2.3545002142753534E-2"/>
    <n v="1E-8"/>
    <n v="955.65364249190566"/>
    <n v="2.3545002142753534E-2"/>
    <n v="41.478428086116807"/>
    <n v="189.59458186303357"/>
    <n v="89623.746811278412"/>
    <n v="59.131510170493314"/>
    <n v="405269.89761662367"/>
    <x v="1"/>
    <n v="9.0515019758272333E-6"/>
    <n v="2096237.468112784"/>
    <n v="0.19333205506601456"/>
  </r>
  <r>
    <x v="0"/>
    <n v="1000"/>
    <n v="25"/>
    <x v="0"/>
    <n v="18.020468010045342"/>
    <n v="6.3595476004980327"/>
    <n v="21.934443464690794"/>
    <n v="0"/>
    <m/>
    <n v="6.4285449596106839E-2"/>
    <n v="1E-8"/>
    <n v="106.94139752919708"/>
    <n v="64.164838018458397"/>
    <n v="0.95568324099957991"/>
    <m/>
    <m/>
    <m/>
    <m/>
    <m/>
    <m/>
    <m/>
    <m/>
    <m/>
    <m/>
    <m/>
    <s v="-"/>
    <m/>
    <m/>
    <m/>
    <m/>
    <m/>
    <m/>
    <m/>
    <m/>
    <m/>
    <m/>
    <m/>
    <n v="768.8347731223414"/>
    <n v="0.28993430404265247"/>
    <n v="0.28084365183236576"/>
    <n v="335.83451898424369"/>
    <n v="290.99315262255175"/>
    <x v="1"/>
    <n v="0"/>
    <n v="0"/>
    <n v="0"/>
    <n v="1"/>
    <n v="0.1"/>
    <x v="0"/>
    <n v="6.0247908036766142E-2"/>
    <n v="1E-8"/>
    <n v="290.99315262255175"/>
    <n v="6.0247908036766142E-2"/>
    <n v="66.093712631138459"/>
    <n v="204.2305314994438"/>
    <n v="115643.8178744211"/>
    <n v="89.450130259130518"/>
    <n v="351421.07029261452"/>
    <x v="2"/>
    <n v="6.3943130230741986E-6"/>
    <n v="2356438.1787442109"/>
    <n v="0.14913231056199117"/>
  </r>
  <r>
    <x v="0"/>
    <n v="1000"/>
    <n v="25"/>
    <x v="0"/>
    <n v="17.378598457372796"/>
    <n v="6.0411919429262797"/>
    <n v="21.091767594041894"/>
    <n v="0"/>
    <m/>
    <n v="6.3746692787471165E-2"/>
    <n v="1E-8"/>
    <n v="102.93592429238873"/>
    <n v="61.761554095065591"/>
    <n v="0.9271852527625426"/>
    <m/>
    <m/>
    <m/>
    <m/>
    <m/>
    <m/>
    <m/>
    <m/>
    <m/>
    <m/>
    <m/>
    <s v="-"/>
    <m/>
    <m/>
    <m/>
    <m/>
    <m/>
    <m/>
    <m/>
    <m/>
    <m/>
    <m/>
    <m/>
    <n v="758.85372886416553"/>
    <n v="0.28642416601597798"/>
    <n v="0.28260308663132722"/>
    <n v="338.50527726172987"/>
    <n v="295.26110248289416"/>
    <x v="1"/>
    <n v="0"/>
    <n v="0"/>
    <n v="0"/>
    <n v="1"/>
    <n v="0.1"/>
    <x v="1"/>
    <n v="5.9841646470202285E-2"/>
    <n v="1E-8"/>
    <n v="295.26110248289416"/>
    <n v="5.9841646470202285E-2"/>
    <n v="63.046476189465444"/>
    <n v="192.34498294013983"/>
    <n v="107792.58255600487"/>
    <n v="84.684283142242265"/>
    <n v="399174.7429289131"/>
    <x v="2"/>
    <n v="6.2219914309668647E-6"/>
    <n v="2277925.8255600487"/>
    <n v="0.17523605836935993"/>
  </r>
  <r>
    <x v="0"/>
    <n v="1000"/>
    <n v="25"/>
    <x v="0"/>
    <n v="15.101497828602049"/>
    <n v="4.9969455404120442"/>
    <n v="18.161396089793818"/>
    <n v="0"/>
    <m/>
    <n v="6.2653811294139952E-2"/>
    <n v="1E-8"/>
    <n v="88.768658168385926"/>
    <n v="53.261194486777818"/>
    <n v="0.81293071269173911"/>
    <m/>
    <m/>
    <m/>
    <m/>
    <m/>
    <m/>
    <m/>
    <m/>
    <m/>
    <m/>
    <m/>
    <s v="-"/>
    <m/>
    <m/>
    <m/>
    <m/>
    <m/>
    <m/>
    <m/>
    <m/>
    <m/>
    <m/>
    <m/>
    <n v="716.30652108841196"/>
    <n v="0.2751410472909725"/>
    <n v="0.28720494429626875"/>
    <n v="347.41908825558392"/>
    <n v="309.84116474254233"/>
    <x v="1"/>
    <n v="0"/>
    <n v="0"/>
    <n v="0"/>
    <n v="1"/>
    <n v="0.1"/>
    <x v="2"/>
    <n v="5.9106707276383341E-2"/>
    <n v="1E-8"/>
    <n v="309.84116474254233"/>
    <n v="5.9106707276383341E-2"/>
    <n v="52.878629757825443"/>
    <n v="154.8881131409461"/>
    <n v="83618.150362848843"/>
    <n v="69.682083253352687"/>
    <n v="520336.50297085859"/>
    <x v="2"/>
    <n v="5.612074895956042E-6"/>
    <n v="2036181.5036284884"/>
    <n v="0.25554524586517247"/>
  </r>
  <r>
    <x v="0"/>
    <n v="1000"/>
    <n v="25"/>
    <x v="0"/>
    <n v="13.01599945891496"/>
    <n v="4.1323643178534315"/>
    <n v="15.540821962966078"/>
    <n v="0"/>
    <m/>
    <n v="6.1577714001146241E-2"/>
    <n v="1E-8"/>
    <n v="76.044575881260542"/>
    <n v="45.626745173881631"/>
    <n v="0.71160692731484754"/>
    <m/>
    <m/>
    <m/>
    <m/>
    <m/>
    <m/>
    <m/>
    <m/>
    <m/>
    <m/>
    <m/>
    <s v="-"/>
    <m/>
    <m/>
    <m/>
    <m/>
    <m/>
    <m/>
    <m/>
    <m/>
    <m/>
    <m/>
    <m/>
    <n v="678.6401845837446"/>
    <n v="0.26590384522137206"/>
    <n v="0.29069902683808452"/>
    <n v="355.22517016830363"/>
    <n v="322.83672092632088"/>
    <x v="1"/>
    <n v="0"/>
    <n v="0"/>
    <n v="0"/>
    <n v="1"/>
    <n v="0.1"/>
    <x v="3"/>
    <n v="5.8341949435618136E-2"/>
    <n v="1E-8"/>
    <n v="322.83672092632088"/>
    <n v="5.8341949435618136E-2"/>
    <n v="44.261534880230712"/>
    <n v="125.93194383366209"/>
    <n v="65346.527600195288"/>
    <n v="57.524194216098984"/>
    <n v="585675.6244733698"/>
    <x v="2"/>
    <n v="5.0242509504107971E-6"/>
    <n v="1853465.2760019528"/>
    <n v="0.3159895316391958"/>
  </r>
  <r>
    <x v="0"/>
    <n v="1000"/>
    <n v="25"/>
    <x v="0"/>
    <n v="11.880946273825023"/>
    <n v="3.6930776505787763"/>
    <n v="14.135334204638944"/>
    <n v="0"/>
    <m/>
    <n v="6.1107736573303054E-2"/>
    <n v="1E-8"/>
    <n v="69.17823164389273"/>
    <n v="41.506938663503888"/>
    <n v="0.65495630173960362"/>
    <m/>
    <m/>
    <m/>
    <m/>
    <m/>
    <m/>
    <m/>
    <m/>
    <m/>
    <m/>
    <m/>
    <s v="-"/>
    <m/>
    <m/>
    <m/>
    <m/>
    <m/>
    <m/>
    <m/>
    <m/>
    <m/>
    <m/>
    <m/>
    <n v="657.25736600263053"/>
    <n v="0.26126567629131681"/>
    <n v="0.29222647985874539"/>
    <n v="359.34336176664084"/>
    <n v="329.77921513282894"/>
    <x v="1"/>
    <n v="0"/>
    <n v="0"/>
    <n v="0"/>
    <n v="1"/>
    <n v="0.1"/>
    <x v="4"/>
    <n v="5.803036715495679E-2"/>
    <n v="1E-8"/>
    <n v="329.77921513282894"/>
    <n v="5.803036715495679E-2"/>
    <n v="39.807505437565439"/>
    <n v="111.70651360787323"/>
    <n v="56631.718968679917"/>
    <n v="51.433128601940375"/>
    <n v="610638.93823710049"/>
    <x v="2"/>
    <n v="4.6785004063618535E-6"/>
    <n v="1766317.1896867992"/>
    <n v="0.34571306999813445"/>
  </r>
  <r>
    <x v="0"/>
    <n v="1000"/>
    <n v="25"/>
    <x v="0"/>
    <n v="10.475725063341494"/>
    <n v="3.175554513292373"/>
    <n v="12.412576473490097"/>
    <n v="0"/>
    <m/>
    <n v="6.0442947029180488E-2"/>
    <n v="1E-8"/>
    <n v="60.764132974506552"/>
    <n v="36.45847950113798"/>
    <n v="0.58569398713577825"/>
    <m/>
    <m/>
    <m/>
    <m/>
    <m/>
    <m/>
    <m/>
    <m/>
    <m/>
    <m/>
    <m/>
    <s v="-"/>
    <m/>
    <m/>
    <m/>
    <m/>
    <m/>
    <m/>
    <m/>
    <m/>
    <m/>
    <m/>
    <m/>
    <n v="631.1489819929169"/>
    <n v="0.25583363132339992"/>
    <n v="0.29401127996622761"/>
    <n v="364.36964913541817"/>
    <n v="338.30198842502779"/>
    <x v="1"/>
    <n v="0"/>
    <n v="0"/>
    <n v="0"/>
    <n v="1"/>
    <n v="0.1"/>
    <x v="5"/>
    <n v="5.7572300054098441E-2"/>
    <n v="1E-8"/>
    <n v="338.30198842502779"/>
    <n v="5.7572300054098441E-2"/>
    <n v="34.49197935026335"/>
    <n v="95.361770300008757"/>
    <n v="46855.608946243374"/>
    <n v="44.267891100957321"/>
    <n v="631753.70312744065"/>
    <x v="2"/>
    <n v="4.2258850270276866E-6"/>
    <n v="1668556.0894624337"/>
    <n v="0.37862299452634857"/>
  </r>
  <r>
    <x v="0"/>
    <n v="1000"/>
    <n v="25"/>
    <x v="0"/>
    <n v="8.6741947680812395"/>
    <n v="2.5504995829979422"/>
    <n v="10.228646833358175"/>
    <n v="0"/>
    <m/>
    <n v="5.9658081567973545E-2"/>
    <n v="1E-8"/>
    <n v="50.073301741324222"/>
    <n v="30.043980811119123"/>
    <n v="0.49495714674327618"/>
    <m/>
    <m/>
    <m/>
    <m/>
    <m/>
    <m/>
    <m/>
    <m/>
    <m/>
    <m/>
    <m/>
    <s v="-"/>
    <m/>
    <m/>
    <m/>
    <m/>
    <m/>
    <m/>
    <m/>
    <m/>
    <m/>
    <m/>
    <m/>
    <n v="596.58524108169115"/>
    <n v="0.24934867969828867"/>
    <n v="0.29595835095928613"/>
    <n v="370.69116401018698"/>
    <n v="349.10666771005288"/>
    <x v="1"/>
    <n v="0"/>
    <n v="0"/>
    <n v="0"/>
    <n v="1"/>
    <n v="0.1"/>
    <x v="6"/>
    <n v="5.7064799857668921E-2"/>
    <n v="1E-8"/>
    <n v="349.10666771005288"/>
    <n v="5.7064799857668921E-2"/>
    <n v="27.966670089274899"/>
    <n v="76.041110318112104"/>
    <n v="35764.680822928538"/>
    <n v="35.639799193073301"/>
    <n v="646328.78964889003"/>
    <x v="2"/>
    <n v="3.5988508921358236E-6"/>
    <n v="1557646.8082292853"/>
    <n v="0.41493924440010188"/>
  </r>
  <r>
    <x v="0"/>
    <n v="1000"/>
    <n v="25"/>
    <x v="0"/>
    <n v="7.5341414533110305"/>
    <n v="2.1749145641133789"/>
    <n v="8.8592787483228967"/>
    <n v="0"/>
    <m/>
    <n v="5.9127626868842834E-2"/>
    <n v="1E-8"/>
    <n v="43.370660439768614"/>
    <n v="26.022396061464754"/>
    <n v="0.43676556978717651"/>
    <m/>
    <m/>
    <m/>
    <m/>
    <m/>
    <m/>
    <m/>
    <m/>
    <m/>
    <m/>
    <m/>
    <s v="-"/>
    <m/>
    <m/>
    <m/>
    <m/>
    <m/>
    <m/>
    <m/>
    <m/>
    <m/>
    <m/>
    <m/>
    <n v="574.27589641676502"/>
    <n v="0.24549566910569334"/>
    <n v="0.29709646314015076"/>
    <n v="374.64075683136991"/>
    <n v="355.89311152317686"/>
    <x v="1"/>
    <n v="0"/>
    <n v="0"/>
    <n v="0"/>
    <n v="1"/>
    <n v="0.1"/>
    <x v="7"/>
    <n v="5.672874434091224E-2"/>
    <n v="1E-8"/>
    <n v="355.89311152317686"/>
    <n v="5.672874434091224E-2"/>
    <n v="23.987572910950977"/>
    <n v="64.625859998264133"/>
    <n v="29492.470074369492"/>
    <n v="30.4461451838065"/>
    <n v="647508.09961275011"/>
    <x v="2"/>
    <n v="3.1755882591145307E-6"/>
    <n v="1494924.7007436948"/>
    <n v="0.43313760170704779"/>
  </r>
  <r>
    <x v="0"/>
    <n v="1000"/>
    <n v="25"/>
    <x v="0"/>
    <n v="6.1295431846428983"/>
    <n v="1.731470277960641"/>
    <n v="7.1842151246151769"/>
    <n v="0"/>
    <m/>
    <n v="5.8599560000721133E-2"/>
    <n v="1E-8"/>
    <n v="35.156672284262754"/>
    <n v="21.094003206493181"/>
    <n v="0.36242957170399637"/>
    <m/>
    <m/>
    <m/>
    <m/>
    <m/>
    <m/>
    <m/>
    <m/>
    <m/>
    <m/>
    <m/>
    <s v="-"/>
    <m/>
    <m/>
    <m/>
    <m/>
    <m/>
    <m/>
    <m/>
    <m/>
    <m/>
    <m/>
    <m/>
    <n v="545.41018021090997"/>
    <n v="0.24101036062076264"/>
    <n v="0.29824434987575571"/>
    <n v="379.44791515012309"/>
    <n v="364.19539435891193"/>
    <x v="1"/>
    <n v="0"/>
    <n v="0"/>
    <n v="0"/>
    <n v="1"/>
    <n v="0.1"/>
    <x v="8"/>
    <n v="5.6461855334888046E-2"/>
    <n v="1E-8"/>
    <n v="364.19539435891193"/>
    <n v="5.6461855334888046E-2"/>
    <n v="19.230165221403553"/>
    <n v="51.262673994365848"/>
    <n v="22487.032673774062"/>
    <n v="24.31204640241755"/>
    <n v="640520.73807838338"/>
    <x v="2"/>
    <n v="2.6230167188178823E-6"/>
    <n v="1424870.3267377405"/>
    <n v="0.44952914385189285"/>
  </r>
  <r>
    <x v="0"/>
    <n v="1000"/>
    <n v="25"/>
    <x v="0"/>
    <n v="4.2133701448686143"/>
    <n v="1.1573580724301393"/>
    <n v="4.9182282687911041"/>
    <n v="0"/>
    <m/>
    <n v="5.778059971063948E-2"/>
    <n v="1E-8"/>
    <n v="24.060404275700243"/>
    <n v="14.436242453138261"/>
    <n v="0.25783665075073359"/>
    <m/>
    <m/>
    <m/>
    <m/>
    <m/>
    <m/>
    <m/>
    <m/>
    <m/>
    <m/>
    <m/>
    <s v="-"/>
    <m/>
    <m/>
    <m/>
    <m/>
    <m/>
    <m/>
    <m/>
    <m/>
    <m/>
    <m/>
    <m/>
    <n v="504.37697633871409"/>
    <n v="0.2353201212262189"/>
    <n v="0.29973509194960313"/>
    <n v="385.94302016002501"/>
    <n v="375.45865096334745"/>
    <x v="1"/>
    <n v="0"/>
    <n v="0"/>
    <n v="0"/>
    <n v="1"/>
    <n v="0.1"/>
    <x v="9"/>
    <n v="5.6081777769094343E-2"/>
    <n v="1E-8"/>
    <n v="375.45865096334745"/>
    <n v="5.6081777769094343E-2"/>
    <n v="12.971917077069547"/>
    <n v="34.15200660906207"/>
    <n v="14111.629638764241"/>
    <n v="16.319628473906125"/>
    <n v="605894.88390483276"/>
    <x v="2"/>
    <n v="1.8187964192665351E-6"/>
    <n v="1341116.2963876424"/>
    <n v="0.45178399929733026"/>
  </r>
  <r>
    <x v="0"/>
    <n v="1000"/>
    <n v="25"/>
    <x v="0"/>
    <n v="18.016178305379242"/>
    <n v="6.3569454893125572"/>
    <n v="21.928593248850287"/>
    <n v="0"/>
    <m/>
    <n v="6.4209306791848553E-2"/>
    <n v="1E-8"/>
    <n v="106.92924987597814"/>
    <n v="64.157549426583714"/>
    <n v="0.95693116041386928"/>
    <m/>
    <m/>
    <m/>
    <m/>
    <m/>
    <m/>
    <m/>
    <m/>
    <m/>
    <m/>
    <m/>
    <s v="-"/>
    <m/>
    <m/>
    <m/>
    <m/>
    <m/>
    <m/>
    <m/>
    <m/>
    <m/>
    <m/>
    <m/>
    <n v="769.50529013526898"/>
    <n v="0.28989299118154105"/>
    <n v="0.28093392731971367"/>
    <n v="335.87040740410066"/>
    <n v="291.03970992833445"/>
    <x v="1"/>
    <n v="0"/>
    <n v="0"/>
    <n v="0"/>
    <n v="1"/>
    <n v="0.1"/>
    <x v="0"/>
    <n v="6.0179958338908768E-2"/>
    <n v="1E-8"/>
    <n v="291.03970992833445"/>
    <n v="6.0179958338908768E-2"/>
    <n v="66.070097678842842"/>
    <n v="204.19346998988405"/>
    <n v="115583.69772087588"/>
    <n v="89.383409536022"/>
    <n v="351203.49881716497"/>
    <x v="3"/>
    <n v="6.3947604025014963E-6"/>
    <n v="2355836.9772087587"/>
    <n v="0.14907801440203119"/>
  </r>
  <r>
    <x v="1"/>
    <n v="1000"/>
    <n v="25"/>
    <x v="0"/>
    <n v="17.87194884130896"/>
    <n v="6.4733965023327711"/>
    <n v="21.846075756865147"/>
    <n v="0"/>
    <m/>
    <n v="6.5207559360111134E-2"/>
    <n v="1E-8"/>
    <n v="107.09226913302133"/>
    <n v="64.255360980048877"/>
    <n v="0.96186355909812749"/>
    <m/>
    <m/>
    <m/>
    <m/>
    <m/>
    <m/>
    <m/>
    <m/>
    <m/>
    <m/>
    <m/>
    <s v="-"/>
    <m/>
    <m/>
    <m/>
    <m/>
    <m/>
    <m/>
    <m/>
    <m/>
    <m/>
    <m/>
    <m/>
    <n v="764.93726476357506"/>
    <n v="0.29631850472268462"/>
    <n v="0.24987854184756683"/>
    <n v="328.47745665087416"/>
    <n v="284.00548521451111"/>
    <x v="1"/>
    <n v="0"/>
    <n v="0"/>
    <n v="0"/>
    <n v="1"/>
    <n v="0.1"/>
    <x v="0"/>
    <n v="6.1090637863706131E-2"/>
    <n v="1E-8"/>
    <n v="284.00548521451111"/>
    <n v="6.1090637863706131E-2"/>
    <n v="66.792175262229563"/>
    <n v="204.69136422756407"/>
    <n v="116391.9315249332"/>
    <n v="90.28010152835688"/>
    <n v="349333.76068116538"/>
    <x v="3"/>
    <n v="6.3268244148528453E-6"/>
    <n v="2363919.3152493322"/>
    <n v="0.14777736212385054"/>
  </r>
  <r>
    <x v="2"/>
    <n v="1000"/>
    <n v="25"/>
    <x v="0"/>
    <n v="17.67844715062601"/>
    <n v="6.6216517737190479"/>
    <n v="21.730900631787808"/>
    <n v="0"/>
    <m/>
    <n v="6.6392150821140708E-2"/>
    <n v="1E-8"/>
    <n v="107.28876973369782"/>
    <n v="64.373261339537763"/>
    <n v="0.96966877665029605"/>
    <m/>
    <m/>
    <m/>
    <m/>
    <m/>
    <m/>
    <m/>
    <m/>
    <m/>
    <m/>
    <m/>
    <s v="-"/>
    <m/>
    <m/>
    <m/>
    <m/>
    <m/>
    <m/>
    <m/>
    <m/>
    <m/>
    <m/>
    <m/>
    <n v="760.08975041442454"/>
    <n v="0.30471133644746146"/>
    <n v="0.21891636995999228"/>
    <n v="319.24565918091548"/>
    <n v="275.25536208927656"/>
    <x v="1"/>
    <n v="0"/>
    <n v="0"/>
    <n v="0"/>
    <n v="1"/>
    <n v="0.1"/>
    <x v="0"/>
    <n v="6.2174624493206508E-2"/>
    <n v="1E-8"/>
    <n v="275.25536208927656"/>
    <n v="6.2174624493206508E-2"/>
    <n v="67.70137325635298"/>
    <n v="205.29306111752663"/>
    <n v="117365.64169694931"/>
    <n v="91.357976603383648"/>
    <n v="346568.20936960034"/>
    <x v="3"/>
    <n v="6.2394370780919818E-6"/>
    <n v="2373656.416969493"/>
    <n v="0.146006055001032"/>
  </r>
  <r>
    <x v="3"/>
    <n v="1000"/>
    <n v="25"/>
    <x v="0"/>
    <n v="17.427634613913092"/>
    <n v="6.8315357542343014"/>
    <n v="21.59153639449908"/>
    <n v="0"/>
    <m/>
    <n v="6.8202502491924805E-2"/>
    <n v="1E-8"/>
    <n v="107.59362422019336"/>
    <n v="64.556174030012443"/>
    <n v="0.97618219142951235"/>
    <m/>
    <m/>
    <m/>
    <m/>
    <m/>
    <m/>
    <m/>
    <m/>
    <m/>
    <m/>
    <m/>
    <s v="-"/>
    <m/>
    <m/>
    <m/>
    <m/>
    <m/>
    <m/>
    <m/>
    <m/>
    <m/>
    <m/>
    <m/>
    <n v="751.91696192774259"/>
    <n v="0.31639877910563075"/>
    <n v="0.18778171201432969"/>
    <n v="307.19205599433889"/>
    <n v="263.82586621298623"/>
    <x v="1"/>
    <n v="0"/>
    <n v="0"/>
    <n v="0"/>
    <n v="1"/>
    <n v="0.1"/>
    <x v="0"/>
    <n v="6.3827428282644344E-2"/>
    <n v="1E-8"/>
    <n v="263.82586621298623"/>
    <n v="6.3827428282644344E-2"/>
    <n v="69.010970379818616"/>
    <n v="206.22990580781996"/>
    <n v="118875.03351363573"/>
    <n v="93.023655579714486"/>
    <n v="343357.51012544625"/>
    <x v="3"/>
    <n v="6.1201755154483079E-6"/>
    <n v="2388750.3351363572"/>
    <n v="0.14373938752617541"/>
  </r>
  <r>
    <x v="4"/>
    <n v="1000"/>
    <n v="25"/>
    <x v="0"/>
    <n v="17.063204295755011"/>
    <n v="7.1279858721107896"/>
    <n v="21.3842755521725"/>
    <n v="0"/>
    <m/>
    <n v="7.063041743760716E-2"/>
    <n v="1E-8"/>
    <n v="108.01311164881687"/>
    <n v="64.807866485228942"/>
    <n v="0.98637244219843812"/>
    <m/>
    <m/>
    <m/>
    <m/>
    <m/>
    <m/>
    <m/>
    <m/>
    <m/>
    <m/>
    <m/>
    <s v="-"/>
    <m/>
    <m/>
    <m/>
    <m/>
    <m/>
    <m/>
    <m/>
    <m/>
    <m/>
    <m/>
    <m/>
    <n v="741.84781004259639"/>
    <n v="0.33332837742013821"/>
    <n v="0.15671723393425138"/>
    <n v="291.12107285588229"/>
    <n v="248.66158894337732"/>
    <x v="1"/>
    <n v="0"/>
    <n v="0"/>
    <n v="0"/>
    <n v="1"/>
    <n v="0.1"/>
    <x v="0"/>
    <n v="6.6050563095246845E-2"/>
    <n v="1E-8"/>
    <n v="248.66158894337732"/>
    <n v="6.6050563095246845E-2"/>
    <n v="70.849521491324666"/>
    <n v="207.52577086790669"/>
    <n v="120951.4313405249"/>
    <n v="95.305557276931552"/>
    <n v="338302.78841850278"/>
    <x v="3"/>
    <n v="5.952276164938156E-6"/>
    <n v="2409514.3134052493"/>
    <n v="0.14040289635814443"/>
  </r>
  <r>
    <x v="5"/>
    <n v="1000"/>
    <n v="25"/>
    <x v="0"/>
    <n v="16.496322267857813"/>
    <n v="7.5749766407810908"/>
    <n v="21.053945678865905"/>
    <n v="0"/>
    <m/>
    <n v="7.4056777582680755E-2"/>
    <n v="1E-8"/>
    <n v="108.62561774346418"/>
    <n v="65.175370139158957"/>
    <n v="1.0028762884031641"/>
    <m/>
    <m/>
    <m/>
    <m/>
    <m/>
    <m/>
    <m/>
    <m/>
    <m/>
    <m/>
    <m/>
    <s v="-"/>
    <m/>
    <m/>
    <m/>
    <m/>
    <m/>
    <m/>
    <m/>
    <m/>
    <m/>
    <m/>
    <m/>
    <n v="729.197920463081"/>
    <n v="0.35978893250327443"/>
    <n v="0.1257423160699081"/>
    <n v="268.80850628927124"/>
    <n v="227.75977626149904"/>
    <x v="1"/>
    <n v="0"/>
    <n v="0"/>
    <n v="0"/>
    <n v="1"/>
    <n v="0.1"/>
    <x v="0"/>
    <n v="6.9203972226902416E-2"/>
    <n v="1E-8"/>
    <n v="227.75977626149904"/>
    <n v="6.9203972226902416E-2"/>
    <n v="73.602094429117912"/>
    <n v="209.43211497398647"/>
    <n v="123985.60228225439"/>
    <n v="98.621921273032683"/>
    <n v="329733.54873276013"/>
    <x v="3"/>
    <n v="5.7006745185732266E-6"/>
    <n v="2439856.022822544"/>
    <n v="0.13514467478753453"/>
  </r>
  <r>
    <x v="6"/>
    <n v="1000"/>
    <n v="25"/>
    <x v="0"/>
    <n v="15.544703704115282"/>
    <n v="8.3476002246602956"/>
    <n v="20.511903224282506"/>
    <n v="0"/>
    <m/>
    <n v="7.9898335271892204E-2"/>
    <n v="1E-8"/>
    <n v="109.7143078940672"/>
    <n v="65.828584224440206"/>
    <n v="1.0218205532164508"/>
    <m/>
    <m/>
    <m/>
    <m/>
    <m/>
    <m/>
    <m/>
    <m/>
    <m/>
    <m/>
    <m/>
    <s v="-"/>
    <m/>
    <m/>
    <m/>
    <m/>
    <m/>
    <m/>
    <m/>
    <m/>
    <m/>
    <m/>
    <m/>
    <n v="708.00907501202528"/>
    <n v="0.40696370948056138"/>
    <n v="9.4657549191101018E-2"/>
    <n v="235.77956711373764"/>
    <n v="197.09879840379935"/>
    <x v="1"/>
    <n v="0"/>
    <n v="0"/>
    <n v="0"/>
    <n v="1"/>
    <n v="0.1"/>
    <x v="0"/>
    <n v="7.4599922492965501E-2"/>
    <n v="1E-8"/>
    <n v="197.09879840379935"/>
    <n v="7.4599922492965501E-2"/>
    <n v="78.3805338649763"/>
    <n v="212.8630437213483"/>
    <n v="129402.19064459288"/>
    <n v="104.49671941348142"/>
    <n v="314913.46273790917"/>
    <x v="3"/>
    <n v="5.2817010946908618E-6"/>
    <n v="2494021.9064459288"/>
    <n v="0.1262673202364418"/>
  </r>
  <r>
    <x v="7"/>
    <n v="1000"/>
    <n v="25"/>
    <x v="0"/>
    <n v="13.659159474400608"/>
    <n v="9.8066100534948895"/>
    <n v="19.396871696718577"/>
    <n v="0"/>
    <m/>
    <n v="9.0410461811502571E-2"/>
    <n v="1E-8"/>
    <n v="111.47223145716822"/>
    <n v="66.883338354097191"/>
    <n v="1.0420894906331228"/>
    <m/>
    <m/>
    <m/>
    <m/>
    <m/>
    <m/>
    <m/>
    <m/>
    <m/>
    <m/>
    <m/>
    <s v="-"/>
    <m/>
    <m/>
    <m/>
    <m/>
    <m/>
    <m/>
    <m/>
    <m/>
    <m/>
    <m/>
    <m/>
    <n v="672.19792456527432"/>
    <n v="0.50557688924415067"/>
    <n v="6.3572973763632773E-2"/>
    <n v="185.14203967890523"/>
    <n v="151.15317924871306"/>
    <x v="1"/>
    <n v="0"/>
    <n v="0"/>
    <n v="0"/>
    <n v="1"/>
    <n v="0.1"/>
    <x v="0"/>
    <n v="8.4429021288293507E-2"/>
    <n v="1E-8"/>
    <n v="151.15317924871306"/>
    <n v="8.4429021288293507E-2"/>
    <n v="87.284187703220553"/>
    <n v="218.52194528119227"/>
    <n v="139124.85973675671"/>
    <n v="115.24093294701731"/>
    <n v="288102.27276439976"/>
    <x v="3"/>
    <n v="4.4971391668187663E-6"/>
    <n v="2591248.597367567"/>
    <n v="0.11118279931037146"/>
  </r>
  <r>
    <x v="8"/>
    <n v="1000"/>
    <n v="25"/>
    <x v="0"/>
    <n v="9.3215154693075988"/>
    <n v="5.3163742942804388"/>
    <n v="12.417248152787145"/>
    <n v="0"/>
    <m/>
    <n v="8.7630997849657957E-2"/>
    <n v="1E-8"/>
    <n v="69.694752452133258"/>
    <n v="41.816851146037777"/>
    <n v="0.72079841285511215"/>
    <m/>
    <m/>
    <m/>
    <m/>
    <m/>
    <m/>
    <m/>
    <m/>
    <m/>
    <m/>
    <m/>
    <s v="-"/>
    <m/>
    <m/>
    <m/>
    <m/>
    <m/>
    <m/>
    <m/>
    <m/>
    <m/>
    <m/>
    <m/>
    <n v="549.30316163394752"/>
    <n v="0.42814432222546334"/>
    <n v="4.96087100361799E-2"/>
    <n v="212.09921680065119"/>
    <n v="188.90395520639166"/>
    <x v="1"/>
    <n v="0"/>
    <n v="0"/>
    <n v="0"/>
    <n v="1"/>
    <n v="0.1"/>
    <x v="0"/>
    <n v="8.25224284098688E-2"/>
    <n v="1E-8"/>
    <n v="188.90395520639166"/>
    <n v="8.25224284098688E-2"/>
    <n v="49.311484952315055"/>
    <n v="112.7471204475986"/>
    <n v="63644.169299326975"/>
    <n v="62.271094088131768"/>
    <n v="661615.17250621459"/>
    <x v="3"/>
    <n v="3.4079089497972416E-6"/>
    <n v="1836441.6929932698"/>
    <n v="0.36027017630373481"/>
  </r>
  <r>
    <x v="9"/>
    <n v="1000"/>
    <n v="25"/>
    <x v="0"/>
    <n v="3.3441132054636276"/>
    <n v="1.1190679638588585"/>
    <n v="4.0124340453436105"/>
    <n v="0"/>
    <m/>
    <n v="6.7701884382524627E-2"/>
    <n v="1E-8"/>
    <n v="20.464114393519282"/>
    <n v="12.278468540612367"/>
    <n v="0.24315029355185852"/>
    <m/>
    <m/>
    <m/>
    <m/>
    <m/>
    <m/>
    <m/>
    <m/>
    <m/>
    <m/>
    <m/>
    <s v="-"/>
    <m/>
    <m/>
    <m/>
    <m/>
    <m/>
    <m/>
    <m/>
    <m/>
    <m/>
    <m/>
    <m/>
    <n v="436.6650446804465"/>
    <n v="0.27890002706898714"/>
    <n v="4.3663249830973305E-2"/>
    <n v="323.41126190997761"/>
    <n v="315.08989790451722"/>
    <x v="1"/>
    <n v="0"/>
    <n v="0"/>
    <n v="0"/>
    <n v="1"/>
    <n v="0.1"/>
    <x v="0"/>
    <n v="6.552749365883466E-2"/>
    <n v="1E-8"/>
    <n v="315.08989790451722"/>
    <n v="6.552749365883466E-2"/>
    <n v="11.799200907127553"/>
    <n v="28.810598909125826"/>
    <n v="12051.119201449208"/>
    <n v="14.704144271095632"/>
    <n v="814536.10945522122"/>
    <x v="3"/>
    <n v="1.1882579333695242E-6"/>
    <n v="1320511.1920144921"/>
    <n v="0.61683393096624506"/>
  </r>
  <r>
    <x v="0"/>
    <n v="100"/>
    <n v="25"/>
    <x v="0"/>
    <n v="3.2971014929798583"/>
    <n v="0.86788715656295123"/>
    <n v="3.9541316513037024"/>
    <n v="0.89188430735643875"/>
    <m/>
    <n v="0.18590232195714393"/>
    <n v="0.08"/>
    <n v="17.941118859188524"/>
    <n v="10.021605902271521"/>
    <n v="0.46420408763757792"/>
    <m/>
    <m/>
    <m/>
    <m/>
    <m/>
    <m/>
    <m/>
    <m/>
    <m/>
    <m/>
    <m/>
    <n v="0.52047567583455667"/>
    <m/>
    <m/>
    <m/>
    <m/>
    <m/>
    <m/>
    <m/>
    <m/>
    <m/>
    <m/>
    <m/>
    <n v="607.94183029196574"/>
    <n v="0.21948868502564989"/>
    <n v="0.20663933752125094"/>
    <n v="384.04417313503637"/>
    <n v="375.83978647317679"/>
    <x v="2"/>
    <n v="4.8813386259591285"/>
    <n v="1.3321822791215501"/>
    <n v="0.1"/>
    <n v="1"/>
    <n v="0.2"/>
    <x v="0"/>
    <n v="0.1143516383763553"/>
    <n v="0.08"/>
    <n v="375.83978647317679"/>
    <n v="0.1143516383763553"/>
    <n v="9.9743911923115274"/>
    <n v="70.240620095740027"/>
    <n v="25985.95942236056"/>
    <n v="18.994011921207278"/>
    <n v="18878.354900328806"/>
    <x v="0"/>
    <n v="2.023714888749891E-6"/>
    <n v="1459859.5942236055"/>
    <n v="1.2931623681501267E-2"/>
  </r>
  <r>
    <x v="0"/>
    <n v="200"/>
    <n v="25"/>
    <x v="0"/>
    <n v="6.0473259893000071"/>
    <n v="1.5890093213256864"/>
    <n v="7.1717252015475479"/>
    <n v="1.6483102096815911"/>
    <m/>
    <n v="0.18468705057565596"/>
    <n v="0.08"/>
    <n v="33.219396168415521"/>
    <n v="18.555793500068617"/>
    <n v="0.73452758918872774"/>
    <m/>
    <m/>
    <m/>
    <m/>
    <m/>
    <m/>
    <m/>
    <m/>
    <m/>
    <m/>
    <m/>
    <n v="0.44562460686973393"/>
    <m/>
    <m/>
    <m/>
    <m/>
    <m/>
    <m/>
    <m/>
    <m/>
    <m/>
    <m/>
    <m/>
    <n v="725.99957075030261"/>
    <n v="0.22156584038981342"/>
    <n v="0.23067027703599916"/>
    <n v="373.78367916748874"/>
    <n v="358.73577615593842"/>
    <x v="2"/>
    <n v="4.8813386259591285"/>
    <n v="1.3321822791215501"/>
    <n v="0.1"/>
    <n v="1"/>
    <n v="0.2"/>
    <x v="0"/>
    <n v="0.11817565075927838"/>
    <n v="0.08"/>
    <n v="358.73577615593842"/>
    <n v="0.11817565075927838"/>
    <n v="18.162433355835031"/>
    <n v="102.16003222007751"/>
    <n v="42004.312071715962"/>
    <n v="29.797788413801317"/>
    <n v="52273.945334657619"/>
    <x v="0"/>
    <n v="3.4015487754943148E-6"/>
    <n v="1620043.1207171595"/>
    <n v="3.2267008616114506E-2"/>
  </r>
  <r>
    <x v="0"/>
    <n v="300"/>
    <n v="25"/>
    <x v="0"/>
    <n v="8.3911792502472533"/>
    <n v="2.2319779359707614"/>
    <n v="9.9162580046073678"/>
    <n v="2.3141564240835208"/>
    <m/>
    <n v="0.18462496962704053"/>
    <n v="0.08"/>
    <n v="46.703791050516081"/>
    <n v="26.087948679443592"/>
    <n v="0.9303718000533121"/>
    <m/>
    <m/>
    <m/>
    <m/>
    <m/>
    <m/>
    <m/>
    <m/>
    <m/>
    <m/>
    <m/>
    <n v="0.40203496633628333"/>
    <m/>
    <m/>
    <m/>
    <m/>
    <m/>
    <m/>
    <m/>
    <m/>
    <m/>
    <m/>
    <m/>
    <n v="809.89734972450583"/>
    <n v="0.22508268087959418"/>
    <n v="0.24387132842628922"/>
    <n v="365.59177618625426"/>
    <n v="344.7114496978499"/>
    <x v="2"/>
    <n v="4.8813386259591285"/>
    <n v="1.3321822791215501"/>
    <n v="0.1"/>
    <n v="1"/>
    <n v="0.2"/>
    <x v="0"/>
    <n v="0.1212360930509794"/>
    <n v="0.08"/>
    <n v="344.7114496978499"/>
    <n v="0.1212360930509794"/>
    <n v="25.317335046090093"/>
    <n v="125.08133563497746"/>
    <n v="55051.579644404083"/>
    <n v="38.554578914916142"/>
    <n v="90370.968832651299"/>
    <x v="0"/>
    <n v="4.3353175920104982E-6"/>
    <n v="1750515.7964440407"/>
    <n v="5.162533752407656E-2"/>
  </r>
  <r>
    <x v="0"/>
    <n v="400"/>
    <n v="25"/>
    <x v="0"/>
    <n v="10.420913128149913"/>
    <n v="2.816971630598577"/>
    <n v="12.302784565196024"/>
    <n v="2.9089162075253099"/>
    <m/>
    <n v="0.18482162063004809"/>
    <n v="0.08"/>
    <n v="58.773835211342572"/>
    <n v="32.830071439578276"/>
    <n v="1.0845153498531435"/>
    <m/>
    <m/>
    <m/>
    <m/>
    <m/>
    <m/>
    <m/>
    <m/>
    <m/>
    <m/>
    <m/>
    <n v="0.37282454099142603"/>
    <m/>
    <m/>
    <m/>
    <m/>
    <m/>
    <m/>
    <m/>
    <m/>
    <m/>
    <m/>
    <m/>
    <n v="875.08068610572616"/>
    <n v="0.22897024780614725"/>
    <n v="0.2526524366591873"/>
    <n v="358.75395754758904"/>
    <n v="332.82301117915489"/>
    <x v="2"/>
    <n v="4.8813386259591285"/>
    <n v="1.3321822791215501"/>
    <n v="0.1"/>
    <n v="1"/>
    <n v="0.2"/>
    <x v="0"/>
    <n v="0.12355515928914607"/>
    <n v="0.08"/>
    <n v="332.82301117915489"/>
    <n v="0.12355515928914607"/>
    <n v="31.701163729177551"/>
    <n v="143.27677659840427"/>
    <n v="66258.494068981672"/>
    <n v="46.077472100324755"/>
    <n v="130156.0894187283"/>
    <x v="0"/>
    <n v="4.9989563436600611E-6"/>
    <n v="1862584.9406898166"/>
    <n v="6.9879277221324684E-2"/>
  </r>
  <r>
    <x v="0"/>
    <n v="600"/>
    <n v="25"/>
    <x v="0"/>
    <n v="13.750400655075087"/>
    <n v="3.844236150324746"/>
    <n v="16.246071307604101"/>
    <n v="3.9259861622263048"/>
    <m/>
    <n v="0.18545744745133733"/>
    <n v="0.08"/>
    <n v="79.467926863644777"/>
    <n v="44.389441436095858"/>
    <n v="1.3166254907297787"/>
    <m/>
    <m/>
    <m/>
    <m/>
    <m/>
    <m/>
    <m/>
    <m/>
    <m/>
    <m/>
    <m/>
    <n v="0.3353617247553316"/>
    <m/>
    <m/>
    <m/>
    <m/>
    <m/>
    <m/>
    <m/>
    <m/>
    <m/>
    <m/>
    <m/>
    <n v="972.03969784600088"/>
    <n v="0.23662558642872761"/>
    <n v="0.26414057963290882"/>
    <n v="347.94286938347449"/>
    <n v="313.72695248111177"/>
    <x v="2"/>
    <n v="4.8813386259591285"/>
    <n v="1.3321822791215501"/>
    <n v="0.1"/>
    <n v="1"/>
    <n v="0.2"/>
    <x v="0"/>
    <n v="0.12687947627776258"/>
    <n v="0.08"/>
    <n v="313.72695248111177"/>
    <n v="0.12687947627776258"/>
    <n v="42.632650737629717"/>
    <n v="170.90695075844263"/>
    <n v="84648.483891969634"/>
    <n v="58.514080188213661"/>
    <n v="209137.9437838062"/>
    <x v="0"/>
    <n v="5.8527864200822854E-6"/>
    <n v="2046484.8389196964"/>
    <n v="0.10219374207248291"/>
  </r>
  <r>
    <x v="0"/>
    <n v="800"/>
    <n v="25"/>
    <x v="0"/>
    <n v="16.319184217152955"/>
    <n v="4.7016287370184582"/>
    <n v="19.317049869189944"/>
    <n v="4.7522884946003545"/>
    <m/>
    <n v="0.18619788930100031"/>
    <n v="0.08"/>
    <n v="96.333530585011744"/>
    <n v="53.810282751845804"/>
    <n v="1.4836575029912131"/>
    <m/>
    <m/>
    <m/>
    <m/>
    <m/>
    <m/>
    <m/>
    <m/>
    <m/>
    <m/>
    <m/>
    <n v="0.31219853438548073"/>
    <m/>
    <m/>
    <m/>
    <m/>
    <m/>
    <m/>
    <m/>
    <m/>
    <m/>
    <m/>
    <m/>
    <n v="1041.1742703991599"/>
    <n v="0.24339269033608493"/>
    <n v="0.27177571773800141"/>
    <n v="339.95348682002174"/>
    <n v="299.34551890355357"/>
    <x v="2"/>
    <n v="4.8813386259591285"/>
    <n v="1.3321822791215501"/>
    <n v="0.1"/>
    <n v="1"/>
    <n v="0.2"/>
    <x v="0"/>
    <n v="0.12922363488540881"/>
    <n v="0.08"/>
    <n v="299.34551890355357"/>
    <n v="0.12922363488540881"/>
    <n v="51.509015471943208"/>
    <n v="190.60624480294524"/>
    <n v="98763.06055724711"/>
    <n v="68.214268608158193"/>
    <n v="282060.03421798057"/>
    <x v="0"/>
    <n v="6.3544874084140525E-6"/>
    <n v="2187630.6055724714"/>
    <n v="0.12893403186968558"/>
  </r>
  <r>
    <x v="0"/>
    <n v="1000"/>
    <n v="25"/>
    <x v="0"/>
    <n v="18.325018452571641"/>
    <n v="5.4180514964191069"/>
    <n v="21.736575309560699"/>
    <n v="5.4236804459644716"/>
    <m/>
    <n v="0.18715100502518692"/>
    <n v="0.08"/>
    <n v="110.07647149214091"/>
    <n v="61.486857372994237"/>
    <n v="1.6036627617916022"/>
    <m/>
    <m/>
    <m/>
    <m/>
    <m/>
    <m/>
    <m/>
    <m/>
    <m/>
    <m/>
    <m/>
    <n v="0.29567795849492184"/>
    <m/>
    <m/>
    <m/>
    <m/>
    <m/>
    <m/>
    <m/>
    <m/>
    <m/>
    <m/>
    <m/>
    <n v="1090.0563861642297"/>
    <n v="0.24925966575958311"/>
    <n v="0.27691412754041078"/>
    <n v="333.82418363650504"/>
    <n v="288.22500526842958"/>
    <x v="2"/>
    <n v="4.8813386259591285"/>
    <n v="1.3321822791215501"/>
    <n v="0.1"/>
    <n v="1"/>
    <n v="0.2"/>
    <x v="0"/>
    <n v="0.13106747899833593"/>
    <n v="0.08"/>
    <n v="288.22500526842958"/>
    <n v="0.13106747899833593"/>
    <n v="58.760418734148061"/>
    <n v="204.96889357596106"/>
    <n v="109767.44132592893"/>
    <n v="76.043549935840389"/>
    <n v="346838.48351831763"/>
    <x v="0"/>
    <n v="6.6682442485830208E-6"/>
    <n v="2297674.4132592892"/>
    <n v="0.15095197192291554"/>
  </r>
  <r>
    <x v="0"/>
    <n v="1300"/>
    <n v="25"/>
    <x v="0"/>
    <n v="20.524687780504465"/>
    <n v="6.2514193816889625"/>
    <n v="24.410627077221505"/>
    <n v="6.1949985639105245"/>
    <m/>
    <n v="0.18852218134620585"/>
    <n v="0.08"/>
    <n v="125.91758734551522"/>
    <n v="70.335437073107968"/>
    <n v="1.7285325210708384"/>
    <m/>
    <m/>
    <m/>
    <m/>
    <m/>
    <m/>
    <m/>
    <m/>
    <m/>
    <m/>
    <m/>
    <n v="0.27902064919603814"/>
    <m/>
    <m/>
    <m/>
    <m/>
    <m/>
    <m/>
    <m/>
    <m/>
    <m/>
    <m/>
    <m/>
    <n v="1140.5515240579314"/>
    <n v="0.25609417414444063"/>
    <n v="0.28254680401059412"/>
    <n v="327.35827307487477"/>
    <n v="276.28526352251214"/>
    <x v="2"/>
    <n v="4.8813386259591285"/>
    <n v="1.3321822791215501"/>
    <n v="0.1"/>
    <n v="1"/>
    <n v="0.2"/>
    <x v="0"/>
    <n v="0.13318644542786812"/>
    <n v="0.08"/>
    <n v="276.28526352251214"/>
    <n v="0.13318644542786812"/>
    <n v="67.033802382592015"/>
    <n v="219.42751547447216"/>
    <n v="121505.61296487058"/>
    <n v="84.664326874551463"/>
    <n v="425730.59517872508"/>
    <x v="0"/>
    <n v="6.9550649420854129E-6"/>
    <n v="2415056.1296487059"/>
    <n v="0.17628186357749451"/>
  </r>
  <r>
    <x v="0"/>
    <n v="1600"/>
    <n v="25"/>
    <x v="0"/>
    <n v="22.03197343052453"/>
    <n v="6.8503745178444717"/>
    <n v="26.254077991119473"/>
    <n v="6.7504598592820653"/>
    <m/>
    <n v="0.18969933913676437"/>
    <n v="0.08"/>
    <n v="137.36919545020882"/>
    <n v="76.732111899980396"/>
    <n v="1.8112735425950373"/>
    <m/>
    <m/>
    <m/>
    <m/>
    <m/>
    <m/>
    <m/>
    <m/>
    <m/>
    <m/>
    <m/>
    <n v="0.26831854130715066"/>
    <m/>
    <m/>
    <m/>
    <m/>
    <m/>
    <m/>
    <m/>
    <m/>
    <m/>
    <m/>
    <m/>
    <n v="1173.9572118281744"/>
    <n v="0.26092611289421908"/>
    <n v="0.2866653071501653"/>
    <n v="323.14391424078599"/>
    <n v="268.3204405306555"/>
    <x v="2"/>
    <n v="4.8813386259591285"/>
    <n v="1.3321822791215501"/>
    <n v="0.1"/>
    <n v="1"/>
    <n v="0.2"/>
    <x v="0"/>
    <n v="0.13477529140639652"/>
    <n v="0.08"/>
    <n v="268.3204405306555"/>
    <n v="0.13477529140639652"/>
    <n v="72.886975764345124"/>
    <n v="228.27266806196067"/>
    <n v="129140.45367176783"/>
    <n v="90.494252607121723"/>
    <n v="484313.46291382337"/>
    <x v="0"/>
    <n v="7.1279660518453329E-6"/>
    <n v="2491404.5367176784"/>
    <n v="0.19439374689101521"/>
  </r>
  <r>
    <x v="0"/>
    <n v="1900"/>
    <n v="25"/>
    <x v="0"/>
    <n v="23.097210155701223"/>
    <n v="7.2887836021924901"/>
    <n v="27.56285189924877"/>
    <n v="7.1570754314157252"/>
    <m/>
    <n v="0.1907432606262757"/>
    <n v="0.08"/>
    <n v="145.78000444714098"/>
    <n v="81.430247715705448"/>
    <n v="1.8664111325910824"/>
    <m/>
    <m/>
    <m/>
    <m/>
    <m/>
    <m/>
    <m/>
    <m/>
    <m/>
    <m/>
    <m/>
    <n v="0.26077846328104043"/>
    <m/>
    <m/>
    <m/>
    <m/>
    <m/>
    <m/>
    <m/>
    <m/>
    <m/>
    <m/>
    <m/>
    <n v="1195.9797143555916"/>
    <n v="0.26444228735238923"/>
    <n v="0.28961395101676107"/>
    <n v="320.24828198153858"/>
    <n v="262.7741480600497"/>
    <x v="2"/>
    <n v="4.8813386259591285"/>
    <n v="1.3321822791215501"/>
    <n v="0.1"/>
    <n v="1"/>
    <n v="0.2"/>
    <x v="0"/>
    <n v="0.13601307304685004"/>
    <n v="0.08"/>
    <n v="262.7741480600497"/>
    <n v="0.13601307304685004"/>
    <n v="77.121606218998565"/>
    <n v="233.88436790685435"/>
    <n v="134304.24772084827"/>
    <n v="94.615609073666249"/>
    <n v="527927.472201247"/>
    <x v="0"/>
    <n v="7.2409207444050252E-6"/>
    <n v="2543042.477208483"/>
    <n v="0.20759679672388209"/>
  </r>
  <r>
    <x v="0"/>
    <n v="1000"/>
    <n v="25"/>
    <x v="1"/>
    <n v="13.541736431948989"/>
    <n v="8.8727621079655155"/>
    <n v="18.775537296296097"/>
    <n v="5.6896202702648262"/>
    <m/>
    <n v="0.2204166720590128"/>
    <n v="0.08"/>
    <n v="116.08476647788089"/>
    <n v="64.842989449497509"/>
    <n v="1.3229405895223554"/>
    <m/>
    <m/>
    <m/>
    <m/>
    <m/>
    <m/>
    <m/>
    <m/>
    <m/>
    <m/>
    <m/>
    <n v="0.23251825722646663"/>
    <m/>
    <m/>
    <m/>
    <m/>
    <m/>
    <m/>
    <m/>
    <m/>
    <m/>
    <m/>
    <m/>
    <n v="780.30996392610473"/>
    <n v="0.47257034341786164"/>
    <n v="0.28530746110140093"/>
    <n v="152.53633963979607"/>
    <n v="118.83966916492739"/>
    <x v="2"/>
    <n v="4.8813386259591285"/>
    <n v="1.3321822791215501"/>
    <n v="0.1"/>
    <n v="1"/>
    <n v="0.2"/>
    <x v="0"/>
    <n v="0.14007654433192307"/>
    <n v="0.08"/>
    <n v="118.83966916492739"/>
    <n v="0.14007654433192307"/>
    <n v="78.836665817433556"/>
    <n v="223.67599804078495"/>
    <n v="130592.18966863852"/>
    <n v="95.291926104955579"/>
    <n v="268533.39728274103"/>
    <x v="1"/>
    <n v="4.6356954519014396E-6"/>
    <n v="2505921.8966863854"/>
    <n v="0.10715952386138866"/>
  </r>
  <r>
    <x v="0"/>
    <n v="1000"/>
    <n v="25"/>
    <x v="2"/>
    <n v="16.443094488779693"/>
    <n v="6.7918410118798871"/>
    <n v="20.579504828470444"/>
    <n v="5.5271501983662352"/>
    <m/>
    <n v="0.19665143253165079"/>
    <n v="0.08"/>
    <n v="112.34929321074334"/>
    <n v="62.756417188562359"/>
    <n v="1.5287816441597526"/>
    <m/>
    <m/>
    <m/>
    <m/>
    <m/>
    <m/>
    <m/>
    <m/>
    <m/>
    <m/>
    <m/>
    <n v="0.27659491587756085"/>
    <m/>
    <m/>
    <m/>
    <m/>
    <m/>
    <m/>
    <m/>
    <m/>
    <m/>
    <m/>
    <m/>
    <n v="964.84156155809137"/>
    <n v="0.33002936992360499"/>
    <n v="0.28044130325811495"/>
    <n v="241.3670729035029"/>
    <n v="200.45073947821541"/>
    <x v="2"/>
    <n v="4.8813386259591285"/>
    <n v="1.3321822791215501"/>
    <n v="0.1"/>
    <n v="1"/>
    <n v="0.2"/>
    <x v="0"/>
    <n v="0.1327771293115475"/>
    <n v="0.08"/>
    <n v="200.45073947821541"/>
    <n v="0.1327771293115475"/>
    <n v="66.866048003308762"/>
    <n v="211.8543706343138"/>
    <n v="118214.70036766856"/>
    <n v="84.34156286600863"/>
    <n v="318987.91066307412"/>
    <x v="1"/>
    <n v="5.8323656464921164E-6"/>
    <n v="2382147.0036766855"/>
    <n v="0.13390773540454787"/>
  </r>
  <r>
    <x v="0"/>
    <n v="1000"/>
    <n v="25"/>
    <x v="0"/>
    <n v="18.328777517969353"/>
    <n v="5.4200945580113178"/>
    <n v="21.741567061786085"/>
    <n v="5.4242811969245794"/>
    <m/>
    <n v="0.18717929725652047"/>
    <n v="0.08"/>
    <n v="110.0885924825112"/>
    <n v="61.493627953446321"/>
    <n v="1.6030932568860745"/>
    <m/>
    <m/>
    <m/>
    <m/>
    <m/>
    <m/>
    <m/>
    <m/>
    <m/>
    <m/>
    <m/>
    <n v="0.29554021974284539"/>
    <m/>
    <m/>
    <m/>
    <m/>
    <m/>
    <m/>
    <m/>
    <m/>
    <m/>
    <m/>
    <m/>
    <n v="1089.7304108182925"/>
    <n v="0.24929640732005512"/>
    <n v="0.27683847449301685"/>
    <n v="333.79252088592301"/>
    <n v="288.18378237525542"/>
    <x v="2"/>
    <n v="4.8813386259591285"/>
    <n v="1.3321822791215501"/>
    <n v="0.1"/>
    <n v="1"/>
    <n v="0.2"/>
    <x v="0"/>
    <n v="0.13107484161348848"/>
    <n v="0.08"/>
    <n v="288.18378237525542"/>
    <n v="0.13107484161348848"/>
    <n v="58.778974490092025"/>
    <n v="205.00503229637292"/>
    <n v="109814.81091911269"/>
    <n v="76.091873628057471"/>
    <n v="347021.39313563239"/>
    <x v="1"/>
    <n v="6.6679281933323014E-6"/>
    <n v="2298148.1091911271"/>
    <n v="0.15100044759855472"/>
  </r>
  <r>
    <x v="0"/>
    <n v="1000"/>
    <n v="25"/>
    <x v="3"/>
    <n v="19.590263383772911"/>
    <n v="4.4676191297839285"/>
    <n v="22.500820506015017"/>
    <n v="5.3561450997255848"/>
    <m/>
    <n v="0.18081305286188989"/>
    <n v="0.08"/>
    <n v="108.61653809551655"/>
    <n v="60.67136324136483"/>
    <n v="1.6530667498518383"/>
    <m/>
    <m/>
    <m/>
    <m/>
    <m/>
    <m/>
    <m/>
    <m/>
    <m/>
    <m/>
    <m/>
    <n v="0.30862994169753377"/>
    <m/>
    <m/>
    <m/>
    <m/>
    <m/>
    <m/>
    <m/>
    <m/>
    <m/>
    <m/>
    <m/>
    <n v="1206.3533313600319"/>
    <n v="0.19855360957124318"/>
    <n v="0.27424869092017562"/>
    <n v="428.56752271800281"/>
    <n v="379.81995643411295"/>
    <x v="2"/>
    <n v="4.8813386259591285"/>
    <n v="1.3321822791215501"/>
    <n v="0.1"/>
    <n v="1"/>
    <n v="0.2"/>
    <x v="0"/>
    <n v="0.13048319335959183"/>
    <n v="0.08"/>
    <n v="379.81995643411295"/>
    <n v="0.13048319335959183"/>
    <n v="53.079704531167565"/>
    <n v="200.66012933243132"/>
    <n v="103975.57735189378"/>
    <n v="70.038893607625653"/>
    <n v="362908.9945121666"/>
    <x v="1"/>
    <n v="7.2619313603312535E-6"/>
    <n v="2239755.7735189376"/>
    <n v="0.1620306101240632"/>
  </r>
  <r>
    <x v="0"/>
    <n v="1000"/>
    <n v="25"/>
    <x v="4"/>
    <n v="20.492626746786634"/>
    <n v="3.7879870725851164"/>
    <n v="23.044882830228325"/>
    <n v="5.3085668967194808"/>
    <m/>
    <n v="0.1764276603237"/>
    <n v="0.08"/>
    <n v="107.59768999215873"/>
    <n v="60.102251902976946"/>
    <n v="1.6810509161826772"/>
    <m/>
    <m/>
    <m/>
    <m/>
    <m/>
    <m/>
    <m/>
    <m/>
    <m/>
    <m/>
    <m/>
    <n v="0.31666755809774411"/>
    <m/>
    <m/>
    <m/>
    <m/>
    <m/>
    <m/>
    <m/>
    <m/>
    <m/>
    <m/>
    <m/>
    <n v="1314.2714428284264"/>
    <n v="0.16437432554946019"/>
    <n v="0.27228740459966239"/>
    <n v="524.73898388022599"/>
    <n v="473.74598473708767"/>
    <x v="2"/>
    <n v="4.8813386259591285"/>
    <n v="1.3321822791215501"/>
    <n v="0.1"/>
    <n v="1"/>
    <n v="0.2"/>
    <x v="0"/>
    <n v="0.1304651285827825"/>
    <n v="0.08"/>
    <n v="473.74598473708767"/>
    <n v="0.1304651285827825"/>
    <n v="48.997771477773981"/>
    <n v="197.70370312171534"/>
    <n v="99814.226665637892"/>
    <n v="65.601315737937298"/>
    <n v="372922.26221242564"/>
    <x v="1"/>
    <n v="7.702795176709848E-6"/>
    <n v="2198142.2666563792"/>
    <n v="0.16965337861397034"/>
  </r>
  <r>
    <x v="0"/>
    <n v="1000"/>
    <n v="25"/>
    <x v="5"/>
    <n v="21.176980399797948"/>
    <n v="3.2852850154907025"/>
    <n v="23.464626490387047"/>
    <n v="5.2750568157347928"/>
    <m/>
    <n v="0.17314877709576035"/>
    <n v="0.08"/>
    <n v="106.88238595362515"/>
    <n v="59.702695151207507"/>
    <n v="1.6962584878976443"/>
    <m/>
    <m/>
    <m/>
    <m/>
    <m/>
    <m/>
    <m/>
    <m/>
    <m/>
    <m/>
    <m/>
    <n v="0.32156212665576056"/>
    <m/>
    <m/>
    <m/>
    <m/>
    <m/>
    <m/>
    <m/>
    <m/>
    <m/>
    <m/>
    <m/>
    <n v="1417.1594018738331"/>
    <n v="0.14001011338648894"/>
    <n v="0.27054952217028144"/>
    <n v="621.72604767540724"/>
    <n v="569.03015792501083"/>
    <x v="2"/>
    <n v="4.8813386259591285"/>
    <n v="1.3321822791215501"/>
    <n v="0.1"/>
    <n v="1"/>
    <n v="0.2"/>
    <x v="0"/>
    <n v="0.13069873716188493"/>
    <n v="0.08"/>
    <n v="569.03015792501083"/>
    <n v="0.13069873716188493"/>
    <n v="45.987578334749806"/>
    <n v="195.65217776558472"/>
    <n v="96825.94248096431"/>
    <n v="62.349255371914985"/>
    <n v="380137.32011775568"/>
    <x v="1"/>
    <n v="8.0403114921343433E-6"/>
    <n v="2168259.4248096431"/>
    <n v="0.17531911346407678"/>
  </r>
  <r>
    <x v="0"/>
    <n v="1000"/>
    <n v="25"/>
    <x v="6"/>
    <n v="21.702437933837569"/>
    <n v="2.8971835808992656"/>
    <n v="23.785734254443742"/>
    <n v="5.2493826330485991"/>
    <m/>
    <n v="0.17055369530032582"/>
    <n v="0.08"/>
    <n v="106.33658597736634"/>
    <n v="59.397820505068395"/>
    <n v="1.7044767615033072"/>
    <m/>
    <m/>
    <m/>
    <m/>
    <m/>
    <m/>
    <m/>
    <m/>
    <m/>
    <m/>
    <m/>
    <n v="0.32470042301211061"/>
    <m/>
    <m/>
    <m/>
    <m/>
    <m/>
    <m/>
    <m/>
    <m/>
    <m/>
    <m/>
    <m/>
    <n v="1517.6238040262301"/>
    <n v="0.12180341165452997"/>
    <n v="0.26922369871359275"/>
    <n v="719.38882781294376"/>
    <n v="665.38542327457753"/>
    <x v="2"/>
    <n v="4.8813386259591285"/>
    <n v="1.3321822791215501"/>
    <n v="0.1"/>
    <n v="1"/>
    <n v="0.2"/>
    <x v="0"/>
    <n v="0.13105848218310412"/>
    <n v="0.08"/>
    <n v="665.38542327457753"/>
    <n v="0.13105848218310412"/>
    <n v="43.656532976030675"/>
    <n v="194.09989015194569"/>
    <n v="94503.036802540664"/>
    <n v="59.781921910669759"/>
    <n v="385120.11482378247"/>
    <x v="1"/>
    <n v="8.3064960995323309E-6"/>
    <n v="2145030.3680254067"/>
    <n v="0.17954063521175329"/>
  </r>
  <r>
    <x v="0"/>
    <n v="1000"/>
    <n v="25"/>
    <x v="7"/>
    <n v="22.122492397846425"/>
    <n v="2.5903103882605838"/>
    <n v="24.044323534393438"/>
    <n v="5.229643408597803"/>
    <m/>
    <n v="0.16842768638921718"/>
    <n v="0.08"/>
    <n v="105.91763000820603"/>
    <n v="59.163798778425715"/>
    <n v="1.7079961166288529"/>
    <m/>
    <m/>
    <m/>
    <m/>
    <m/>
    <m/>
    <m/>
    <m/>
    <m/>
    <m/>
    <m/>
    <n v="0.32659896348206446"/>
    <m/>
    <m/>
    <m/>
    <m/>
    <m/>
    <m/>
    <m/>
    <m/>
    <m/>
    <m/>
    <m/>
    <n v="1616.4307721682867"/>
    <n v="0.10773064106192701"/>
    <n v="0.26809086981297126"/>
    <n v="817.48136587687679"/>
    <n v="762.43271385386061"/>
    <x v="2"/>
    <n v="4.8813386259591285"/>
    <n v="1.3321822791215501"/>
    <n v="0.1"/>
    <n v="1"/>
    <n v="0.2"/>
    <x v="0"/>
    <n v="0.13147499201284918"/>
    <n v="0.08"/>
    <n v="762.43271385386061"/>
    <n v="0.13147499201284918"/>
    <n v="41.815663156227814"/>
    <n v="192.91592475863729"/>
    <n v="92691.194898838265"/>
    <n v="57.754452208051603"/>
    <n v="388920.79172426311"/>
    <x v="1"/>
    <n v="8.5211664246646227E-6"/>
    <n v="2126911.9489883827"/>
    <n v="0.18285702513883775"/>
  </r>
  <r>
    <x v="0"/>
    <n v="1000"/>
    <n v="25"/>
    <x v="8"/>
    <n v="22.464187097858307"/>
    <n v="2.3416149193853966"/>
    <n v="24.255199200709164"/>
    <n v="5.2139191490230559"/>
    <m/>
    <n v="0.1666439469520265"/>
    <n v="0.08"/>
    <n v="105.58440424660159"/>
    <n v="58.977664497420513"/>
    <n v="1.7084679113931118"/>
    <m/>
    <m/>
    <m/>
    <m/>
    <m/>
    <m/>
    <m/>
    <m/>
    <m/>
    <m/>
    <m/>
    <n v="0.32767441583999846"/>
    <m/>
    <m/>
    <m/>
    <m/>
    <m/>
    <m/>
    <m/>
    <m/>
    <m/>
    <m/>
    <m/>
    <n v="1714.2446471862322"/>
    <n v="9.654074163682537E-2"/>
    <n v="0.26714389662995663"/>
    <n v="915.9097872672894"/>
    <n v="860.01069148967554"/>
    <x v="2"/>
    <n v="4.8813386259591285"/>
    <n v="1.3321822791215501"/>
    <n v="0.1"/>
    <n v="1"/>
    <n v="0.2"/>
    <x v="0"/>
    <n v="0.13191844039260911"/>
    <n v="0.08"/>
    <n v="860.01069148967554"/>
    <n v="0.13191844039260911"/>
    <n v="40.323674792800823"/>
    <n v="191.97887122727272"/>
    <n v="91230.134922275902"/>
    <n v="56.102986035989986"/>
    <n v="391845.20432715327"/>
    <x v="1"/>
    <n v="8.6977723651674165E-6"/>
    <n v="2112301.3492227588"/>
    <n v="0.18550629836568366"/>
  </r>
  <r>
    <x v="0"/>
    <n v="1000"/>
    <n v="25"/>
    <x v="9"/>
    <n v="22.74840409503388"/>
    <n v="2.1362945925498886"/>
    <n v="24.43146788196951"/>
    <n v="5.2012069509751306"/>
    <m/>
    <n v="0.16511736604442762"/>
    <n v="0.08"/>
    <n v="105.31523271983818"/>
    <n v="58.82730982988236"/>
    <n v="1.7068757928277023"/>
    <m/>
    <m/>
    <m/>
    <m/>
    <m/>
    <m/>
    <m/>
    <m/>
    <m/>
    <m/>
    <m/>
    <n v="0.32816917475427398"/>
    <m/>
    <m/>
    <m/>
    <m/>
    <m/>
    <m/>
    <m/>
    <m/>
    <m/>
    <m/>
    <m/>
    <n v="1811.414477151448"/>
    <n v="8.7440288191872412E-2"/>
    <n v="0.26632177749103192"/>
    <n v="1014.5830119138495"/>
    <n v="957.97658073759726"/>
    <x v="2"/>
    <n v="4.8813386259591285"/>
    <n v="1.3321822791215501"/>
    <n v="0.1"/>
    <n v="1"/>
    <n v="0.2"/>
    <x v="0"/>
    <n v="0.13236816037887264"/>
    <n v="0.08"/>
    <n v="957.97658073759726"/>
    <n v="0.13236816037887264"/>
    <n v="39.093179898320315"/>
    <n v="191.22491594948639"/>
    <n v="90035.763626905726"/>
    <n v="54.741680314787573"/>
    <n v="394200.19227832905"/>
    <x v="1"/>
    <n v="8.8454683980782152E-6"/>
    <n v="2100357.6362690572"/>
    <n v="0.18768241439994068"/>
  </r>
  <r>
    <x v="0"/>
    <n v="1000"/>
    <n v="25"/>
    <x v="0"/>
    <n v="18.326527137497578"/>
    <n v="5.4188702302261111"/>
    <n v="21.738577961349691"/>
    <n v="5.4239206005189713"/>
    <m/>
    <n v="0.1871623192596541"/>
    <n v="0.08"/>
    <n v="110.08131694392641"/>
    <n v="61.489563960503851"/>
    <n v="1.6034344427228024"/>
    <m/>
    <m/>
    <m/>
    <m/>
    <m/>
    <m/>
    <m/>
    <m/>
    <m/>
    <m/>
    <m/>
    <n v="0.29562277194274983"/>
    <m/>
    <m/>
    <m/>
    <m/>
    <m/>
    <m/>
    <m/>
    <m/>
    <m/>
    <m/>
    <m/>
    <n v="1089.9257502240077"/>
    <n v="0.24927436559376803"/>
    <n v="0.2768837253518377"/>
    <n v="333.81146864370612"/>
    <n v="288.20852886260741"/>
    <x v="2"/>
    <n v="4.8813386259591285"/>
    <n v="1.3321822791215501"/>
    <n v="0.1"/>
    <n v="1"/>
    <n v="0.2"/>
    <x v="0"/>
    <n v="0.13107041543964706"/>
    <n v="0.08"/>
    <n v="288.20852886260741"/>
    <n v="0.13107041543964706"/>
    <n v="58.767857170153931"/>
    <n v="204.98333955330776"/>
    <n v="109786.42894008307"/>
    <n v="76.062943942314419"/>
    <n v="346911.84005936241"/>
    <x v="2"/>
    <n v="6.668118153039037E-6"/>
    <n v="2297864.2894008309"/>
    <n v="0.15097142231572772"/>
  </r>
  <r>
    <x v="0"/>
    <n v="1000"/>
    <n v="25"/>
    <x v="0"/>
    <n v="17.690849746086748"/>
    <n v="5.1692497957403383"/>
    <n v="20.940070146652342"/>
    <n v="5.2283725820220335"/>
    <m/>
    <n v="0.18905308120424683"/>
    <n v="0.08"/>
    <n v="106.1480106547707"/>
    <n v="59.292485515607609"/>
    <n v="1.5433672931485338"/>
    <m/>
    <m/>
    <m/>
    <m/>
    <m/>
    <m/>
    <m/>
    <m/>
    <m/>
    <m/>
    <m/>
    <n v="0.29519076327028865"/>
    <m/>
    <m/>
    <m/>
    <m/>
    <m/>
    <m/>
    <m/>
    <m/>
    <m/>
    <m/>
    <m/>
    <n v="1064.0975982735727"/>
    <n v="0.24685923970348966"/>
    <n v="0.27831168885949892"/>
    <n v="336.43511769634051"/>
    <n v="292.41395169930661"/>
    <x v="2"/>
    <n v="4.8813386259591285"/>
    <n v="1.3321822791215501"/>
    <n v="0.1"/>
    <n v="1"/>
    <n v="0.2"/>
    <x v="1"/>
    <n v="0.13203080624986732"/>
    <n v="0.08"/>
    <n v="292.41395169930661"/>
    <n v="0.13203080624986732"/>
    <n v="56.271080279015422"/>
    <n v="193.56616993577845"/>
    <n v="102663.38076903734"/>
    <n v="72.272031142392009"/>
    <n v="394873.80364665436"/>
    <x v="2"/>
    <n v="6.4780562561312694E-6"/>
    <n v="2226633.8076903736"/>
    <n v="0.17734115159970834"/>
  </r>
  <r>
    <x v="0"/>
    <n v="1000"/>
    <n v="25"/>
    <x v="0"/>
    <n v="15.38738060211173"/>
    <n v="4.3232755711099262"/>
    <n v="18.090803000580784"/>
    <n v="4.5294753159347234"/>
    <m/>
    <n v="0.19608442645457239"/>
    <n v="0.08"/>
    <n v="92.061880965185907"/>
    <n v="51.424211438319112"/>
    <n v="1.3345619070572576"/>
    <m/>
    <m/>
    <m/>
    <m/>
    <m/>
    <m/>
    <m/>
    <m/>
    <m/>
    <m/>
    <m/>
    <n v="0.29463940389789967"/>
    <m/>
    <m/>
    <m/>
    <m/>
    <m/>
    <m/>
    <m/>
    <m/>
    <m/>
    <m/>
    <m/>
    <n v="974.62016713708567"/>
    <n v="0.2389764329958782"/>
    <n v="0.28300459173664955"/>
    <n v="345.62851257045861"/>
    <n v="307.33921360845733"/>
    <x v="2"/>
    <n v="4.8813386259591285"/>
    <n v="1.3321822791215501"/>
    <n v="0.1"/>
    <n v="1"/>
    <n v="0.2"/>
    <x v="2"/>
    <n v="0.13562862330203482"/>
    <n v="0.08"/>
    <n v="307.33921360845733"/>
    <n v="0.13562862330203482"/>
    <n v="47.667706814060502"/>
    <n v="157.02001426822537"/>
    <n v="80091.926358108205"/>
    <n v="59.693830897411395"/>
    <n v="515794.62040129153"/>
    <x v="2"/>
    <n v="5.8184340152154321E-6"/>
    <n v="2000919.263581082"/>
    <n v="0.25777882685689396"/>
  </r>
  <r>
    <x v="0"/>
    <n v="1000"/>
    <n v="25"/>
    <x v="0"/>
    <n v="13.285582781908976"/>
    <n v="3.6203470005635876"/>
    <n v="15.54091041735485"/>
    <n v="3.8994473417527313"/>
    <m/>
    <n v="0.20314796714524941"/>
    <n v="0.08"/>
    <n v="79.329664545089003"/>
    <n v="44.312210440717287"/>
    <n v="1.1488454243935928"/>
    <m/>
    <m/>
    <m/>
    <m/>
    <m/>
    <m/>
    <m/>
    <m/>
    <m/>
    <m/>
    <m/>
    <n v="0.29461749927804065"/>
    <m/>
    <m/>
    <m/>
    <m/>
    <m/>
    <m/>
    <m/>
    <m/>
    <m/>
    <m/>
    <m/>
    <n v="894.98259896141872"/>
    <n v="0.23295591463680743"/>
    <n v="0.28644547192214936"/>
    <n v="353.61915588067052"/>
    <n v="320.55988676462226"/>
    <x v="2"/>
    <n v="4.8813386259591285"/>
    <n v="1.3321822791215501"/>
    <n v="0.1"/>
    <n v="1"/>
    <n v="0.2"/>
    <x v="3"/>
    <n v="0.1392922308070853"/>
    <n v="0.08"/>
    <n v="320.55988676462226"/>
    <n v="0.1392922308070853"/>
    <n v="40.335516367707157"/>
    <n v="128.5096616849988"/>
    <n v="63007.749084344156"/>
    <n v="49.551992380632718"/>
    <n v="583837.02449985442"/>
    <x v="2"/>
    <n v="5.1908808373681692E-6"/>
    <n v="1830077.4908434416"/>
    <n v="0.31902311646419795"/>
  </r>
  <r>
    <x v="0"/>
    <n v="1000"/>
    <n v="25"/>
    <x v="0"/>
    <n v="12.127742396177107"/>
    <n v="3.2559800722232906"/>
    <n v="14.152398272600836"/>
    <n v="3.5552646911561823"/>
    <m/>
    <n v="0.20737280406201541"/>
    <n v="0.08"/>
    <n v="72.36180769513436"/>
    <n v="40.420083317445631"/>
    <n v="1.0483230460280453"/>
    <m/>
    <m/>
    <m/>
    <m/>
    <m/>
    <m/>
    <m/>
    <m/>
    <m/>
    <m/>
    <m/>
    <n v="0.29486497830549085"/>
    <m/>
    <m/>
    <m/>
    <m/>
    <m/>
    <m/>
    <m/>
    <m/>
    <m/>
    <m/>
    <m/>
    <n v="851.89171953617176"/>
    <n v="0.23006560510149687"/>
    <n v="0.28812722705369914"/>
    <n v="357.90837776703131"/>
    <n v="327.7301965221493"/>
    <x v="2"/>
    <n v="4.8813386259591285"/>
    <n v="1.3321822791215501"/>
    <n v="0.1"/>
    <n v="1"/>
    <n v="0.2"/>
    <x v="4"/>
    <n v="0.1415481782187322"/>
    <n v="0.08"/>
    <n v="327.7301965221493"/>
    <n v="0.1415481782187322"/>
    <n v="36.467101750950178"/>
    <n v="114.2966558300713"/>
    <n v="54728.857060945513"/>
    <n v="44.369680294762055"/>
    <n v="609500.97478686087"/>
    <x v="2"/>
    <n v="4.8251871793464172E-6"/>
    <n v="1747288.570609455"/>
    <n v="0.34882673934865072"/>
  </r>
  <r>
    <x v="0"/>
    <n v="1000"/>
    <n v="25"/>
    <x v="0"/>
    <n v="10.698408620701581"/>
    <n v="2.825712331823599"/>
    <n v="12.451803456608941"/>
    <n v="3.1322226352032327"/>
    <m/>
    <n v="0.21308759647345796"/>
    <n v="0.08"/>
    <n v="63.786625576990268"/>
    <n v="35.630131453087209"/>
    <n v="0.92454128152232506"/>
    <m/>
    <m/>
    <m/>
    <m/>
    <m/>
    <m/>
    <m/>
    <m/>
    <m/>
    <m/>
    <m/>
    <n v="0.2951709981057386"/>
    <m/>
    <m/>
    <m/>
    <m/>
    <m/>
    <m/>
    <m/>
    <m/>
    <m/>
    <m/>
    <m/>
    <n v="798.75291910050714"/>
    <n v="0.22693197348242908"/>
    <n v="0.28995913117565553"/>
    <n v="363.10373611162277"/>
    <n v="336.48227833934465"/>
    <x v="2"/>
    <n v="4.8813386259591285"/>
    <n v="1.3321822791215501"/>
    <n v="0.1"/>
    <n v="1"/>
    <n v="0.2"/>
    <x v="5"/>
    <n v="0.14470575158821153"/>
    <n v="0.08"/>
    <n v="336.48227833934465"/>
    <n v="0.14470575158821153"/>
    <n v="31.836355380395617"/>
    <n v="97.903143900192674"/>
    <n v="45450.704309603578"/>
    <n v="38.312324098031262"/>
    <n v="632635.72725831822"/>
    <x v="2"/>
    <n v="4.348547974132767E-6"/>
    <n v="1654507.0430960357"/>
    <n v="0.3823711297562587"/>
  </r>
  <r>
    <x v="0"/>
    <n v="1000"/>
    <n v="25"/>
    <x v="0"/>
    <n v="8.8564777679042397"/>
    <n v="2.2982590752486893"/>
    <n v="10.278811886036836"/>
    <n v="2.5877796431001268"/>
    <m/>
    <n v="0.22083401866111665"/>
    <n v="0.08"/>
    <n v="52.734439894690411"/>
    <n v="29.456567243628157"/>
    <n v="0.76870292348502378"/>
    <m/>
    <m/>
    <m/>
    <m/>
    <m/>
    <m/>
    <m/>
    <m/>
    <m/>
    <m/>
    <m/>
    <n v="0.29705115176040553"/>
    <m/>
    <m/>
    <m/>
    <m/>
    <m/>
    <m/>
    <m/>
    <m/>
    <m/>
    <m/>
    <m/>
    <n v="731.95561304371358"/>
    <n v="0.22359189960181483"/>
    <n v="0.29173678966423588"/>
    <n v="369.64223203354885"/>
    <n v="347.604151301201"/>
    <x v="2"/>
    <n v="4.8813386259591285"/>
    <n v="1.3321822791215501"/>
    <n v="0.1"/>
    <n v="1"/>
    <n v="0.2"/>
    <x v="6"/>
    <n v="0.14933816032496297"/>
    <n v="0.08"/>
    <n v="347.604151301201"/>
    <n v="0.14933816032496297"/>
    <n v="26.068973921099342"/>
    <n v="78.269740843456844"/>
    <n v="34840.228454871823"/>
    <n v="31.01209135984374"/>
    <n v="649313.43218162155"/>
    <x v="2"/>
    <n v="3.6919796440331235E-6"/>
    <n v="1548402.2845487182"/>
    <n v="0.41934414503325529"/>
  </r>
  <r>
    <x v="0"/>
    <n v="1000"/>
    <n v="25"/>
    <x v="0"/>
    <n v="7.6963333824558982"/>
    <n v="1.9786669808512183"/>
    <n v="8.918717370406176"/>
    <n v="2.2393696797253759"/>
    <m/>
    <n v="0.22409170584026578"/>
    <n v="0.08"/>
    <n v="45.653023939296332"/>
    <n v="25.50100792249523"/>
    <n v="0.68020348441051892"/>
    <m/>
    <m/>
    <m/>
    <m/>
    <m/>
    <m/>
    <m/>
    <m/>
    <m/>
    <m/>
    <m/>
    <n v="0.30374774230842289"/>
    <m/>
    <m/>
    <m/>
    <m/>
    <m/>
    <m/>
    <m/>
    <m/>
    <m/>
    <m/>
    <m/>
    <n v="694.55607445440933"/>
    <n v="0.22185555373878899"/>
    <n v="0.29158914172207279"/>
    <n v="373.60555562184948"/>
    <n v="354.45433224915018"/>
    <x v="2"/>
    <n v="4.8813386259591285"/>
    <n v="1.3321822791215501"/>
    <n v="0.1"/>
    <n v="1"/>
    <n v="0.2"/>
    <x v="7"/>
    <n v="0.15178040859374706"/>
    <n v="0.08"/>
    <n v="354.45433224915018"/>
    <n v="0.15178040859374706"/>
    <n v="22.531212445210031"/>
    <n v="66.436323827404095"/>
    <n v="28855.681008823081"/>
    <n v="26.78387518246365"/>
    <n v="653641.18616180657"/>
    <x v="2"/>
    <n v="3.2503350492589151E-6"/>
    <n v="1488556.8100882308"/>
    <n v="0.43911067534134857"/>
  </r>
  <r>
    <x v="0"/>
    <n v="1000"/>
    <n v="25"/>
    <x v="0"/>
    <n v="6.235479814321188"/>
    <n v="1.5881694504962272"/>
    <n v="7.2145461883516333"/>
    <n v="1.8085036261394016"/>
    <m/>
    <n v="0.22966640048636816"/>
    <n v="0.08"/>
    <n v="36.886722057478174"/>
    <n v="20.60429978687473"/>
    <n v="0.56333349536674193"/>
    <m/>
    <m/>
    <m/>
    <m/>
    <m/>
    <m/>
    <m/>
    <m/>
    <m/>
    <m/>
    <m/>
    <n v="0.3114914934228169"/>
    <m/>
    <m/>
    <m/>
    <m/>
    <m/>
    <m/>
    <m/>
    <m/>
    <m/>
    <m/>
    <m/>
    <n v="644.78986849329135"/>
    <n v="0.22013435204842582"/>
    <n v="0.29191254543359835"/>
    <n v="378.63921947904231"/>
    <n v="363.12312080992029"/>
    <x v="2"/>
    <n v="4.8813386259591285"/>
    <n v="1.3321822791215501"/>
    <n v="0.1"/>
    <n v="1"/>
    <n v="0.2"/>
    <x v="8"/>
    <n v="0.15630942912252996"/>
    <n v="0.08"/>
    <n v="363.12312080992029"/>
    <n v="0.15630942912252996"/>
    <n v="18.159408037956773"/>
    <n v="52.473207836065328"/>
    <n v="22013.786466482557"/>
    <n v="21.519451676867405"/>
    <n v="643545.94679264014"/>
    <x v="2"/>
    <n v="2.6760018078025957E-6"/>
    <n v="1420137.8646648256"/>
    <n v="0.4531573749317126"/>
  </r>
  <r>
    <x v="0"/>
    <n v="1000"/>
    <n v="25"/>
    <x v="0"/>
    <n v="4.2723095787223997"/>
    <n v="1.0801081023887902"/>
    <n v="4.9362441416544574"/>
    <n v="1.2356026762406382"/>
    <m/>
    <n v="0.23824949826383868"/>
    <n v="0.08"/>
    <n v="25.216652982401801"/>
    <n v="14.085596352567766"/>
    <n v="0.40312365403291661"/>
    <m/>
    <m/>
    <m/>
    <m/>
    <m/>
    <m/>
    <m/>
    <m/>
    <m/>
    <m/>
    <m/>
    <n v="0.32625670191928813"/>
    <m/>
    <m/>
    <m/>
    <m/>
    <m/>
    <m/>
    <m/>
    <m/>
    <m/>
    <m/>
    <m/>
    <n v="576.319535729942"/>
    <n v="0.21881172636383733"/>
    <n v="0.29239984804998814"/>
    <n v="385.38881053730228"/>
    <n v="374.75770871348391"/>
    <x v="2"/>
    <n v="4.8813386259591285"/>
    <n v="1.3321822791215501"/>
    <n v="0.1"/>
    <n v="1"/>
    <n v="0.2"/>
    <x v="9"/>
    <n v="0.16538039044415334"/>
    <n v="0.08"/>
    <n v="374.75770871348391"/>
    <n v="0.16538039044415334"/>
    <n v="12.399551488647525"/>
    <n v="34.892177484409729"/>
    <n v="13901.533886393114"/>
    <n v="14.660027210655405"/>
    <n v="610333.76849739044"/>
    <x v="2"/>
    <n v="1.8455479925918251E-6"/>
    <n v="1339015.3388639311"/>
    <n v="0.45580789912027414"/>
  </r>
  <r>
    <x v="0"/>
    <n v="1000"/>
    <n v="25"/>
    <x v="0"/>
    <n v="18.345213125487312"/>
    <n v="5.4290182805575613"/>
    <n v="21.763390256583993"/>
    <n v="5.4269200716867649"/>
    <m/>
    <n v="0.18730347428793392"/>
    <n v="0.08"/>
    <n v="110.14183255970222"/>
    <n v="61.523366961141576"/>
    <n v="1.600604577860631"/>
    <m/>
    <m/>
    <m/>
    <m/>
    <m/>
    <m/>
    <m/>
    <m/>
    <m/>
    <m/>
    <m/>
    <n v="0.29493793103961086"/>
    <m/>
    <m/>
    <m/>
    <m/>
    <m/>
    <m/>
    <m/>
    <m/>
    <m/>
    <m/>
    <m/>
    <n v="1088.306768781714"/>
    <n v="0.24945645951991058"/>
    <n v="0.27650817301599812"/>
    <n v="333.65399320610351"/>
    <n v="288.00447985139925"/>
    <x v="2"/>
    <n v="4.8813386259591285"/>
    <n v="1.3321822791215501"/>
    <n v="0.1"/>
    <n v="1"/>
    <n v="0.2"/>
    <x v="0"/>
    <n v="0.13110732524404414"/>
    <n v="0.08"/>
    <n v="288.00447985139925"/>
    <n v="0.13110732524404414"/>
    <n v="58.860033320029828"/>
    <n v="205.16383984899102"/>
    <n v="110022.41113707819"/>
    <n v="76.303356478168865"/>
    <n v="347822.55485546199"/>
    <x v="3"/>
    <n v="6.6665315325179082E-6"/>
    <n v="2300224.1113707819"/>
    <n v="0.15121246366215277"/>
  </r>
  <r>
    <x v="1"/>
    <n v="1000"/>
    <n v="25"/>
    <x v="0"/>
    <n v="18.194428477173926"/>
    <n v="5.5099969841792538"/>
    <n v="21.65425607390344"/>
    <n v="5.4296989288437301"/>
    <m/>
    <n v="0.18777010555822268"/>
    <n v="0.08"/>
    <n v="110.20870688943056"/>
    <n v="61.56072183197076"/>
    <n v="1.5988753394388482"/>
    <m/>
    <m/>
    <m/>
    <m/>
    <m/>
    <m/>
    <m/>
    <m/>
    <m/>
    <m/>
    <m/>
    <n v="0.29446850744251729"/>
    <m/>
    <m/>
    <m/>
    <m/>
    <m/>
    <m/>
    <m/>
    <m/>
    <m/>
    <m/>
    <m/>
    <n v="1080.3397629940805"/>
    <n v="0.25445330310005937"/>
    <n v="0.2464579019313925"/>
    <n v="326.17632328040031"/>
    <n v="280.90209327465612"/>
    <x v="2"/>
    <n v="4.8813386259591285"/>
    <n v="1.3321822791215501"/>
    <n v="0.1"/>
    <n v="1"/>
    <n v="0.2"/>
    <x v="0"/>
    <n v="0.13114926805111909"/>
    <n v="0.08"/>
    <n v="280.90209327465612"/>
    <n v="0.13114926805111909"/>
    <n v="59.300225784617652"/>
    <n v="205.36348357123998"/>
    <n v="110282.74469304057"/>
    <n v="76.568158284714926"/>
    <n v="344894.16884289216"/>
    <x v="3"/>
    <n v="6.6109418141303939E-6"/>
    <n v="2302827.4469304057"/>
    <n v="0.14976987064429204"/>
  </r>
  <r>
    <x v="2"/>
    <n v="1000"/>
    <n v="25"/>
    <x v="0"/>
    <n v="18.034062975591912"/>
    <n v="5.6363937172297414"/>
    <n v="21.560707866926101"/>
    <n v="5.4393390283279244"/>
    <m/>
    <n v="0.18867510767784329"/>
    <n v="0.08"/>
    <n v="110.41770953782938"/>
    <n v="61.677467180531401"/>
    <n v="1.5907725130602302"/>
    <m/>
    <m/>
    <m/>
    <m/>
    <m/>
    <m/>
    <m/>
    <m/>
    <m/>
    <m/>
    <m/>
    <n v="0.29245695198911703"/>
    <m/>
    <m/>
    <m/>
    <m/>
    <m/>
    <m/>
    <m/>
    <m/>
    <m/>
    <m/>
    <m/>
    <n v="1066.9577291869962"/>
    <n v="0.26141969697924017"/>
    <n v="0.21583892964828313"/>
    <n v="316.44666230981113"/>
    <n v="271.57147265688218"/>
    <x v="2"/>
    <n v="4.8813386259591285"/>
    <n v="1.3321822791215501"/>
    <n v="0.1"/>
    <n v="1"/>
    <n v="0.2"/>
    <x v="0"/>
    <n v="0.13128785451402994"/>
    <n v="0.08"/>
    <n v="271.57147265688218"/>
    <n v="0.13128785451402994"/>
    <n v="60.060586617922617"/>
    <n v="205.98863451701985"/>
    <n v="111093.85173498109"/>
    <n v="77.390578570707717"/>
    <n v="342837.3230822949"/>
    <x v="3"/>
    <n v="6.5353361020536687E-6"/>
    <n v="2310938.5173498108"/>
    <n v="0.14835415157451332"/>
  </r>
  <r>
    <x v="3"/>
    <n v="1000"/>
    <n v="25"/>
    <x v="0"/>
    <n v="17.810128184842345"/>
    <n v="5.805486008185639"/>
    <n v="21.425934706228063"/>
    <n v="5.4516009862269614"/>
    <m/>
    <n v="0.18988377568310633"/>
    <n v="0.08"/>
    <n v="110.68551667829675"/>
    <n v="61.827059724934159"/>
    <n v="1.5802894772503935"/>
    <m/>
    <m/>
    <m/>
    <m/>
    <m/>
    <m/>
    <m/>
    <m/>
    <m/>
    <m/>
    <m/>
    <n v="0.28987621824173665"/>
    <m/>
    <m/>
    <m/>
    <m/>
    <m/>
    <m/>
    <m/>
    <m/>
    <m/>
    <m/>
    <m/>
    <n v="1049.7093827436047"/>
    <n v="0.27095602071904512"/>
    <n v="0.18529559715129557"/>
    <n v="303.8826153526993"/>
    <n v="259.56464411840813"/>
    <x v="2"/>
    <n v="4.8813386259591285"/>
    <n v="1.3321822791215501"/>
    <n v="0.1"/>
    <n v="1"/>
    <n v="0.2"/>
    <x v="0"/>
    <n v="0.13148223696167055"/>
    <n v="0.08"/>
    <n v="259.56464411840813"/>
    <n v="0.13148223696167055"/>
    <n v="61.067543192687339"/>
    <n v="206.79235557917679"/>
    <n v="112127.64341452094"/>
    <n v="78.433051337982775"/>
    <n v="339712.32725456852"/>
    <x v="3"/>
    <n v="6.4334724977085185E-6"/>
    <n v="2321276.4341452094"/>
    <n v="0.14634720891381675"/>
  </r>
  <r>
    <x v="4"/>
    <n v="1000"/>
    <n v="25"/>
    <x v="0"/>
    <n v="17.485097540501204"/>
    <n v="6.042359896828974"/>
    <n v="21.226108924685189"/>
    <n v="5.4697438581546836"/>
    <m/>
    <n v="0.1902413164962739"/>
    <n v="0.08"/>
    <n v="111.08217630605236"/>
    <n v="62.048627091936602"/>
    <n v="1.5866650667822677"/>
    <m/>
    <m/>
    <m/>
    <m/>
    <m/>
    <m/>
    <m/>
    <m/>
    <m/>
    <m/>
    <m/>
    <n v="0.29008032330741673"/>
    <m/>
    <m/>
    <m/>
    <m/>
    <m/>
    <m/>
    <m/>
    <m/>
    <m/>
    <m/>
    <m/>
    <n v="1036.8589520215107"/>
    <n v="0.28466639449880193"/>
    <n v="0.15478440586641509"/>
    <n v="287.03579380217724"/>
    <n v="243.52641863037638"/>
    <x v="2"/>
    <n v="4.8813386259591285"/>
    <n v="1.3321822791215501"/>
    <n v="0.1"/>
    <n v="1"/>
    <n v="0.2"/>
    <x v="0"/>
    <n v="0.13123383043314016"/>
    <n v="0.08"/>
    <n v="243.52641863037638"/>
    <n v="0.13123383043314016"/>
    <n v="62.477726385265292"/>
    <n v="207.98835434312593"/>
    <n v="113640.87266167265"/>
    <n v="79.944219964672143"/>
    <n v="335092.0823585646"/>
    <x v="3"/>
    <n v="6.2865116930461758E-6"/>
    <n v="2336408.7266167263"/>
    <n v="0.14342185874463839"/>
  </r>
  <r>
    <x v="5"/>
    <n v="1000"/>
    <n v="25"/>
    <x v="0"/>
    <n v="16.975279530489694"/>
    <n v="6.4122655520754694"/>
    <n v="20.911556417958625"/>
    <n v="5.4983941346624761"/>
    <m/>
    <n v="0.19342673910519789"/>
    <n v="0.08"/>
    <n v="111.71113485664628"/>
    <n v="62.399952712840573"/>
    <n v="1.5573176138942282"/>
    <m/>
    <m/>
    <m/>
    <m/>
    <m/>
    <m/>
    <m/>
    <m/>
    <m/>
    <m/>
    <m/>
    <n v="0.28323135369229502"/>
    <m/>
    <m/>
    <m/>
    <m/>
    <m/>
    <m/>
    <m/>
    <m/>
    <m/>
    <m/>
    <m/>
    <n v="999.74399788159178"/>
    <n v="0.30663741253466353"/>
    <n v="0.12420271762910023"/>
    <n v="263.32602172859015"/>
    <n v="221.08519093447768"/>
    <x v="2"/>
    <n v="4.8813386259591285"/>
    <n v="1.3321822791215501"/>
    <n v="0.1"/>
    <n v="1"/>
    <n v="0.2"/>
    <x v="0"/>
    <n v="0.13198689264150276"/>
    <n v="0.08"/>
    <n v="221.08519093447768"/>
    <n v="0.13198689264150276"/>
    <n v="64.650625165650752"/>
    <n v="209.89859238042754"/>
    <n v="115926.86142208829"/>
    <n v="82.159052192051348"/>
    <n v="327437.76049923128"/>
    <x v="3"/>
    <n v="6.0613746706910568E-6"/>
    <n v="2359268.6142208828"/>
    <n v="0.13878782539874684"/>
  </r>
  <r>
    <x v="6"/>
    <n v="1000"/>
    <n v="25"/>
    <x v="0"/>
    <n v="16.084193564093408"/>
    <n v="7.0209137350904349"/>
    <n v="20.340505483878101"/>
    <n v="5.541728142382687"/>
    <m/>
    <n v="0.19846880316924637"/>
    <n v="0.08"/>
    <n v="112.6837381066838"/>
    <n v="62.943232457411931"/>
    <n v="1.5147265622331991"/>
    <m/>
    <m/>
    <m/>
    <m/>
    <m/>
    <m/>
    <m/>
    <m/>
    <m/>
    <m/>
    <m/>
    <n v="0.27333108433246539"/>
    <m/>
    <m/>
    <m/>
    <m/>
    <m/>
    <m/>
    <m/>
    <m/>
    <m/>
    <m/>
    <m/>
    <n v="945.88691078918259"/>
    <n v="0.34516908838156535"/>
    <n v="9.3811007054201867E-2"/>
    <n v="228.54684040647462"/>
    <n v="188.52362967258335"/>
    <x v="2"/>
    <n v="4.8813386259591285"/>
    <n v="1.3321822791215501"/>
    <n v="0.1"/>
    <n v="1"/>
    <n v="0.2"/>
    <x v="0"/>
    <n v="0.13323474437654623"/>
    <n v="0.08"/>
    <n v="188.52362967258335"/>
    <n v="0.13323474437654623"/>
    <n v="68.164099296955357"/>
    <n v="212.88654106435277"/>
    <n v="119398.22669827774"/>
    <n v="85.455479831436179"/>
    <n v="312562.59887003724"/>
    <x v="3"/>
    <n v="5.6888109408568754E-6"/>
    <n v="2393982.266982777"/>
    <n v="0.13056178534854865"/>
  </r>
  <r>
    <x v="7"/>
    <n v="1000"/>
    <n v="25"/>
    <x v="0"/>
    <n v="14.313537190830452"/>
    <n v="8.2496258772954683"/>
    <n v="19.215813887724714"/>
    <n v="5.6260131972594118"/>
    <m/>
    <n v="0.21196263337351517"/>
    <n v="0.08"/>
    <n v="114.6424842823037"/>
    <n v="64.037354980578357"/>
    <n v="1.3931679970504813"/>
    <m/>
    <m/>
    <m/>
    <m/>
    <m/>
    <m/>
    <m/>
    <m/>
    <m/>
    <m/>
    <m/>
    <n v="0.24762970654408212"/>
    <m/>
    <m/>
    <m/>
    <m/>
    <m/>
    <m/>
    <m/>
    <m/>
    <m/>
    <m/>
    <m/>
    <n v="834.45077406328437"/>
    <n v="0.42931441392474273"/>
    <n v="6.3189966914894619E-2"/>
    <n v="173.48402144112242"/>
    <n v="137.86677553804384"/>
    <x v="2"/>
    <n v="4.8813386259591285"/>
    <n v="1.3321822791215501"/>
    <n v="0.1"/>
    <n v="1"/>
    <n v="0.2"/>
    <x v="0"/>
    <n v="0.1372888185886896"/>
    <n v="0.08"/>
    <n v="137.86677553804384"/>
    <n v="0.1372888185886896"/>
    <n v="75.196698470454805"/>
    <n v="219.03382359610004"/>
    <n v="126379.57058907805"/>
    <n v="91.951679702510887"/>
    <n v="287641.54135956732"/>
    <x v="3"/>
    <n v="4.9534173587638344E-6"/>
    <n v="2463795.7058907803"/>
    <n v="0.11674731824226924"/>
  </r>
  <r>
    <x v="8"/>
    <n v="1000"/>
    <n v="25"/>
    <x v="0"/>
    <n v="9.9051201734377035"/>
    <n v="4.8533180385921693"/>
    <n v="12.763219804544157"/>
    <n v="3.6355225023661362"/>
    <m/>
    <n v="0.22335389146826495"/>
    <n v="0.08"/>
    <n v="74.305298255926374"/>
    <n v="41.505684311893475"/>
    <n v="1.0282625559555045"/>
    <m/>
    <m/>
    <m/>
    <m/>
    <m/>
    <m/>
    <m/>
    <m/>
    <m/>
    <m/>
    <m/>
    <n v="0.28283762658222367"/>
    <m/>
    <m/>
    <m/>
    <m/>
    <m/>
    <m/>
    <m/>
    <m/>
    <m/>
    <m/>
    <m/>
    <n v="684.76190074495662"/>
    <n v="0.38025812552912525"/>
    <n v="4.8383294482255798E-2"/>
    <n v="195.27809589174771"/>
    <n v="170.63062276720396"/>
    <x v="2"/>
    <n v="4.8813386259591285"/>
    <n v="1.3321822791215501"/>
    <n v="0.1"/>
    <n v="1"/>
    <n v="0.2"/>
    <x v="0"/>
    <n v="0.14380709947450104"/>
    <n v="0.08"/>
    <n v="170.63062276720396"/>
    <n v="0.14380709947450104"/>
    <n v="45.914481250615978"/>
    <n v="118.17454295058616"/>
    <n v="62470.99411664989"/>
    <n v="54.401701773561236"/>
    <n v="658173.1870605374"/>
    <x v="3"/>
    <n v="3.665656251406587E-6"/>
    <n v="1824709.9411664989"/>
    <n v="0.36070017059247295"/>
  </r>
  <r>
    <x v="9"/>
    <n v="1000"/>
    <n v="25"/>
    <x v="0"/>
    <n v="3.4769920614384899"/>
    <n v="1.0751599341138567"/>
    <n v="4.1232153361924997"/>
    <n v="1.0630325121285544"/>
    <m/>
    <n v="0.2461410232562124"/>
    <n v="0.08"/>
    <n v="21.72244982698626"/>
    <n v="12.133793500087691"/>
    <n v="0.3780277600555042"/>
    <m/>
    <m/>
    <m/>
    <m/>
    <m/>
    <m/>
    <m/>
    <m/>
    <m/>
    <m/>
    <m/>
    <n v="0.35561260426415692"/>
    <m/>
    <m/>
    <m/>
    <m/>
    <m/>
    <m/>
    <m/>
    <m/>
    <m/>
    <m/>
    <m/>
    <n v="497.67701893784431"/>
    <n v="0.26075764820633685"/>
    <n v="4.2051135147046469E-2"/>
    <n v="317.31514382953105"/>
    <n v="308.66313891009247"/>
    <x v="2"/>
    <n v="4.8813386259591285"/>
    <n v="1.3321822791215501"/>
    <n v="0.1"/>
    <n v="1"/>
    <n v="0.2"/>
    <x v="0"/>
    <n v="0.1679611176360023"/>
    <n v="0.08"/>
    <n v="308.66313891009247"/>
    <n v="0.1679611176360023"/>
    <n v="11.557355146330217"/>
    <n v="29.82431244333209"/>
    <n v="12116.28343888326"/>
    <n v="13.63301063550052"/>
    <n v="823776.87518295087"/>
    <x v="3"/>
    <n v="1.2417947689714691E-6"/>
    <n v="1321162.8343888326"/>
    <n v="0.62352410599260344"/>
  </r>
  <r>
    <x v="0"/>
    <n v="100"/>
    <n v="25"/>
    <x v="0"/>
    <n v="3.1127879049455767"/>
    <n v="0.38526737967249247"/>
    <n v="3.5077539414857979"/>
    <n v="4.2990813522949489"/>
    <m/>
    <n v="0.91274357452511057"/>
    <n v="0.36"/>
    <n v="21.648657533542057"/>
    <n v="7.9851605656507587"/>
    <n v="1.2814519733260656"/>
    <m/>
    <m/>
    <m/>
    <m/>
    <m/>
    <m/>
    <m/>
    <m/>
    <m/>
    <m/>
    <m/>
    <n v="0.29807576742924324"/>
    <m/>
    <m/>
    <m/>
    <m/>
    <m/>
    <m/>
    <m/>
    <m/>
    <m/>
    <m/>
    <m/>
    <n v="1015.2824794169752"/>
    <n v="0.10983306870986018"/>
    <n v="0.17588653144381794"/>
    <n v="382.30229523890591"/>
    <n v="374.55649275394319"/>
    <x v="3"/>
    <n v="19.525354503836514"/>
    <n v="5.3287291164862003"/>
    <n v="0.4"/>
    <n v="1"/>
    <n v="0.5"/>
    <x v="0"/>
    <n v="0.86953434429003162"/>
    <n v="0.36"/>
    <n v="374.55649275394319"/>
    <n v="0.86953434429003162"/>
    <n v="6.0071646490873478"/>
    <n v="70.527126508382977"/>
    <n v="24011.94026221586"/>
    <n v="10.405812173207073"/>
    <n v="16643.096037317373"/>
    <x v="0"/>
    <n v="1.9314532256645085E-6"/>
    <n v="1440119.4026221586"/>
    <n v="1.1556747313461473E-2"/>
  </r>
  <r>
    <x v="0"/>
    <n v="200"/>
    <n v="25"/>
    <x v="0"/>
    <n v="5.9269199815358977"/>
    <n v="0.58719618009725449"/>
    <n v="6.5147409888862615"/>
    <n v="7.9437956579448503"/>
    <m/>
    <n v="0.9791039500592581"/>
    <n v="0.36"/>
    <n v="40.097394422262269"/>
    <n v="14.790022532801657"/>
    <n v="1.9459937424308933"/>
    <m/>
    <m/>
    <m/>
    <m/>
    <m/>
    <m/>
    <m/>
    <m/>
    <m/>
    <m/>
    <m/>
    <n v="0.24497026688805132"/>
    <m/>
    <m/>
    <m/>
    <m/>
    <m/>
    <m/>
    <m/>
    <m/>
    <m/>
    <m/>
    <m/>
    <n v="1328.4997779331645"/>
    <n v="9.0133465182878986E-2"/>
    <n v="0.19923240649329915"/>
    <n v="370.25122526070959"/>
    <n v="355.50290671771705"/>
    <x v="3"/>
    <n v="19.525354503836514"/>
    <n v="5.3287291164862003"/>
    <n v="0.4"/>
    <n v="1"/>
    <n v="0.5"/>
    <x v="0"/>
    <n v="0.96966440935268083"/>
    <n v="0.36"/>
    <n v="355.50290671771705"/>
    <n v="0.96966440935268083"/>
    <n v="10.066318459356985"/>
    <n v="102.57173054103599"/>
    <n v="37588.704174516359"/>
    <n v="15.117436379658457"/>
    <n v="47027.833619550249"/>
    <x v="0"/>
    <n v="3.4384986968913549E-6"/>
    <n v="1575887.0417451635"/>
    <n v="2.9842134857248934E-2"/>
  </r>
  <r>
    <x v="0"/>
    <n v="300"/>
    <n v="25"/>
    <x v="0"/>
    <n v="8.4196858370186884"/>
    <n v="0.73134552026352495"/>
    <n v="9.146331807493036"/>
    <n v="11.147448972210984"/>
    <m/>
    <n v="0.99999999928676853"/>
    <n v="0.36"/>
    <n v="56.370680895615486"/>
    <n v="20.792464264776203"/>
    <n v="2.5472765333681675"/>
    <m/>
    <m/>
    <m/>
    <m/>
    <m/>
    <m/>
    <m/>
    <m/>
    <m/>
    <m/>
    <m/>
    <n v="0.22850757511590034"/>
    <m/>
    <m/>
    <m/>
    <m/>
    <m/>
    <m/>
    <m/>
    <m/>
    <m/>
    <m/>
    <m/>
    <n v="1613.1127905056719"/>
    <n v="7.996052796426846E-2"/>
    <n v="0.21275651559296269"/>
    <n v="360.42572038956075"/>
    <n v="339.47452382158849"/>
    <x v="3"/>
    <n v="19.525354503836514"/>
    <n v="5.3287291164862003"/>
    <n v="0.4"/>
    <n v="1"/>
    <n v="0.5"/>
    <x v="0"/>
    <n v="0.99999999900000003"/>
    <n v="0.36"/>
    <n v="339.47452382158849"/>
    <n v="0.99999999900000003"/>
    <n v="13.339495800717973"/>
    <n v="125.47058998716388"/>
    <n v="48297.441383850281"/>
    <n v="18.918694149870532"/>
    <n v="82494.777670116193"/>
    <x v="0"/>
    <n v="4.5472866218323074E-6"/>
    <n v="1682974.413838503"/>
    <n v="4.9017250049549675E-2"/>
  </r>
  <r>
    <x v="0"/>
    <n v="400"/>
    <n v="25"/>
    <x v="0"/>
    <n v="10.647712682653781"/>
    <n v="0.84210940130890677"/>
    <n v="11.483384776471624"/>
    <n v="14.001633368795279"/>
    <m/>
    <n v="0.99999999926132321"/>
    <n v="0.36"/>
    <n v="70.910895840207971"/>
    <n v="26.155658301716056"/>
    <n v="3.1466119936400876"/>
    <m/>
    <m/>
    <m/>
    <m/>
    <m/>
    <m/>
    <m/>
    <m/>
    <m/>
    <m/>
    <m/>
    <n v="0.2247317802687778"/>
    <m/>
    <m/>
    <m/>
    <m/>
    <m/>
    <m/>
    <m/>
    <m/>
    <m/>
    <m/>
    <m/>
    <n v="1898.847388358595"/>
    <n v="7.3332855921915088E-2"/>
    <n v="0.22199790101549416"/>
    <n v="352.03687677249422"/>
    <n v="325.54139153854959"/>
    <x v="3"/>
    <n v="19.525354503836514"/>
    <n v="5.3287291164862003"/>
    <n v="0.4"/>
    <n v="1"/>
    <n v="0.5"/>
    <x v="0"/>
    <n v="0.99999999900000003"/>
    <n v="0.36"/>
    <n v="325.54139153854959"/>
    <n v="0.99999999900000003"/>
    <n v="16.136643232745794"/>
    <n v="143.52228542871549"/>
    <n v="57372.759375286776"/>
    <n v="22.324671836640601"/>
    <n v="120441.81732002646"/>
    <x v="0"/>
    <n v="5.3916363337524979E-6"/>
    <n v="1773727.5937528678"/>
    <n v="6.7903221297468036E-2"/>
  </r>
  <r>
    <x v="0"/>
    <n v="600"/>
    <n v="25"/>
    <x v="0"/>
    <n v="14.434018184720967"/>
    <n v="1.0106380454173236"/>
    <n v="15.435768444436599"/>
    <n v="18.863083106497644"/>
    <m/>
    <n v="0.99999999922840777"/>
    <n v="0.36"/>
    <n v="95.769350808601075"/>
    <n v="35.324760544156135"/>
    <n v="4.1808493084852696"/>
    <m/>
    <m/>
    <m/>
    <m/>
    <m/>
    <m/>
    <m/>
    <m/>
    <m/>
    <m/>
    <m/>
    <n v="0.2216418856281834"/>
    <m/>
    <m/>
    <m/>
    <m/>
    <m/>
    <m/>
    <m/>
    <m/>
    <m/>
    <m/>
    <m/>
    <n v="2392.817417707457"/>
    <n v="6.5473775993418748E-2"/>
    <n v="0.23397568105527042"/>
    <n v="338.30975031413061"/>
    <n v="302.39276346482234"/>
    <x v="3"/>
    <n v="19.525354503836514"/>
    <n v="5.3287291164862003"/>
    <n v="0.4"/>
    <n v="1"/>
    <n v="0.5"/>
    <x v="0"/>
    <n v="0.99999999900000003"/>
    <n v="0.36"/>
    <n v="302.39276346482234"/>
    <n v="0.99999999900000003"/>
    <n v="20.726829557704036"/>
    <n v="170.75647376667388"/>
    <n v="71853.300920496753"/>
    <n v="27.816021036114375"/>
    <n v="197686.84709243756"/>
    <x v="0"/>
    <n v="6.5770672692946148E-6"/>
    <n v="1918533.0092049674"/>
    <n v="0.10304062851353192"/>
  </r>
  <r>
    <x v="0"/>
    <n v="800"/>
    <n v="25"/>
    <x v="0"/>
    <n v="17.474901735484764"/>
    <n v="1.1331323882482647"/>
    <n v="18.596355565686501"/>
    <n v="22.784813363018891"/>
    <m/>
    <n v="0.99999999920793692"/>
    <n v="0.36"/>
    <n v="115.91828110671223"/>
    <n v="42.756743031164355"/>
    <n v="5.0324678155120957"/>
    <m/>
    <m/>
    <m/>
    <m/>
    <m/>
    <m/>
    <m/>
    <m/>
    <m/>
    <m/>
    <m/>
    <n v="0.22086938941883502"/>
    <m/>
    <m/>
    <m/>
    <m/>
    <m/>
    <m/>
    <m/>
    <m/>
    <m/>
    <m/>
    <m/>
    <n v="2800.4491991538193"/>
    <n v="6.0933035198525151E-2"/>
    <n v="0.24169679797756913"/>
    <n v="327.69907635637549"/>
    <n v="284.21529139777385"/>
    <x v="3"/>
    <n v="19.525354503836514"/>
    <n v="5.3287291164862003"/>
    <n v="0.4"/>
    <n v="1"/>
    <n v="0.5"/>
    <x v="0"/>
    <n v="0.99999999900000003"/>
    <n v="0.36"/>
    <n v="284.21529139777385"/>
    <n v="0.99999999900000003"/>
    <n v="24.313350826549062"/>
    <n v="189.95080598059087"/>
    <n v="82616.738171574107"/>
    <n v="32.004248450451804"/>
    <n v="271087.44453736313"/>
    <x v="0"/>
    <n v="7.3517935855915081E-6"/>
    <n v="2026167.381715741"/>
    <n v="0.13379321322792623"/>
  </r>
  <r>
    <x v="0"/>
    <n v="1000"/>
    <n v="25"/>
    <x v="0"/>
    <n v="19.900012634067728"/>
    <n v="1.2241664953776981"/>
    <n v="21.108993972946639"/>
    <n v="25.927326344854123"/>
    <m/>
    <n v="0.99999999919405802"/>
    <n v="0.36"/>
    <n v="132.13925950983355"/>
    <n v="48.739890802807459"/>
    <n v="5.7288646717827305"/>
    <m/>
    <m/>
    <m/>
    <m/>
    <m/>
    <m/>
    <m/>
    <m/>
    <m/>
    <m/>
    <m/>
    <n v="0.22095855915046003"/>
    <m/>
    <m/>
    <m/>
    <m/>
    <m/>
    <m/>
    <m/>
    <m/>
    <m/>
    <m/>
    <m/>
    <n v="3134.4134302288539"/>
    <n v="5.7992649812994131E-2"/>
    <n v="0.24720335056066572"/>
    <n v="319.49942187703437"/>
    <n v="269.98109433748726"/>
    <x v="3"/>
    <n v="19.525354503836514"/>
    <n v="5.3287291164862003"/>
    <n v="0.4"/>
    <n v="1"/>
    <n v="0.5"/>
    <x v="0"/>
    <n v="0.99999999900000003"/>
    <n v="0.36"/>
    <n v="269.98109433748726"/>
    <n v="0.99999999900000003"/>
    <n v="27.125507265757633"/>
    <n v="203.5501757961818"/>
    <n v="90552.045374218302"/>
    <n v="35.209060679843944"/>
    <n v="336702.0888248058"/>
    <x v="0"/>
    <n v="7.8839827855591992E-6"/>
    <n v="2105520.4537421828"/>
    <n v="0.15991394822424004"/>
  </r>
  <r>
    <x v="0"/>
    <n v="1300"/>
    <n v="25"/>
    <x v="0"/>
    <n v="22.62524189478907"/>
    <n v="1.3199297854508802"/>
    <n v="23.923973975775581"/>
    <n v="29.478474314464979"/>
    <m/>
    <n v="0.99999999918021487"/>
    <n v="0.36"/>
    <n v="150.57308129217103"/>
    <n v="55.539251296292591"/>
    <n v="6.5338488327111222"/>
    <m/>
    <m/>
    <m/>
    <m/>
    <m/>
    <m/>
    <m/>
    <m/>
    <m/>
    <m/>
    <m/>
    <n v="0.22164813426266727"/>
    <m/>
    <m/>
    <m/>
    <m/>
    <m/>
    <m/>
    <m/>
    <m/>
    <m/>
    <m/>
    <m/>
    <n v="3521.2095173465191"/>
    <n v="5.5171845061668522E-2"/>
    <n v="0.25303566456639071"/>
    <n v="310.58477099044381"/>
    <n v="254.28510099095845"/>
    <x v="3"/>
    <n v="19.525354503836514"/>
    <n v="5.3287291164862003"/>
    <n v="0.4"/>
    <n v="1"/>
    <n v="0.5"/>
    <x v="0"/>
    <n v="0.99999999900000003"/>
    <n v="0.36"/>
    <n v="254.28510099095845"/>
    <n v="0.99999999900000003"/>
    <n v="30.241262475387192"/>
    <n v="216.84523099547113"/>
    <n v="98633.738810354465"/>
    <n v="38.66164430895752"/>
    <n v="417567.64556785487"/>
    <x v="0"/>
    <n v="8.4141302019368034E-6"/>
    <n v="2186337.3881035447"/>
    <n v="0.19098957363120339"/>
  </r>
  <r>
    <x v="0"/>
    <n v="1600"/>
    <n v="25"/>
    <x v="0"/>
    <n v="24.546743248228058"/>
    <n v="1.3833055249087098"/>
    <n v="25.902853408467589"/>
    <n v="31.997424337337272"/>
    <m/>
    <n v="0.99999999917121518"/>
    <n v="0.36"/>
    <n v="163.73508383170687"/>
    <n v="60.394088298580407"/>
    <n v="7.1184523977422529"/>
    <m/>
    <m/>
    <m/>
    <m/>
    <m/>
    <m/>
    <m/>
    <m/>
    <m/>
    <m/>
    <m/>
    <n v="0.22246954388250079"/>
    <m/>
    <m/>
    <m/>
    <m/>
    <m/>
    <m/>
    <m/>
    <m/>
    <m/>
    <m/>
    <m/>
    <n v="3802.6552641393323"/>
    <n v="5.3403596240733466E-2"/>
    <n v="0.25706120022674811"/>
    <n v="304.5101196657609"/>
    <n v="243.42906526820562"/>
    <x v="3"/>
    <n v="19.525354503836514"/>
    <n v="5.3287291164862003"/>
    <n v="0.4"/>
    <n v="1"/>
    <n v="0.5"/>
    <x v="0"/>
    <n v="0.99999999900000003"/>
    <n v="0.36"/>
    <n v="243.42906526820562"/>
    <n v="0.99999999900000003"/>
    <n v="32.411212080941851"/>
    <n v="224.78741964527302"/>
    <n v="103693.43063305308"/>
    <n v="40.995539468798377"/>
    <n v="478724.03005913901"/>
    <x v="0"/>
    <n v="8.756700618386246E-6"/>
    <n v="2236934.3063305309"/>
    <n v="0.21400898037298124"/>
  </r>
  <r>
    <x v="0"/>
    <n v="1900"/>
    <n v="25"/>
    <x v="0"/>
    <n v="25.922759889624523"/>
    <n v="1.4265301211659944"/>
    <n v="27.316678916592839"/>
    <n v="33.810200569553835"/>
    <m/>
    <n v="0.99999999916502502"/>
    <n v="0.36"/>
    <n v="173.26406408688231"/>
    <n v="63.908876097620528"/>
    <n v="7.5471137044974164"/>
    <m/>
    <m/>
    <m/>
    <m/>
    <m/>
    <m/>
    <m/>
    <m/>
    <m/>
    <m/>
    <m/>
    <n v="0.223220021690543"/>
    <m/>
    <m/>
    <m/>
    <m/>
    <m/>
    <m/>
    <m/>
    <m/>
    <m/>
    <m/>
    <m/>
    <n v="4009.330205224549"/>
    <n v="5.2221945629689417E-2"/>
    <n v="0.25995134988515911"/>
    <n v="300.27841786135508"/>
    <n v="235.77335297584375"/>
    <x v="3"/>
    <n v="19.525354503836514"/>
    <n v="5.3287291164862003"/>
    <n v="0.4"/>
    <n v="1"/>
    <n v="0.5"/>
    <x v="0"/>
    <n v="0.99999999900000003"/>
    <n v="0.36"/>
    <n v="235.77335297584375"/>
    <n v="0.99999999900000003"/>
    <n v="33.951550702798592"/>
    <n v="229.64855744953172"/>
    <n v="106936.04782735994"/>
    <n v="42.613029104594794"/>
    <n v="524338.77736895054"/>
    <x v="0"/>
    <n v="8.9914218784726443E-6"/>
    <n v="2269360.4782735994"/>
    <n v="0.23105133908379233"/>
  </r>
  <r>
    <x v="0"/>
    <n v="1000"/>
    <n v="25"/>
    <x v="1"/>
    <n v="19.886856321579501"/>
    <n v="1.3496783374079477"/>
    <n v="21.170434827591276"/>
    <n v="25.748866622150704"/>
    <m/>
    <n v="0.99999999917673188"/>
    <n v="0.36"/>
    <n v="133.83895925412025"/>
    <n v="49.366829233077141"/>
    <n v="5.5576406342764777"/>
    <m/>
    <m/>
    <m/>
    <m/>
    <m/>
    <m/>
    <m/>
    <m/>
    <m/>
    <m/>
    <m/>
    <n v="0.21584020437992657"/>
    <m/>
    <m/>
    <m/>
    <m/>
    <m/>
    <m/>
    <m/>
    <m/>
    <m/>
    <m/>
    <m/>
    <n v="2850.6903463999661"/>
    <n v="6.375298138179579E-2"/>
    <n v="0.25287065445632151"/>
    <n v="121.35561809520065"/>
    <n v="71.870029261728561"/>
    <x v="3"/>
    <n v="19.525354503836514"/>
    <n v="5.3287291164862003"/>
    <n v="0.4"/>
    <n v="1"/>
    <n v="0.5"/>
    <x v="0"/>
    <n v="0.99999999900000003"/>
    <n v="0.36"/>
    <n v="71.870029261728561"/>
    <n v="0.99999999900000003"/>
    <n v="27.804300906845715"/>
    <n v="207.76653422774888"/>
    <n v="92721.579822942615"/>
    <n v="35.729200695372931"/>
    <n v="341973.07635916676"/>
    <x v="1"/>
    <n v="7.7893721735774902E-6"/>
    <n v="2127215.7982294261"/>
    <n v="0.16076087656165669"/>
  </r>
  <r>
    <x v="0"/>
    <n v="1000"/>
    <n v="25"/>
    <x v="2"/>
    <n v="19.884302416263615"/>
    <n v="1.263985146141585"/>
    <n v="21.115869840936401"/>
    <n v="25.914465790589468"/>
    <m/>
    <n v="0.99999999919398597"/>
    <n v="0.36"/>
    <n v="132.5390931324458"/>
    <n v="48.887370417705426"/>
    <n v="5.7303759532406602"/>
    <m/>
    <m/>
    <m/>
    <m/>
    <m/>
    <m/>
    <m/>
    <m/>
    <m/>
    <m/>
    <m/>
    <n v="0.22112653216728004"/>
    <m/>
    <m/>
    <m/>
    <m/>
    <m/>
    <m/>
    <m/>
    <m/>
    <m/>
    <m/>
    <m/>
    <n v="3035.5677480230211"/>
    <n v="5.9859487469048185E-2"/>
    <n v="0.24811651167735821"/>
    <n v="219.85901187374242"/>
    <n v="170.37977140269228"/>
    <x v="3"/>
    <n v="19.525354503836514"/>
    <n v="5.3287291164862003"/>
    <n v="0.4"/>
    <n v="1"/>
    <n v="0.5"/>
    <x v="0"/>
    <n v="0.99999999900000003"/>
    <n v="0.36"/>
    <n v="170.37977140269228"/>
    <n v="0.99999999900000003"/>
    <n v="27.328993424785523"/>
    <n v="204.53457563259659"/>
    <n v="91034.575277734562"/>
    <n v="35.295365008200143"/>
    <n v="337621.57658906246"/>
    <x v="1"/>
    <n v="7.8584186904274584E-6"/>
    <n v="2110345.7527773455"/>
    <n v="0.15998401027164938"/>
  </r>
  <r>
    <x v="0"/>
    <n v="1000"/>
    <n v="25"/>
    <x v="0"/>
    <n v="19.90000725895894"/>
    <n v="1.2241664388925599"/>
    <n v="21.108988327096196"/>
    <n v="25.927318758673206"/>
    <m/>
    <n v="0.99999999919405813"/>
    <n v="0.36"/>
    <n v="132.13922165190331"/>
    <n v="48.739876838816805"/>
    <n v="5.7288625819601435"/>
    <m/>
    <m/>
    <m/>
    <m/>
    <m/>
    <m/>
    <m/>
    <m/>
    <m/>
    <m/>
    <m/>
    <n v="0.22095854319852201"/>
    <m/>
    <m/>
    <m/>
    <m/>
    <m/>
    <m/>
    <m/>
    <m/>
    <m/>
    <m/>
    <m/>
    <n v="3134.4123051600118"/>
    <n v="5.7992662647938432E-2"/>
    <n v="0.24720332737564146"/>
    <n v="319.49943607061732"/>
    <n v="269.98101417994116"/>
    <x v="3"/>
    <n v="19.525354503836514"/>
    <n v="5.3287291164862003"/>
    <n v="0.4"/>
    <n v="1"/>
    <n v="0.5"/>
    <x v="0"/>
    <n v="0.99999999900000003"/>
    <n v="0.36"/>
    <n v="269.98101417994116"/>
    <n v="0.99999999900000003"/>
    <n v="27.125501679320113"/>
    <n v="203.55008280309042"/>
    <n v="90552.002553419356"/>
    <n v="35.209056673299784"/>
    <n v="336701.86986984871"/>
    <x v="1"/>
    <n v="7.883982768658322E-6"/>
    <n v="2105520.0255341935"/>
    <n v="0.15991387675565982"/>
  </r>
  <r>
    <x v="0"/>
    <n v="1000"/>
    <n v="25"/>
    <x v="3"/>
    <n v="19.916961394876541"/>
    <n v="1.1927692160332448"/>
    <n v="21.108457373112248"/>
    <n v="25.911318376706411"/>
    <m/>
    <n v="0.9999999991918842"/>
    <n v="0.36"/>
    <n v="131.85750924495161"/>
    <n v="48.635966524777238"/>
    <n v="5.6968013048173844"/>
    <m/>
    <m/>
    <m/>
    <m/>
    <m/>
    <m/>
    <m/>
    <m/>
    <m/>
    <m/>
    <m/>
    <n v="0.21985763989294568"/>
    <m/>
    <m/>
    <m/>
    <m/>
    <m/>
    <m/>
    <m/>
    <m/>
    <m/>
    <m/>
    <m/>
    <n v="3218.1320391342729"/>
    <n v="5.6506697526489208E-2"/>
    <n v="0.24677769803097491"/>
    <n v="419.29189082403786"/>
    <n v="369.73138672557963"/>
    <x v="3"/>
    <n v="19.525354503836514"/>
    <n v="5.3287291164862003"/>
    <n v="0.4"/>
    <n v="1"/>
    <n v="0.5"/>
    <x v="0"/>
    <n v="0.99999999900000003"/>
    <n v="0.36"/>
    <n v="369.73138672557963"/>
    <n v="0.99999999900000003"/>
    <n v="26.969700987244149"/>
    <n v="202.85920906198842"/>
    <n v="90237.962472450075"/>
    <n v="35.185339025644531"/>
    <n v="336236.02274113311"/>
    <x v="1"/>
    <n v="7.9029789468736459E-6"/>
    <n v="2102379.6247245008"/>
    <n v="0.15993116504122989"/>
  </r>
  <r>
    <x v="0"/>
    <n v="1000"/>
    <n v="25"/>
    <x v="4"/>
    <n v="19.934132126591685"/>
    <n v="1.1647422967293846"/>
    <n v="21.110153469041865"/>
    <n v="25.886276010479936"/>
    <m/>
    <n v="0.99999999918904348"/>
    <n v="0.36"/>
    <n v="131.61942513780772"/>
    <n v="48.548148616404497"/>
    <n v="5.6553187961761999"/>
    <m/>
    <m/>
    <m/>
    <m/>
    <m/>
    <m/>
    <m/>
    <m/>
    <m/>
    <m/>
    <m/>
    <n v="0.21846783963389216"/>
    <m/>
    <m/>
    <m/>
    <m/>
    <m/>
    <m/>
    <m/>
    <m/>
    <m/>
    <m/>
    <m/>
    <n v="3297.1901365705762"/>
    <n v="5.5174506354844097E-2"/>
    <n v="0.24650841456129688"/>
    <n v="519.13407028288339"/>
    <n v="469.5307384824755"/>
    <x v="3"/>
    <n v="19.525354503836514"/>
    <n v="5.3287291164862003"/>
    <n v="0.4"/>
    <n v="1"/>
    <n v="0.5"/>
    <x v="0"/>
    <n v="0.99999999900000003"/>
    <n v="0.36"/>
    <n v="469.5307384824755"/>
    <n v="0.99999999900000003"/>
    <n v="26.83271539726119"/>
    <n v="202.27706303624578"/>
    <n v="89985.152226554579"/>
    <n v="35.183014597949892"/>
    <n v="335929.57336320356"/>
    <x v="1"/>
    <n v="7.9195165804710314E-6"/>
    <n v="2099851.522265546"/>
    <n v="0.15997777452415615"/>
  </r>
  <r>
    <x v="0"/>
    <n v="1000"/>
    <n v="25"/>
    <x v="5"/>
    <n v="19.95221849507708"/>
    <n v="1.138027367213265"/>
    <n v="21.113615605144599"/>
    <n v="25.857086780368071"/>
    <m/>
    <n v="0.99914445097319626"/>
    <n v="0.36"/>
    <n v="131.40123154900454"/>
    <n v="48.467667374632825"/>
    <n v="5.6195649980597224"/>
    <m/>
    <m/>
    <m/>
    <m/>
    <m/>
    <m/>
    <m/>
    <m/>
    <m/>
    <m/>
    <m/>
    <n v="0.21733171434944337"/>
    <m/>
    <m/>
    <m/>
    <m/>
    <m/>
    <m/>
    <m/>
    <m/>
    <m/>
    <m/>
    <m/>
    <n v="3379.1321024384033"/>
    <n v="5.390016511127399E-2"/>
    <n v="0.24631710057043432"/>
    <n v="618.99783470627631"/>
    <n v="569.3496034085415"/>
    <x v="3"/>
    <n v="19.525354503836514"/>
    <n v="5.3287291164862003"/>
    <n v="0.4"/>
    <n v="1"/>
    <n v="0.5"/>
    <x v="0"/>
    <n v="0.99894954045573037"/>
    <n v="0.36"/>
    <n v="569.3496034085415"/>
    <n v="0.99894954045573037"/>
    <n v="26.708020973483876"/>
    <n v="201.74493826744782"/>
    <n v="89772.358733999237"/>
    <n v="35.208432316907917"/>
    <n v="335742.85435872537"/>
    <x v="1"/>
    <n v="7.9347078213898697E-6"/>
    <n v="2097723.5873399926"/>
    <n v="0.16005104599336767"/>
  </r>
  <r>
    <x v="0"/>
    <n v="1000"/>
    <n v="25"/>
    <x v="6"/>
    <n v="20.018444852747354"/>
    <n v="1.0796632315952974"/>
    <n v="21.150235604895087"/>
    <n v="25.786614518040352"/>
    <m/>
    <n v="0.95846860804911638"/>
    <n v="0.36"/>
    <n v="130.99786183350344"/>
    <n v="48.318883463177499"/>
    <n v="6.0438657694331113"/>
    <m/>
    <m/>
    <m/>
    <m/>
    <m/>
    <m/>
    <m/>
    <m/>
    <m/>
    <m/>
    <m/>
    <n v="0.23437996349636414"/>
    <m/>
    <m/>
    <m/>
    <m/>
    <m/>
    <m/>
    <m/>
    <m/>
    <m/>
    <m/>
    <m/>
    <n v="3690.889734051364"/>
    <n v="5.1047338278606046E-2"/>
    <n v="0.24644123950687985"/>
    <n v="718.7699068029217"/>
    <n v="668.95684933480845"/>
    <x v="3"/>
    <n v="19.525354503836514"/>
    <n v="5.3287291164862003"/>
    <n v="0.4"/>
    <n v="1"/>
    <n v="0.5"/>
    <x v="0"/>
    <n v="0.95032574256150715"/>
    <n v="0.36"/>
    <n v="668.95684933480845"/>
    <n v="0.95032574256150715"/>
    <n v="26.634893261711998"/>
    <n v="200.76467903765717"/>
    <n v="89884.941776048392"/>
    <n v="36.018975502376435"/>
    <n v="337369.72900117305"/>
    <x v="1"/>
    <n v="7.9523887833655573E-6"/>
    <n v="2098849.4177604839"/>
    <n v="0.16074032093314897"/>
  </r>
  <r>
    <x v="0"/>
    <n v="1000"/>
    <n v="25"/>
    <x v="7"/>
    <n v="20.079808389289894"/>
    <n v="1.0252285084752246"/>
    <n v="21.183711832308866"/>
    <n v="25.728876697549317"/>
    <m/>
    <n v="0.92755224197984609"/>
    <n v="0.36"/>
    <n v="130.67158440290493"/>
    <n v="48.198535230579694"/>
    <n v="6.4124448747214018"/>
    <m/>
    <m/>
    <m/>
    <m/>
    <m/>
    <m/>
    <m/>
    <m/>
    <m/>
    <m/>
    <m/>
    <n v="0.24923143556174721"/>
    <m/>
    <m/>
    <m/>
    <m/>
    <m/>
    <m/>
    <m/>
    <m/>
    <m/>
    <m/>
    <m/>
    <n v="3974.7908212159819"/>
    <n v="4.8397019209427301E-2"/>
    <n v="0.24648159563875624"/>
    <n v="818.53424862309441"/>
    <n v="768.56838385528044"/>
    <x v="3"/>
    <n v="19.525354503836514"/>
    <n v="5.3287291164862003"/>
    <n v="0.4"/>
    <n v="1"/>
    <n v="0.5"/>
    <x v="0"/>
    <n v="0.91499281442321423"/>
    <n v="0.36"/>
    <n v="768.56838385528044"/>
    <n v="0.91499281442321423"/>
    <n v="26.51370089500238"/>
    <n v="199.9750366365798"/>
    <n v="89888.913151016983"/>
    <n v="36.540638875963694"/>
    <n v="338618.49004745489"/>
    <x v="1"/>
    <n v="7.9730150302206083E-6"/>
    <n v="2098889.1315101697"/>
    <n v="0.16133224235804006"/>
  </r>
  <r>
    <x v="0"/>
    <n v="1000"/>
    <n v="25"/>
    <x v="8"/>
    <n v="20.136109271935716"/>
    <n v="0.97536738575184301"/>
    <n v="21.214329834065229"/>
    <n v="25.68099492976981"/>
    <m/>
    <n v="0.90300734458417631"/>
    <n v="0.36"/>
    <n v="130.40331852987467"/>
    <n v="48.099584703642293"/>
    <n v="6.7364519933380826"/>
    <m/>
    <m/>
    <m/>
    <m/>
    <m/>
    <m/>
    <m/>
    <m/>
    <m/>
    <m/>
    <m/>
    <n v="0.26231273405724176"/>
    <m/>
    <m/>
    <m/>
    <m/>
    <m/>
    <m/>
    <m/>
    <m/>
    <m/>
    <m/>
    <m/>
    <n v="4236.4231706774035"/>
    <n v="4.5976818187564529E-2"/>
    <n v="0.24647535509479185"/>
    <n v="918.30376199603575"/>
    <n v="868.19717400836362"/>
    <x v="3"/>
    <n v="19.525354503836514"/>
    <n v="5.3287291164862003"/>
    <n v="0.4"/>
    <n v="1"/>
    <n v="0.5"/>
    <x v="0"/>
    <n v="0.8878555726890387"/>
    <n v="0.36"/>
    <n v="868.19717400836362"/>
    <n v="0.8878555726890387"/>
    <n v="26.372899495943624"/>
    <n v="199.32796454207389"/>
    <n v="89838.432053626544"/>
    <n v="36.886783159361549"/>
    <n v="339623.37927721074"/>
    <x v="1"/>
    <n v="7.99423924015284E-6"/>
    <n v="2098384.3205362651"/>
    <n v="0.1618499413827188"/>
  </r>
  <r>
    <x v="0"/>
    <n v="1000"/>
    <n v="25"/>
    <x v="9"/>
    <n v="20.187517463653609"/>
    <n v="0.92965117295786726"/>
    <n v="21.242104782016263"/>
    <n v="25.639784707686161"/>
    <m/>
    <n v="0.88239102626106281"/>
    <n v="0.36"/>
    <n v="130.17439094938081"/>
    <n v="48.015144202640464"/>
    <n v="7.0310151996560748"/>
    <m/>
    <m/>
    <m/>
    <m/>
    <m/>
    <m/>
    <m/>
    <m/>
    <m/>
    <m/>
    <m/>
    <n v="0.27422286418607694"/>
    <m/>
    <m/>
    <m/>
    <m/>
    <m/>
    <m/>
    <m/>
    <m/>
    <m/>
    <m/>
    <m/>
    <n v="4483.3591977328288"/>
    <n v="4.3764550758873831E-2"/>
    <n v="0.24644635216052102"/>
    <n v="1018.085549708179"/>
    <n v="967.85159790479179"/>
    <x v="3"/>
    <n v="19.525354503836514"/>
    <n v="5.3287291164862003"/>
    <n v="0.4"/>
    <n v="1"/>
    <n v="0.5"/>
    <x v="0"/>
    <n v="0.86562903956672022"/>
    <n v="0.36"/>
    <n v="967.85159790479179"/>
    <n v="0.86562903956672022"/>
    <n v="26.226263000932654"/>
    <n v="198.77731965852271"/>
    <n v="89759.82448411001"/>
    <n v="37.127373094965634"/>
    <n v="340455.2670228284"/>
    <x v="1"/>
    <n v="8.0150117877153405E-6"/>
    <n v="2097598.2448411002"/>
    <n v="0.16230718530593496"/>
  </r>
  <r>
    <x v="0"/>
    <n v="1000"/>
    <n v="25"/>
    <x v="0"/>
    <n v="19.900009042369074"/>
    <n v="1.224166509394371"/>
    <n v="21.108990223482714"/>
    <n v="25.927321017883685"/>
    <m/>
    <n v="0.99999999919405791"/>
    <n v="0.36"/>
    <n v="132.13923292130005"/>
    <n v="48.739880995561492"/>
    <n v="5.7288630188977514"/>
    <m/>
    <m/>
    <m/>
    <m/>
    <m/>
    <m/>
    <m/>
    <m/>
    <m/>
    <m/>
    <m/>
    <n v="0.22095854079741592"/>
    <m/>
    <m/>
    <m/>
    <m/>
    <m/>
    <m/>
    <m/>
    <m/>
    <m/>
    <m/>
    <m/>
    <n v="3134.412549246741"/>
    <n v="5.7992660777896707E-2"/>
    <n v="0.24720332524156835"/>
    <n v="319.49942816132153"/>
    <n v="269.9810397978664"/>
    <x v="3"/>
    <n v="19.525354503836514"/>
    <n v="5.3287291164862003"/>
    <n v="0.4"/>
    <n v="1"/>
    <n v="0.5"/>
    <x v="0"/>
    <n v="0.99999999900000003"/>
    <n v="0.36"/>
    <n v="269.9810397978664"/>
    <n v="0.99999999900000003"/>
    <n v="27.125503810469823"/>
    <n v="203.55011048489646"/>
    <n v="90552.016765847191"/>
    <n v="35.209060081685308"/>
    <n v="336701.94253142597"/>
    <x v="2"/>
    <n v="7.8839827740535069E-6"/>
    <n v="2105520.167658472"/>
    <n v="0.15991390047138274"/>
  </r>
  <r>
    <x v="0"/>
    <n v="1000"/>
    <n v="25"/>
    <x v="0"/>
    <n v="19.183827382866848"/>
    <n v="1.1852829862597889"/>
    <n v="20.342701913593423"/>
    <n v="25.041685163349346"/>
    <m/>
    <n v="0.9999999991953783"/>
    <n v="0.36"/>
    <n v="127.67598493407075"/>
    <n v="47.093601000272002"/>
    <n v="5.5747412681287187"/>
    <m/>
    <m/>
    <m/>
    <m/>
    <m/>
    <m/>
    <m/>
    <m/>
    <m/>
    <m/>
    <m/>
    <n v="0.22261845525826796"/>
    <m/>
    <m/>
    <m/>
    <m/>
    <m/>
    <m/>
    <m/>
    <m/>
    <m/>
    <m/>
    <m/>
    <n v="3062.580236868313"/>
    <n v="5.8265759941542365E-2"/>
    <n v="0.24896541395357"/>
    <n v="322.94581372477512"/>
    <n v="275.20960280395468"/>
    <x v="3"/>
    <n v="19.525354503836514"/>
    <n v="5.3287291164862003"/>
    <n v="0.4"/>
    <n v="1"/>
    <n v="0.5"/>
    <x v="1"/>
    <n v="0.99999999900000003"/>
    <n v="0.36"/>
    <n v="275.20960280395468"/>
    <n v="0.99999999900000003"/>
    <n v="26.212351880168129"/>
    <n v="192.85801447028976"/>
    <n v="84921.525130427559"/>
    <n v="33.635200568382366"/>
    <n v="381859.70630203868"/>
    <x v="2"/>
    <n v="7.6177869946494331E-6"/>
    <n v="2049215.2513042756"/>
    <n v="0.18634436087619116"/>
  </r>
  <r>
    <x v="0"/>
    <n v="1000"/>
    <n v="25"/>
    <x v="0"/>
    <n v="16.681100390941879"/>
    <n v="1.0534098086518393"/>
    <n v="17.676309166060687"/>
    <n v="21.928325925448785"/>
    <m/>
    <n v="0.99999999920116844"/>
    <n v="0.36"/>
    <n v="111.95037731969722"/>
    <n v="41.293171962183408"/>
    <n v="5.0129736049816884"/>
    <m/>
    <m/>
    <m/>
    <m/>
    <m/>
    <m/>
    <m/>
    <m/>
    <m/>
    <m/>
    <m/>
    <n v="0.22860721890146263"/>
    <m/>
    <m/>
    <m/>
    <m/>
    <m/>
    <m/>
    <m/>
    <m/>
    <m/>
    <m/>
    <m/>
    <n v="2799.4294612351332"/>
    <n v="5.959444354336333E-2"/>
    <n v="0.25448363745911284"/>
    <n v="334.45118689164451"/>
    <n v="292.94265874428811"/>
    <x v="3"/>
    <n v="19.525354503836514"/>
    <n v="5.3287291164862003"/>
    <n v="0.4"/>
    <n v="1"/>
    <n v="0.5"/>
    <x v="2"/>
    <n v="0.99999999900000003"/>
    <n v="0.36"/>
    <n v="292.94265874428811"/>
    <n v="0.99999999900000003"/>
    <n v="23.042338756870098"/>
    <n v="158.9201469468139"/>
    <n v="67392.006729037108"/>
    <n v="28.48140137034078"/>
    <n v="499437.48156659357"/>
    <x v="2"/>
    <n v="6.7302788255112898E-6"/>
    <n v="1873920.0672903711"/>
    <n v="0.26652016288440966"/>
  </r>
  <r>
    <x v="0"/>
    <n v="1000"/>
    <n v="25"/>
    <x v="0"/>
    <n v="14.417632469168232"/>
    <n v="0.93828643074384643"/>
    <n v="15.276893836271769"/>
    <n v="19.087168121197834"/>
    <m/>
    <n v="0.99999999920828098"/>
    <n v="0.36"/>
    <n v="97.554921556698645"/>
    <n v="35.983372705339669"/>
    <n v="4.4744765814436658"/>
    <m/>
    <m/>
    <m/>
    <m/>
    <m/>
    <m/>
    <m/>
    <m/>
    <m/>
    <m/>
    <m/>
    <n v="0.23442328128678239"/>
    <m/>
    <m/>
    <m/>
    <m/>
    <m/>
    <m/>
    <m/>
    <m/>
    <m/>
    <m/>
    <m/>
    <n v="2545.6476653243176"/>
    <n v="6.1418665391002637E-2"/>
    <n v="0.25877752025615952"/>
    <n v="344.28560697661658"/>
    <n v="308.40937460248261"/>
    <x v="3"/>
    <n v="19.525354503836514"/>
    <n v="5.3287291164862003"/>
    <n v="0.4"/>
    <n v="1"/>
    <n v="0.5"/>
    <x v="3"/>
    <n v="0.99999999899999992"/>
    <n v="0.36"/>
    <n v="308.40937460248261"/>
    <n v="0.99999999899999992"/>
    <n v="20.193576424034934"/>
    <n v="131.86731333644099"/>
    <n v="53896.516573137655"/>
    <n v="24.179947356204508"/>
    <n v="569843.53256673063"/>
    <x v="2"/>
    <n v="5.9294404762661422E-6"/>
    <n v="1738965.1657313765"/>
    <n v="0.32769117162106293"/>
  </r>
  <r>
    <x v="0"/>
    <n v="1000"/>
    <n v="25"/>
    <x v="0"/>
    <n v="13.167649454809558"/>
    <n v="0.87582206660517803"/>
    <n v="13.955567857231088"/>
    <n v="17.507553150795029"/>
    <m/>
    <n v="0.99999999921314919"/>
    <n v="0.36"/>
    <n v="89.534445893873723"/>
    <n v="33.025000534625562"/>
    <n v="4.1649000163523926"/>
    <m/>
    <m/>
    <m/>
    <m/>
    <m/>
    <m/>
    <m/>
    <m/>
    <m/>
    <m/>
    <m/>
    <n v="0.23789161057970351"/>
    <m/>
    <m/>
    <m/>
    <m/>
    <m/>
    <m/>
    <m/>
    <m/>
    <m/>
    <m/>
    <m/>
    <n v="2399.2188262558898"/>
    <n v="6.2757895312111581E-2"/>
    <n v="0.26092446598768049"/>
    <n v="349.53463100914706"/>
    <n v="316.76881807969477"/>
    <x v="3"/>
    <n v="19.525354503836514"/>
    <n v="5.3287291164862003"/>
    <n v="0.4"/>
    <n v="1"/>
    <n v="0.5"/>
    <x v="4"/>
    <n v="0.99999999900000003"/>
    <n v="0.36"/>
    <n v="316.76881807969477"/>
    <n v="0.99999999900000003"/>
    <n v="18.623132041659911"/>
    <n v="118.08685244997334"/>
    <n v="47230.554721525266"/>
    <n v="21.91609519760296"/>
    <n v="598225.79598651978"/>
    <x v="2"/>
    <n v="5.476414666228711E-6"/>
    <n v="1672305.5472152526"/>
    <n v="0.35772517587033903"/>
  </r>
  <r>
    <x v="0"/>
    <n v="1000"/>
    <n v="25"/>
    <x v="0"/>
    <n v="11.623595714784958"/>
    <n v="0.809102052013842"/>
    <n v="12.330854677655458"/>
    <n v="15.493866881578208"/>
    <m/>
    <n v="0.99999999922196814"/>
    <n v="0.36"/>
    <n v="79.294743393060799"/>
    <n v="29.248061087604391"/>
    <n v="3.7189172028285764"/>
    <m/>
    <m/>
    <m/>
    <m/>
    <m/>
    <m/>
    <m/>
    <m/>
    <m/>
    <m/>
    <m/>
    <n v="0.24002511647045768"/>
    <m/>
    <m/>
    <m/>
    <m/>
    <m/>
    <m/>
    <m/>
    <m/>
    <m/>
    <m/>
    <m/>
    <n v="2185.9709913062215"/>
    <n v="6.5616056077605289E-2"/>
    <n v="0.26082992054276666"/>
    <n v="355.43611066323541"/>
    <n v="326.51238989193286"/>
    <x v="3"/>
    <n v="19.525354503836514"/>
    <n v="5.3287291164862003"/>
    <n v="0.4"/>
    <n v="1"/>
    <n v="0.5"/>
    <x v="5"/>
    <n v="0.99999999900000003"/>
    <n v="0.36"/>
    <n v="326.51238989193286"/>
    <n v="0.99999999900000003"/>
    <n v="16.740047412451023"/>
    <n v="101.59440041488253"/>
    <n v="39675.584055077758"/>
    <n v="19.488774330548917"/>
    <n v="626440.27461470361"/>
    <x v="2"/>
    <n v="4.8968319180970372E-6"/>
    <n v="1596755.8405507775"/>
    <n v="0.39232064083048679"/>
  </r>
  <r>
    <x v="0"/>
    <n v="1000"/>
    <n v="25"/>
    <x v="0"/>
    <n v="9.617328938720517"/>
    <n v="0.72539690746862784"/>
    <n v="10.224963698565245"/>
    <n v="12.844587374741176"/>
    <m/>
    <n v="0.99999999923682192"/>
    <n v="0.36"/>
    <n v="65.796782180499207"/>
    <n v="24.26930490264315"/>
    <n v="3.1047902868016717"/>
    <m/>
    <m/>
    <m/>
    <m/>
    <m/>
    <m/>
    <m/>
    <m/>
    <m/>
    <m/>
    <m/>
    <n v="0.24171973736635777"/>
    <m/>
    <m/>
    <m/>
    <m/>
    <m/>
    <m/>
    <m/>
    <m/>
    <m/>
    <m/>
    <m/>
    <n v="1891.2479244298956"/>
    <n v="7.0943714701932351E-2"/>
    <n v="0.25842168757675127"/>
    <n v="362.7843582754092"/>
    <n v="338.85278102905943"/>
    <x v="3"/>
    <n v="19.525354503836514"/>
    <n v="5.3287291164862003"/>
    <n v="0.4"/>
    <n v="1"/>
    <n v="0.5"/>
    <x v="6"/>
    <n v="0.99999999900000003"/>
    <n v="0.36"/>
    <n v="338.85278102905943"/>
    <n v="0.99999999900000003"/>
    <n v="14.304964432597016"/>
    <n v="81.432266352401754"/>
    <n v="30864.831061422501"/>
    <n v="16.542256091764276"/>
    <n v="650588.3427563844"/>
    <x v="2"/>
    <n v="4.1134322636174719E-6"/>
    <n v="1508648.310614225"/>
    <n v="0.43123923460432373"/>
  </r>
  <r>
    <x v="0"/>
    <n v="1000"/>
    <n v="25"/>
    <x v="0"/>
    <n v="8.3325398747114505"/>
    <n v="0.66760822183243529"/>
    <n v="8.8762489842192256"/>
    <n v="11.154076584308683"/>
    <m/>
    <n v="0.99999999924779681"/>
    <n v="0.36"/>
    <n v="57.16877266587332"/>
    <n v="21.086842376756557"/>
    <n v="2.7165842137129204"/>
    <m/>
    <m/>
    <m/>
    <m/>
    <m/>
    <m/>
    <m/>
    <m/>
    <m/>
    <m/>
    <m/>
    <n v="0.24355079447226971"/>
    <m/>
    <m/>
    <m/>
    <m/>
    <m/>
    <m/>
    <m/>
    <m/>
    <m/>
    <m/>
    <m/>
    <n v="1705.0928752097386"/>
    <n v="7.5212876860411726E-2"/>
    <n v="0.25666312337194946"/>
    <n v="367.53511075045964"/>
    <n v="346.80076835327822"/>
    <x v="3"/>
    <n v="19.525354503836514"/>
    <n v="5.3287291164862003"/>
    <n v="0.4"/>
    <n v="1"/>
    <n v="0.5"/>
    <x v="7"/>
    <n v="0.99999999900000003"/>
    <n v="0.36"/>
    <n v="346.80076835327822"/>
    <n v="0.99999999900000003"/>
    <n v="12.714841933121722"/>
    <n v="69.334737084234149"/>
    <n v="25754.574710589353"/>
    <n v="14.627262352388657"/>
    <n v="657249.95017531514"/>
    <x v="2"/>
    <n v="3.5950820694473416E-6"/>
    <n v="1457545.7471058934"/>
    <n v="0.45092920855510182"/>
  </r>
  <r>
    <x v="0"/>
    <n v="1000"/>
    <n v="25"/>
    <x v="0"/>
    <n v="6.7330886888790111"/>
    <n v="0.58957128761853239"/>
    <n v="7.1959180933826055"/>
    <n v="9.0541205888006289"/>
    <m/>
    <n v="0.9999999992633235"/>
    <n v="0.36"/>
    <n v="46.436126861656724"/>
    <n v="17.128079580119287"/>
    <n v="2.2370100224341982"/>
    <m/>
    <m/>
    <m/>
    <m/>
    <m/>
    <m/>
    <m/>
    <m/>
    <m/>
    <m/>
    <m/>
    <n v="0.24707093311759479"/>
    <m/>
    <m/>
    <m/>
    <m/>
    <m/>
    <m/>
    <m/>
    <m/>
    <m/>
    <m/>
    <m/>
    <n v="1475.2601366958359"/>
    <n v="8.1931350519498611E-2"/>
    <n v="0.25416945989263617"/>
    <n v="373.50945038116248"/>
    <n v="356.75512547873723"/>
    <x v="3"/>
    <n v="19.525354503836514"/>
    <n v="5.3287291164862003"/>
    <n v="0.4"/>
    <n v="1"/>
    <n v="0.5"/>
    <x v="8"/>
    <n v="0.99999999900000003"/>
    <n v="0.36"/>
    <n v="356.75512547873723"/>
    <n v="0.99999999900000003"/>
    <n v="10.687816652248983"/>
    <n v="55.014102847874938"/>
    <n v="19908.542961387848"/>
    <n v="12.203401429856314"/>
    <n v="654337.57628204662"/>
    <x v="2"/>
    <n v="2.93025184524815E-6"/>
    <n v="1399085.4296138785"/>
    <n v="0.46768950803999981"/>
  </r>
  <r>
    <x v="0"/>
    <n v="1000"/>
    <n v="25"/>
    <x v="0"/>
    <n v="4.5568519571508626"/>
    <n v="0.4671536564172189"/>
    <n v="4.9039655323214406"/>
    <n v="6.1998392621517393"/>
    <m/>
    <n v="0.99999999928784611"/>
    <n v="0.36"/>
    <n v="31.82383686665904"/>
    <n v="11.738300483603744"/>
    <n v="1.5862189335855756"/>
    <m/>
    <m/>
    <m/>
    <m/>
    <m/>
    <m/>
    <m/>
    <m/>
    <m/>
    <m/>
    <m/>
    <n v="0.25584839646875884"/>
    <m/>
    <m/>
    <m/>
    <m/>
    <m/>
    <m/>
    <m/>
    <m/>
    <m/>
    <m/>
    <m/>
    <n v="1163.560814646459"/>
    <n v="9.5260387402453364E-2"/>
    <n v="0.25024487247470495"/>
    <n v="381.79042826297479"/>
    <n v="370.45134785367156"/>
    <x v="3"/>
    <n v="19.525354503836514"/>
    <n v="5.3287291164862003"/>
    <n v="0.4"/>
    <n v="1"/>
    <n v="0.5"/>
    <x v="9"/>
    <n v="0.99999999900000003"/>
    <n v="0.36"/>
    <n v="370.45134785367156"/>
    <n v="0.99999999900000003"/>
    <n v="7.7979734930174409"/>
    <n v="36.620967383323475"/>
    <n v="12777.498724663792"/>
    <n v="8.7937314014638872"/>
    <n v="623470.17447887559"/>
    <x v="2"/>
    <n v="1.9862446056180487E-6"/>
    <n v="1327774.9872466379"/>
    <n v="0.46956011407606391"/>
  </r>
  <r>
    <x v="0"/>
    <n v="1000"/>
    <n v="25"/>
    <x v="0"/>
    <n v="19.900010920337188"/>
    <n v="1.2241662168869081"/>
    <n v="21.108992058268768"/>
    <n v="25.927325304640767"/>
    <m/>
    <n v="0.99999999919405802"/>
    <n v="0.36"/>
    <n v="132.13925445789982"/>
    <n v="48.739888939389289"/>
    <n v="5.7288653761508819"/>
    <m/>
    <m/>
    <m/>
    <m/>
    <m/>
    <m/>
    <m/>
    <m/>
    <m/>
    <m/>
    <m/>
    <n v="0.22095859518241415"/>
    <m/>
    <m/>
    <m/>
    <m/>
    <m/>
    <m/>
    <m/>
    <m/>
    <m/>
    <m/>
    <m/>
    <n v="3134.4137220682314"/>
    <n v="5.7992641880187754E-2"/>
    <n v="0.24720339549383114"/>
    <n v="319.49944344177186"/>
    <n v="269.98103399279131"/>
    <x v="3"/>
    <n v="19.525354503836514"/>
    <n v="5.3287291164862003"/>
    <n v="0.4"/>
    <n v="1"/>
    <n v="0.5"/>
    <x v="0"/>
    <n v="0.99999999900000003"/>
    <n v="0.36"/>
    <n v="269.98103399279131"/>
    <n v="0.99999999900000003"/>
    <n v="27.125504089331869"/>
    <n v="203.55016338676"/>
    <n v="90552.031896194458"/>
    <n v="35.20904840849127"/>
    <n v="336702.01946492755"/>
    <x v="3"/>
    <n v="7.8839827728259562E-6"/>
    <n v="2105520.3189619444"/>
    <n v="0.15991392551886038"/>
  </r>
  <r>
    <x v="1"/>
    <n v="1000"/>
    <n v="25"/>
    <x v="0"/>
    <n v="19.898317657826254"/>
    <n v="1.2276356141536384"/>
    <n v="21.109243644118362"/>
    <n v="25.927904614735368"/>
    <m/>
    <n v="0.99999999919420235"/>
    <n v="0.36"/>
    <n v="132.17160679607903"/>
    <n v="48.751822178881611"/>
    <n v="5.7310328737228424"/>
    <m/>
    <m/>
    <m/>
    <m/>
    <m/>
    <m/>
    <m/>
    <m/>
    <m/>
    <m/>
    <m/>
    <n v="0.2210372553771961"/>
    <m/>
    <m/>
    <m/>
    <m/>
    <m/>
    <m/>
    <m/>
    <m/>
    <m/>
    <m/>
    <m/>
    <n v="3125.4685759213612"/>
    <n v="5.8156305116867264E-2"/>
    <n v="0.21978895369329846"/>
    <n v="309.46625240505443"/>
    <n v="259.95213905994007"/>
    <x v="3"/>
    <n v="19.525354503836514"/>
    <n v="5.3287291164862003"/>
    <n v="0.4"/>
    <n v="1"/>
    <n v="0.5"/>
    <x v="0"/>
    <n v="0.99999999900000003"/>
    <n v="0.36"/>
    <n v="259.95213905994007"/>
    <n v="0.99999999900000003"/>
    <n v="27.142904676142869"/>
    <n v="203.62964747403967"/>
    <n v="90589.394978090233"/>
    <n v="35.213624212075217"/>
    <n v="336763.78144677129"/>
    <x v="3"/>
    <n v="7.8818368345705852E-6"/>
    <n v="2105893.9497809024"/>
    <n v="0.15991488150759361"/>
  </r>
  <r>
    <x v="2"/>
    <n v="1000"/>
    <n v="25"/>
    <x v="0"/>
    <n v="19.896209712051832"/>
    <n v="1.2322159912985799"/>
    <n v="21.109710842244827"/>
    <n v="25.928299464665088"/>
    <m/>
    <n v="0.99999999919435567"/>
    <n v="0.36"/>
    <n v="132.21519674888322"/>
    <n v="48.767900440161846"/>
    <n v="5.7333931915387488"/>
    <m/>
    <m/>
    <m/>
    <m/>
    <m/>
    <m/>
    <m/>
    <m/>
    <m/>
    <m/>
    <m/>
    <n v="0.22112492180029694"/>
    <m/>
    <m/>
    <m/>
    <m/>
    <m/>
    <m/>
    <m/>
    <m/>
    <m/>
    <m/>
    <m/>
    <n v="3113.766292556385"/>
    <n v="5.8371997632135492E-2"/>
    <n v="0.1923799346436986"/>
    <n v="296.57856081040347"/>
    <n v="247.06969678701083"/>
    <x v="3"/>
    <n v="19.525354503836514"/>
    <n v="5.3287291164862003"/>
    <n v="0.4"/>
    <n v="1"/>
    <n v="0.5"/>
    <x v="0"/>
    <n v="0.99999999900000003"/>
    <n v="0.36"/>
    <n v="247.06969678701083"/>
    <n v="0.99999999900000003"/>
    <n v="27.166005127577225"/>
    <n v="203.73678712784232"/>
    <n v="90640.208328554741"/>
    <n v="35.220466689639316"/>
    <n v="336851.65643017116"/>
    <x v="3"/>
    <n v="7.8789858014015062E-6"/>
    <n v="2106402.0832855473"/>
    <n v="0.15991802282342643"/>
  </r>
  <r>
    <x v="3"/>
    <n v="1000"/>
    <n v="25"/>
    <x v="0"/>
    <n v="19.893423535797201"/>
    <n v="1.2385648201478692"/>
    <n v="21.110504078977627"/>
    <n v="25.927930051880274"/>
    <m/>
    <n v="0.99999999919449289"/>
    <n v="0.36"/>
    <n v="132.27659701368125"/>
    <n v="48.790548078816862"/>
    <n v="5.7356074554185419"/>
    <m/>
    <m/>
    <m/>
    <m/>
    <m/>
    <m/>
    <m/>
    <m/>
    <m/>
    <m/>
    <m/>
    <n v="0.22121347303629429"/>
    <m/>
    <m/>
    <m/>
    <m/>
    <m/>
    <m/>
    <m/>
    <m/>
    <m/>
    <m/>
    <m/>
    <n v="3097.7212424327549"/>
    <n v="5.8670546923664572E-2"/>
    <n v="0.16498037062870369"/>
    <n v="279.41945178091328"/>
    <n v="229.91751472348238"/>
    <x v="3"/>
    <n v="19.525354503836514"/>
    <n v="5.3287291164862003"/>
    <n v="0.4"/>
    <n v="1"/>
    <n v="0.5"/>
    <x v="0"/>
    <n v="0.99999999900000003"/>
    <n v="0.36"/>
    <n v="229.91751472348238"/>
    <n v="0.99999999900000003"/>
    <n v="27.198162942295035"/>
    <n v="203.88779374094239"/>
    <n v="90712.726782283324"/>
    <n v="35.231459501653063"/>
    <n v="336981.43958094344"/>
    <x v="3"/>
    <n v="7.8749949750082586E-6"/>
    <n v="2107127.2678228333"/>
    <n v="0.15992457822878725"/>
  </r>
  <r>
    <x v="4"/>
    <n v="1000"/>
    <n v="25"/>
    <x v="0"/>
    <n v="19.889501896504338"/>
    <n v="1.248028636407392"/>
    <n v="21.11193915860666"/>
    <n v="25.925112319788845"/>
    <m/>
    <n v="0.99999999919451599"/>
    <n v="0.36"/>
    <n v="132.37012153832183"/>
    <n v="48.825044829708879"/>
    <n v="5.7363989567718185"/>
    <m/>
    <m/>
    <m/>
    <m/>
    <m/>
    <m/>
    <m/>
    <m/>
    <m/>
    <m/>
    <m/>
    <n v="0.22126804644133324"/>
    <m/>
    <m/>
    <m/>
    <m/>
    <m/>
    <m/>
    <m/>
    <m/>
    <m/>
    <m/>
    <m/>
    <n v="3074.1622899101717"/>
    <n v="5.9114827256339965E-2"/>
    <n v="0.13760077903705342"/>
    <n v="255.45501969034308"/>
    <n v="205.96281152426272"/>
    <x v="3"/>
    <n v="19.525354503836514"/>
    <n v="5.3287291164862003"/>
    <n v="0.4"/>
    <n v="1"/>
    <n v="0.5"/>
    <x v="0"/>
    <n v="0.99999999900000003"/>
    <n v="0.36"/>
    <n v="205.96281152426272"/>
    <n v="0.99999999900000003"/>
    <n v="27.246339254917043"/>
    <n v="204.11801105455945"/>
    <n v="90825.253746080358"/>
    <n v="35.251166504890506"/>
    <n v="337190.67726313858"/>
    <x v="3"/>
    <n v="7.8689447738177695E-6"/>
    <n v="2108252.5374608035"/>
    <n v="0.15993846622817481"/>
  </r>
  <r>
    <x v="5"/>
    <n v="1000"/>
    <n v="25"/>
    <x v="0"/>
    <n v="19.884536636741139"/>
    <n v="1.2640837111334302"/>
    <n v="21.116171384772503"/>
    <n v="25.914713692833988"/>
    <m/>
    <n v="0.99999999919398019"/>
    <n v="0.36"/>
    <n v="132.54170498280851"/>
    <n v="48.888333805134295"/>
    <n v="5.7303806145726419"/>
    <m/>
    <m/>
    <m/>
    <m/>
    <m/>
    <m/>
    <m/>
    <m/>
    <m/>
    <m/>
    <m/>
    <n v="0.22112459672503437"/>
    <m/>
    <m/>
    <m/>
    <m/>
    <m/>
    <m/>
    <m/>
    <m/>
    <m/>
    <m/>
    <m/>
    <n v="3035.3928934061978"/>
    <n v="5.9863300410840502E-2"/>
    <n v="0.11027507363854833"/>
    <n v="219.68239983300998"/>
    <n v="170.20258611987711"/>
    <x v="3"/>
    <n v="19.525354503836514"/>
    <n v="5.3287291164862003"/>
    <n v="0.4"/>
    <n v="1"/>
    <n v="0.5"/>
    <x v="0"/>
    <n v="0.99999999900000003"/>
    <n v="0.36"/>
    <n v="170.20258611987711"/>
    <n v="0.99999999900000003"/>
    <n v="27.329764052837543"/>
    <n v="204.54102097793978"/>
    <n v="91037.872323879215"/>
    <n v="35.296136007920438"/>
    <n v="337634.78261234926"/>
    <x v="3"/>
    <n v="7.8583598460703353E-6"/>
    <n v="2110378.7232387923"/>
    <n v="0.1599877684959703"/>
  </r>
  <r>
    <x v="6"/>
    <n v="1000"/>
    <n v="25"/>
    <x v="0"/>
    <n v="19.879669277243579"/>
    <n v="1.301013954547152"/>
    <n v="21.133025517867207"/>
    <n v="25.860563331111798"/>
    <m/>
    <n v="0.99999999918952365"/>
    <n v="0.36"/>
    <n v="133.00499557024807"/>
    <n v="49.059219677550516"/>
    <n v="5.6794694255716216"/>
    <m/>
    <m/>
    <m/>
    <m/>
    <m/>
    <m/>
    <m/>
    <m/>
    <m/>
    <m/>
    <m/>
    <n v="0.21961893686743017"/>
    <m/>
    <m/>
    <m/>
    <m/>
    <m/>
    <m/>
    <m/>
    <m/>
    <m/>
    <m/>
    <m/>
    <n v="2951.3455163517551"/>
    <n v="6.1563071196180208E-2"/>
    <n v="8.3205863693602028E-2"/>
    <n v="161.07850583164858"/>
    <n v="111.61080356594647"/>
    <x v="3"/>
    <n v="19.525354503836514"/>
    <n v="5.3287291164862003"/>
    <n v="0.4"/>
    <n v="1"/>
    <n v="0.5"/>
    <x v="0"/>
    <n v="0.99999999900000003"/>
    <n v="0.36"/>
    <n v="111.61080356594647"/>
    <n v="0.99999999900000003"/>
    <n v="27.528359736025436"/>
    <n v="205.68737994787139"/>
    <n v="91637.215047856123"/>
    <n v="35.452325392149866"/>
    <n v="339067.71142561326"/>
    <x v="3"/>
    <n v="7.8317331263346322E-6"/>
    <n v="2116372.1504785614"/>
    <n v="0.16021176207074078"/>
  </r>
  <r>
    <x v="7"/>
    <n v="1000"/>
    <n v="25"/>
    <x v="0"/>
    <n v="20.835039530969055"/>
    <n v="1.7339881908200681"/>
    <n v="22.43637518237616"/>
    <n v="25.977674662263791"/>
    <m/>
    <n v="0.99999999903497672"/>
    <n v="0.36"/>
    <n v="150.61732512130655"/>
    <n v="55.55557074146553"/>
    <n v="4.7754643543693511"/>
    <m/>
    <m/>
    <m/>
    <m/>
    <m/>
    <m/>
    <m/>
    <m/>
    <m/>
    <m/>
    <m/>
    <n v="0.18382955427902026"/>
    <m/>
    <m/>
    <m/>
    <m/>
    <m/>
    <m/>
    <m/>
    <m/>
    <m/>
    <m/>
    <m/>
    <n v="2411.1028871427243"/>
    <n v="7.7284685102882431E-2"/>
    <n v="6.4150401006712043E-2"/>
    <n v="75.215755412205624"/>
    <n v="23.37070995805016"/>
    <x v="3"/>
    <n v="19.525354503836514"/>
    <n v="5.3287291164862003"/>
    <n v="0.4"/>
    <n v="1"/>
    <n v="0.5"/>
    <x v="0"/>
    <n v="0.99999999900000003"/>
    <n v="0.36"/>
    <n v="23.37070995805016"/>
    <n v="0.99999999900000003"/>
    <n v="30.873508867211324"/>
    <n v="254.56415302887788"/>
    <n v="115682.53000289631"/>
    <n v="39.172469369949333"/>
    <n v="426762.6798668626"/>
    <x v="3"/>
    <n v="7.2134116696646118E-6"/>
    <n v="2356825.300028963"/>
    <n v="0.18107522855496253"/>
  </r>
  <r>
    <x v="8"/>
    <n v="1000"/>
    <n v="25"/>
    <x v="0"/>
    <n v="14.131091546204477"/>
    <n v="1.0850160278152079"/>
    <n v="15.070908525594385"/>
    <n v="18.529185653159789"/>
    <m/>
    <n v="0.99999999916142113"/>
    <n v="0.36"/>
    <n v="98.955399783353911"/>
    <n v="36.499942543040376"/>
    <n v="4.1994396256013236"/>
    <m/>
    <m/>
    <m/>
    <m/>
    <m/>
    <m/>
    <m/>
    <m/>
    <m/>
    <m/>
    <m/>
    <n v="0.22663918988178477"/>
    <m/>
    <m/>
    <m/>
    <m/>
    <m/>
    <m/>
    <m/>
    <m/>
    <m/>
    <m/>
    <m/>
    <n v="2153.8233268736885"/>
    <n v="7.199406896887231E-2"/>
    <n v="4.547659468045312E-2"/>
    <n v="89.2667174070898"/>
    <n v="54.103514073024634"/>
    <x v="3"/>
    <n v="19.525354503836514"/>
    <n v="5.3287291164862003"/>
    <n v="0.4"/>
    <n v="1"/>
    <n v="0.5"/>
    <x v="0"/>
    <n v="0.99999999900000003"/>
    <n v="0.36"/>
    <n v="54.103514073024634"/>
    <n v="0.99999999900000003"/>
    <n v="20.777421312895086"/>
    <n v="134.36073211081484"/>
    <n v="55106.061878968547"/>
    <n v="24.562854082106892"/>
    <n v="640707.88994223415"/>
    <x v="3"/>
    <n v="5.5832078984231114E-6"/>
    <n v="1751060.6187896854"/>
    <n v="0.36589703581197813"/>
  </r>
  <r>
    <x v="9"/>
    <n v="1000"/>
    <n v="25"/>
    <x v="0"/>
    <n v="4.4300866174326297"/>
    <n v="0.49879324804325731"/>
    <n v="4.7914800936393993"/>
    <n v="6.0736352322953371"/>
    <m/>
    <n v="0.99999999929886385"/>
    <n v="0.36"/>
    <n v="31.263901133374986"/>
    <n v="11.531766811490773"/>
    <n v="1.5875501904182281"/>
    <m/>
    <m/>
    <m/>
    <m/>
    <m/>
    <m/>
    <m/>
    <m/>
    <m/>
    <m/>
    <m/>
    <n v="0.26138385492377753"/>
    <m/>
    <m/>
    <m/>
    <m/>
    <m/>
    <m/>
    <m/>
    <m/>
    <m/>
    <m/>
    <m/>
    <n v="1059.1811885899613"/>
    <n v="0.10410003554129257"/>
    <n v="3.585076536204107E-2"/>
    <n v="276.42978963781837"/>
    <n v="265.40609338084727"/>
    <x v="3"/>
    <n v="19.525354503836514"/>
    <n v="5.3287291164862003"/>
    <n v="0.4"/>
    <n v="1"/>
    <n v="0.5"/>
    <x v="0"/>
    <n v="0.99999999900000003"/>
    <n v="0.36"/>
    <n v="265.40609338084727"/>
    <n v="0.99999999900000003"/>
    <n v="7.8901092881848616"/>
    <n v="35.938611258138465"/>
    <n v="12610.818780277501"/>
    <n v="8.8601296159176748"/>
    <n v="896720.11487929092"/>
    <x v="3"/>
    <n v="1.604735536995161E-6"/>
    <n v="1326108.1878027751"/>
    <n v="0.67620434224530657"/>
  </r>
  <r>
    <x v="0"/>
    <n v="100"/>
    <n v="25"/>
    <x v="0"/>
    <n v="3.208257852112208"/>
    <n v="0.73436579431093774"/>
    <n v="3.7922834820213414"/>
    <n v="1.8715667081388703"/>
    <m/>
    <n v="0.330474947603629"/>
    <n v="0.18"/>
    <n v="18.830333401300905"/>
    <n v="9.3760996189050179"/>
    <n v="0.73609012675769825"/>
    <m/>
    <m/>
    <m/>
    <m/>
    <m/>
    <m/>
    <m/>
    <m/>
    <m/>
    <m/>
    <m/>
    <n v="0.39330157111508118"/>
    <m/>
    <m/>
    <m/>
    <m/>
    <m/>
    <m/>
    <m/>
    <m/>
    <m/>
    <m/>
    <m/>
    <n v="743.99882635570953"/>
    <n v="0.1936473889128959"/>
    <n v="0.19973209825860574"/>
    <n v="383.93719447157525"/>
    <n v="375.95376297686067"/>
    <x v="4"/>
    <n v="9.762677251918257"/>
    <n v="2.6643645582431001"/>
    <n v="0.2"/>
    <n v="1"/>
    <n v="0.3"/>
    <x v="0"/>
    <n v="0.22356616019490186"/>
    <n v="0.18"/>
    <n v="375.95376297686067"/>
    <n v="0.22356616019490186"/>
    <n v="8.8503566319735896"/>
    <n v="70.156494462442311"/>
    <n v="25494.823288566451"/>
    <n v="16.580598639023485"/>
    <n v="18055.160505200824"/>
    <x v="0"/>
    <n v="1.9723182206505825E-6"/>
    <n v="1454948.2328856646"/>
    <n v="1.240948653505782E-2"/>
  </r>
  <r>
    <x v="0"/>
    <n v="200"/>
    <n v="25"/>
    <x v="0"/>
    <n v="5.95364175077873"/>
    <n v="1.3053274191799102"/>
    <n v="6.9257953542238138"/>
    <n v="3.4589931490118979"/>
    <m/>
    <n v="0.33087287587680847"/>
    <n v="0.18"/>
    <n v="34.870937914978043"/>
    <n v="17.363122613267077"/>
    <n v="1.1448650179145683"/>
    <m/>
    <m/>
    <m/>
    <m/>
    <m/>
    <m/>
    <m/>
    <m/>
    <m/>
    <m/>
    <m/>
    <n v="0.33098215827389321"/>
    <m/>
    <m/>
    <m/>
    <m/>
    <m/>
    <m/>
    <m/>
    <m/>
    <m/>
    <m/>
    <m/>
    <n v="931.02407839387615"/>
    <n v="0.18847328753134962"/>
    <n v="0.22387491319202479"/>
    <n v="373.40639169484746"/>
    <n v="358.59156943659207"/>
    <x v="4"/>
    <n v="9.762677251918257"/>
    <n v="2.6643645582431001"/>
    <n v="0.2"/>
    <n v="1"/>
    <n v="0.3"/>
    <x v="0"/>
    <n v="0.23564239927249389"/>
    <n v="0.18"/>
    <n v="358.59156943659207"/>
    <n v="0.23564239927249389"/>
    <n v="15.843592743622292"/>
    <n v="102.12573774351308"/>
    <n v="40890.52717923306"/>
    <n v="25.670219798538167"/>
    <n v="50385.801826643059"/>
    <x v="0"/>
    <n v="3.373892773170376E-6"/>
    <n v="1608905.2717923305"/>
    <n v="3.1316823128134177E-2"/>
  </r>
  <r>
    <x v="0"/>
    <n v="300"/>
    <n v="25"/>
    <x v="0"/>
    <n v="8.318769161100386"/>
    <n v="1.8037139994973577"/>
    <n v="9.61563513645849"/>
    <n v="4.8564796651787931"/>
    <m/>
    <n v="0.33234234912910493"/>
    <n v="0.18"/>
    <n v="49.032233690835419"/>
    <n v="24.414390219503115"/>
    <n v="1.4420177604745898"/>
    <m/>
    <m/>
    <m/>
    <m/>
    <m/>
    <m/>
    <m/>
    <m/>
    <m/>
    <m/>
    <m/>
    <n v="0.29692655171891913"/>
    <m/>
    <m/>
    <m/>
    <m/>
    <m/>
    <m/>
    <m/>
    <m/>
    <m/>
    <m/>
    <m/>
    <n v="1065.2412573440138"/>
    <n v="0.18758136866678979"/>
    <n v="0.23722336227014779"/>
    <n v="364.93275754338629"/>
    <n v="344.23237710671918"/>
    <x v="4"/>
    <n v="9.762677251918257"/>
    <n v="2.6643645582431001"/>
    <n v="0.2"/>
    <n v="1"/>
    <n v="0.3"/>
    <x v="0"/>
    <n v="0.24346396880105642"/>
    <n v="0.18"/>
    <n v="344.23237710671918"/>
    <n v="0.24346396880105642"/>
    <n v="21.858917215900988"/>
    <n v="125.09428496915726"/>
    <n v="53271.792705865628"/>
    <n v="32.909305274613047"/>
    <n v="87453.185121716189"/>
    <x v="0"/>
    <n v="4.3479008096080233E-6"/>
    <n v="1732717.9270586562"/>
    <n v="5.0471680217547443E-2"/>
  </r>
  <r>
    <x v="0"/>
    <n v="400"/>
    <n v="25"/>
    <x v="0"/>
    <n v="10.38394416950972"/>
    <n v="2.2519199856248271"/>
    <n v="11.965932090860115"/>
    <n v="6.1052200880744385"/>
    <m/>
    <n v="0.33396073525654196"/>
    <n v="0.18"/>
    <n v="61.7146905814243"/>
    <n v="30.729306513572268"/>
    <n v="1.6765505791630302"/>
    <m/>
    <m/>
    <m/>
    <m/>
    <m/>
    <m/>
    <m/>
    <m/>
    <m/>
    <m/>
    <m/>
    <n v="0.27460935969170069"/>
    <m/>
    <m/>
    <m/>
    <m/>
    <m/>
    <m/>
    <m/>
    <m/>
    <m/>
    <m/>
    <m/>
    <n v="1170.237896170717"/>
    <n v="0.18819428094071344"/>
    <n v="0.24607428464897793"/>
    <n v="357.80158749898516"/>
    <n v="331.96260658920153"/>
    <x v="4"/>
    <n v="9.762677251918257"/>
    <n v="2.6643645582431001"/>
    <n v="0.2"/>
    <n v="1"/>
    <n v="0.3"/>
    <x v="0"/>
    <n v="0.24909207820994417"/>
    <n v="0.18"/>
    <n v="331.96260658920153"/>
    <n v="0.24909207820994417"/>
    <n v="27.170377873695749"/>
    <n v="143.35014220440036"/>
    <n v="63822.178660691257"/>
    <n v="39.061029210792213"/>
    <n v="126336.63564231498"/>
    <x v="0"/>
    <n v="5.0556274000014414E-6"/>
    <n v="1838221.7866069125"/>
    <n v="6.872763480597946E-2"/>
  </r>
  <r>
    <x v="0"/>
    <n v="600"/>
    <n v="25"/>
    <x v="0"/>
    <n v="13.802306747788155"/>
    <n v="3.0294880502442836"/>
    <n v="15.867412440338029"/>
    <n v="8.2416334209200031"/>
    <m/>
    <n v="0.33727805414001788"/>
    <n v="0.18"/>
    <n v="83.47356691336644"/>
    <n v="41.563601782589103"/>
    <n v="2.0294236101055407"/>
    <m/>
    <m/>
    <m/>
    <m/>
    <m/>
    <m/>
    <m/>
    <m/>
    <m/>
    <m/>
    <m/>
    <n v="0.24624046065361141"/>
    <m/>
    <m/>
    <m/>
    <m/>
    <m/>
    <m/>
    <m/>
    <m/>
    <m/>
    <m/>
    <m/>
    <n v="1326.8119810588732"/>
    <n v="0.19092514684642214"/>
    <n v="0.25772324835926536"/>
    <n v="346.44523986230462"/>
    <n v="312.10017600610212"/>
    <x v="4"/>
    <n v="9.762677251918257"/>
    <n v="2.6643645582431001"/>
    <n v="0.2"/>
    <n v="1"/>
    <n v="0.3"/>
    <x v="0"/>
    <n v="0.2570832024445468"/>
    <n v="0.18"/>
    <n v="312.10017600610212"/>
    <n v="0.2570832024445468"/>
    <n v="36.151462190145601"/>
    <n v="171.09950131429977"/>
    <n v="80935.394927796355"/>
    <n v="49.045165656793145"/>
    <n v="203854.34583915025"/>
    <x v="0"/>
    <n v="5.9933505083869913E-6"/>
    <n v="2009353.9492779635"/>
    <n v="0.10145268130206865"/>
  </r>
  <r>
    <x v="0"/>
    <n v="800"/>
    <n v="25"/>
    <x v="0"/>
    <n v="16.458492407754303"/>
    <n v="3.6675212998178139"/>
    <n v="18.910769162741325"/>
    <n v="9.9760484259843523"/>
    <m/>
    <n v="0.34058490378984252"/>
    <n v="0.18"/>
    <n v="101.1993166910765"/>
    <n v="50.389701256967562"/>
    <n v="2.2820584756012696"/>
    <m/>
    <m/>
    <m/>
    <m/>
    <m/>
    <m/>
    <m/>
    <m/>
    <m/>
    <m/>
    <m/>
    <n v="0.22875374879468824"/>
    <m/>
    <m/>
    <m/>
    <m/>
    <m/>
    <m/>
    <m/>
    <m/>
    <m/>
    <m/>
    <m/>
    <n v="1438.1165703987579"/>
    <n v="0.19393824060016004"/>
    <n v="0.26563919244631762"/>
    <n v="338.04192726161688"/>
    <n v="297.08733259812266"/>
    <x v="4"/>
    <n v="9.762677251918257"/>
    <n v="2.6643645582431001"/>
    <n v="0.2"/>
    <n v="1"/>
    <n v="0.3"/>
    <x v="0"/>
    <n v="0.2628968667103489"/>
    <n v="0.18"/>
    <n v="297.08733259812266"/>
    <n v="0.2628968667103489"/>
    <n v="43.312782453248559"/>
    <n v="190.82777079763508"/>
    <n v="93803.922876222656"/>
    <n v="56.578671233610649"/>
    <n v="275421.34525189269"/>
    <x v="0"/>
    <n v="6.5662022833364176E-6"/>
    <n v="2138039.2287622266"/>
    <n v="0.12881959392828454"/>
  </r>
  <r>
    <x v="0"/>
    <n v="1000"/>
    <n v="25"/>
    <x v="0"/>
    <n v="18.566654399983829"/>
    <n v="4.2042560577186725"/>
    <n v="21.339345550559589"/>
    <n v="11.39493917840068"/>
    <m/>
    <n v="0.34420227999810055"/>
    <n v="0.18"/>
    <n v="115.74437413547153"/>
    <n v="57.632053511438116"/>
    <n v="2.4568729442010842"/>
    <m/>
    <m/>
    <m/>
    <m/>
    <m/>
    <m/>
    <m/>
    <m/>
    <m/>
    <m/>
    <m/>
    <n v="0.21561088705573195"/>
    <m/>
    <m/>
    <m/>
    <m/>
    <m/>
    <m/>
    <m/>
    <m/>
    <m/>
    <m/>
    <m/>
    <n v="1513.629269404169"/>
    <n v="0.19701897828860188"/>
    <n v="0.27062436549181867"/>
    <n v="331.39326399438664"/>
    <n v="285.19279730362734"/>
    <x v="4"/>
    <n v="9.762677251918257"/>
    <n v="2.6643645582431001"/>
    <n v="0.2"/>
    <n v="1"/>
    <n v="0.3"/>
    <x v="0"/>
    <n v="0.26762249902436536"/>
    <n v="0.18"/>
    <n v="285.19279730362734"/>
    <n v="0.26762249902436536"/>
    <n v="49.167867353579702"/>
    <n v="205.49263905419994"/>
    <n v="103930.18560277276"/>
    <n v="62.732609632368884"/>
    <n v="340016.40354308201"/>
    <x v="0"/>
    <n v="6.9367618206965349E-6"/>
    <n v="2239301.8560277275"/>
    <n v="0.15184036159655281"/>
  </r>
  <r>
    <x v="0"/>
    <n v="1300"/>
    <n v="25"/>
    <x v="0"/>
    <n v="20.875955661987287"/>
    <n v="4.813796131060915"/>
    <n v="24.006001297208854"/>
    <n v="13.02177431743522"/>
    <m/>
    <n v="0.34927314090307426"/>
    <n v="0.18"/>
    <n v="132.48360120846758"/>
    <n v="65.966938361062702"/>
    <n v="2.6363069628656852"/>
    <m/>
    <m/>
    <m/>
    <m/>
    <m/>
    <m/>
    <m/>
    <m/>
    <m/>
    <m/>
    <m/>
    <n v="0.20245374390614801"/>
    <m/>
    <m/>
    <m/>
    <m/>
    <m/>
    <m/>
    <m/>
    <m/>
    <m/>
    <m/>
    <m/>
    <n v="1590.6997941220186"/>
    <n v="0.20052469678157556"/>
    <n v="0.27647767716398908"/>
    <n v="324.49316025754592"/>
    <n v="272.54631268917763"/>
    <x v="4"/>
    <n v="9.762677251918257"/>
    <n v="2.6643645582431001"/>
    <n v="0.2"/>
    <n v="1"/>
    <n v="0.3"/>
    <x v="0"/>
    <n v="0.27342778182521454"/>
    <n v="0.18"/>
    <n v="272.54631268917763"/>
    <n v="0.27342778182521454"/>
    <n v="55.680716977016516"/>
    <n v="220.13223810438461"/>
    <n v="114352.23681226114"/>
    <n v="69.126789772059396"/>
    <n v="417905.46892130194"/>
    <x v="0"/>
    <n v="7.289217292733163E-6"/>
    <n v="2343522.3681226112"/>
    <n v="0.17832365272283907"/>
  </r>
  <r>
    <x v="0"/>
    <n v="1600"/>
    <n v="25"/>
    <x v="0"/>
    <n v="22.503201869774177"/>
    <n v="5.2533453346500982"/>
    <n v="25.88740545068049"/>
    <n v="14.204064633375596"/>
    <m/>
    <n v="0.35049118111935662"/>
    <n v="0.18"/>
    <n v="144.69911326812414"/>
    <n v="72.049351004875106"/>
    <n v="2.7970491712590153"/>
    <m/>
    <m/>
    <m/>
    <m/>
    <m/>
    <m/>
    <m/>
    <m/>
    <m/>
    <m/>
    <m/>
    <n v="0.19691892732498054"/>
    <m/>
    <m/>
    <m/>
    <m/>
    <m/>
    <m/>
    <m/>
    <m/>
    <m/>
    <m/>
    <m/>
    <n v="1662.309994046914"/>
    <n v="0.20293054646432349"/>
    <n v="0.28052349320453668"/>
    <n v="319.78140007914942"/>
    <n v="263.78540841740835"/>
    <x v="4"/>
    <n v="9.762677251918257"/>
    <n v="2.6643645582431001"/>
    <n v="0.2"/>
    <n v="1"/>
    <n v="0.3"/>
    <x v="0"/>
    <n v="0.27613721954171527"/>
    <n v="0.18"/>
    <n v="263.78540841740835"/>
    <n v="0.27613721954171527"/>
    <n v="60.3442217528425"/>
    <n v="229.31206503571693"/>
    <n v="121339.76655571538"/>
    <n v="73.700300396787995"/>
    <n v="477572.46688101592"/>
    <x v="0"/>
    <n v="7.5068712916007821E-6"/>
    <n v="2413397.6655571535"/>
    <n v="0.19788386874517186"/>
  </r>
  <r>
    <x v="0"/>
    <n v="1900"/>
    <n v="25"/>
    <x v="0"/>
    <n v="23.658857253933192"/>
    <n v="5.5779577176709498"/>
    <n v="27.228026116150705"/>
    <n v="15.072994976127482"/>
    <m/>
    <n v="0.35355526579427832"/>
    <n v="0.18"/>
    <n v="153.71023766288701"/>
    <n v="76.53621792342922"/>
    <n v="2.8797759334424722"/>
    <m/>
    <m/>
    <m/>
    <m/>
    <m/>
    <m/>
    <m/>
    <m/>
    <m/>
    <m/>
    <m/>
    <n v="0.19105532364360525"/>
    <m/>
    <m/>
    <m/>
    <m/>
    <m/>
    <m/>
    <m/>
    <m/>
    <m/>
    <m/>
    <m/>
    <n v="1697.4683631292153"/>
    <n v="0.2048608920042978"/>
    <n v="0.28317704529980608"/>
    <n v="316.45206542470623"/>
    <n v="257.58039640797887"/>
    <x v="4"/>
    <n v="9.762677251918257"/>
    <n v="2.6643645582431001"/>
    <n v="0.2"/>
    <n v="1"/>
    <n v="0.3"/>
    <x v="0"/>
    <n v="0.27935304312787407"/>
    <n v="0.18"/>
    <n v="257.58039640797887"/>
    <n v="0.27935304312787407"/>
    <n v="63.70094603958016"/>
    <n v="235.19364489404563"/>
    <n v="126182.887364011"/>
    <n v="76.882356458769493"/>
    <n v="522595.73576783214"/>
    <x v="0"/>
    <n v="7.645726499538995E-6"/>
    <n v="2461828.8736401098"/>
    <n v="0.21227947294123314"/>
  </r>
  <r>
    <x v="0"/>
    <n v="1000"/>
    <n v="25"/>
    <x v="1"/>
    <n v="15.114384495113114"/>
    <n v="6.7479874108703797"/>
    <n v="19.226699746471912"/>
    <n v="11.804264934331474"/>
    <m/>
    <n v="0.39624233485756472"/>
    <n v="0.18"/>
    <n v="120.77391410293802"/>
    <n v="60.1363887649484"/>
    <n v="1.7097719255705979"/>
    <m/>
    <m/>
    <m/>
    <m/>
    <m/>
    <m/>
    <m/>
    <m/>
    <m/>
    <m/>
    <m/>
    <n v="0.14484357434217732"/>
    <m/>
    <m/>
    <m/>
    <m/>
    <m/>
    <m/>
    <m/>
    <m/>
    <m/>
    <m/>
    <m/>
    <n v="961.54867689905416"/>
    <n v="0.35096961516282227"/>
    <n v="0.27122041763503824"/>
    <n v="144.27268925066161"/>
    <n v="106.6627141137554"/>
    <x v="4"/>
    <n v="9.762677251918257"/>
    <n v="2.6643645582431001"/>
    <n v="0.2"/>
    <n v="1"/>
    <n v="0.3"/>
    <x v="0"/>
    <n v="0.28021343299545443"/>
    <n v="0.18"/>
    <n v="106.6627141137554"/>
    <n v="0.28021343299545443"/>
    <n v="62.945380353018756"/>
    <n v="220.31224759044747"/>
    <n v="118521.37740082279"/>
    <n v="75.016370778995508"/>
    <n v="288908.93707073492"/>
    <x v="1"/>
    <n v="5.4016727513735189E-6"/>
    <n v="2385213.774008228"/>
    <n v="0.12112496591248441"/>
  </r>
  <r>
    <x v="0"/>
    <n v="1000"/>
    <n v="25"/>
    <x v="2"/>
    <n v="17.140882923266791"/>
    <n v="5.1389136633851358"/>
    <n v="20.404679517583865"/>
    <n v="11.571402602061983"/>
    <m/>
    <n v="0.36172977646359294"/>
    <n v="0.18"/>
    <n v="117.75357373480496"/>
    <n v="58.632484847205788"/>
    <n v="2.1602466578463293"/>
    <m/>
    <m/>
    <m/>
    <m/>
    <m/>
    <m/>
    <m/>
    <m/>
    <m/>
    <m/>
    <m/>
    <n v="0.18668840175532228"/>
    <m/>
    <m/>
    <m/>
    <m/>
    <m/>
    <m/>
    <m/>
    <m/>
    <m/>
    <m/>
    <m/>
    <n v="1274.978239078976"/>
    <n v="0.25184976117643226"/>
    <n v="0.27428719750413694"/>
    <n v="237.50753560778838"/>
    <n v="194.85491015581061"/>
    <x v="4"/>
    <n v="9.762677251918257"/>
    <n v="2.6643645582431001"/>
    <n v="0.2"/>
    <n v="1"/>
    <n v="0.3"/>
    <x v="0"/>
    <n v="0.27107930967687682"/>
    <n v="0.18"/>
    <n v="194.85491015581061"/>
    <n v="0.27107930967687682"/>
    <n v="54.189522297369393"/>
    <n v="211.29015975070118"/>
    <n v="108843.75662224009"/>
    <n v="66.445745299100807"/>
    <n v="318323.5259947569"/>
    <x v="1"/>
    <n v="6.318561288643663E-6"/>
    <n v="2288437.5662224009"/>
    <n v="0.1391008130146299"/>
  </r>
  <r>
    <x v="0"/>
    <n v="1000"/>
    <n v="25"/>
    <x v="0"/>
    <n v="18.561049411078333"/>
    <n v="4.2018376804034574"/>
    <n v="21.332236311031856"/>
    <n v="11.392682021379549"/>
    <m/>
    <n v="0.34415085080139207"/>
    <n v="0.18"/>
    <n v="115.72161711512192"/>
    <n v="57.620722214998466"/>
    <n v="2.4581027887369782"/>
    <m/>
    <m/>
    <m/>
    <m/>
    <m/>
    <m/>
    <m/>
    <m/>
    <m/>
    <m/>
    <m/>
    <n v="0.21576155501611416"/>
    <m/>
    <m/>
    <m/>
    <m/>
    <m/>
    <m/>
    <m/>
    <m/>
    <m/>
    <m/>
    <m/>
    <n v="1514.3028936352869"/>
    <n v="0.19697127010685225"/>
    <n v="0.27072005400047655"/>
    <n v="331.43821768354974"/>
    <n v="285.25149926679723"/>
    <x v="4"/>
    <n v="9.762677251918257"/>
    <n v="2.6643645582431001"/>
    <n v="0.2"/>
    <n v="1"/>
    <n v="0.3"/>
    <x v="0"/>
    <n v="0.26761007664007674"/>
    <n v="0.18"/>
    <n v="285.25149926679723"/>
    <n v="0.26761007664007674"/>
    <n v="49.145747001317368"/>
    <n v="205.42786561371932"/>
    <n v="103867.52124853847"/>
    <n v="62.679358286999154"/>
    <n v="339757.85355417262"/>
    <x v="1"/>
    <n v="6.9370849173728608E-6"/>
    <n v="2238675.2124853847"/>
    <n v="0.15176737190785811"/>
  </r>
  <r>
    <x v="0"/>
    <n v="1000"/>
    <n v="25"/>
    <x v="3"/>
    <n v="19.51738864868225"/>
    <n v="3.5301362807633039"/>
    <n v="21.93558092865328"/>
    <n v="11.27830581201796"/>
    <m/>
    <n v="0.33557889452798612"/>
    <n v="0.18"/>
    <n v="114.4518609204945"/>
    <n v="56.988478466636266"/>
    <n v="2.6742321922565928"/>
    <m/>
    <m/>
    <m/>
    <m/>
    <m/>
    <m/>
    <m/>
    <m/>
    <m/>
    <m/>
    <m/>
    <n v="0.23711293494160968"/>
    <m/>
    <m/>
    <m/>
    <m/>
    <m/>
    <m/>
    <m/>
    <m/>
    <m/>
    <m/>
    <m/>
    <n v="1715.7569547969106"/>
    <n v="0.16093197131387912"/>
    <n v="0.26812283334566639"/>
    <n v="427.20728628314822"/>
    <n v="378.64085866861438"/>
    <x v="4"/>
    <n v="9.762677251918257"/>
    <n v="2.6643645582431001"/>
    <n v="0.2"/>
    <n v="1"/>
    <n v="0.3"/>
    <x v="0"/>
    <n v="0.26790424668393159"/>
    <n v="0.18"/>
    <n v="378.64085866861438"/>
    <n v="0.26790424668393159"/>
    <n v="45.382482561141394"/>
    <n v="201.8444643484855"/>
    <n v="100188.76325122394"/>
    <n v="59.405191487267111"/>
    <n v="352416.68980748771"/>
    <x v="1"/>
    <n v="7.3765942834863379E-6"/>
    <n v="2201887.6325122393"/>
    <n v="0.16005207741023486"/>
  </r>
  <r>
    <x v="0"/>
    <n v="1000"/>
    <n v="25"/>
    <x v="4"/>
    <n v="20.202660099109227"/>
    <n v="3.0395277541084971"/>
    <n v="22.362814340590642"/>
    <n v="11.19667936887099"/>
    <m/>
    <n v="0.33052935578948606"/>
    <n v="0.18"/>
    <n v="113.55946961568962"/>
    <n v="56.544134248476169"/>
    <n v="2.8354285821831304"/>
    <m/>
    <m/>
    <m/>
    <m/>
    <m/>
    <m/>
    <m/>
    <m/>
    <m/>
    <m/>
    <m/>
    <n v="0.25323834761815089"/>
    <m/>
    <m/>
    <m/>
    <m/>
    <m/>
    <m/>
    <m/>
    <m/>
    <m/>
    <m/>
    <m/>
    <n v="1891.5566922432474"/>
    <n v="0.13591883864954618"/>
    <n v="0.26622318375242976"/>
    <n v="524.11382128952232"/>
    <n v="473.84240115168222"/>
    <x v="4"/>
    <n v="9.762677251918257"/>
    <n v="2.6643645582431001"/>
    <n v="0.2"/>
    <n v="1"/>
    <n v="0.3"/>
    <x v="0"/>
    <n v="0.26909928128279842"/>
    <n v="0.18"/>
    <n v="473.84240115168222"/>
    <n v="0.26909928128279842"/>
    <n v="42.588698283652505"/>
    <n v="199.36144071008954"/>
    <n v="97422.478624920317"/>
    <n v="56.794705060777368"/>
    <n v="360529.36085818091"/>
    <x v="1"/>
    <n v="7.7038880701329505E-6"/>
    <n v="2174224.7862492031"/>
    <n v="0.16581972716820004"/>
  </r>
  <r>
    <x v="0"/>
    <n v="1000"/>
    <n v="25"/>
    <x v="5"/>
    <n v="20.716078869423779"/>
    <n v="2.6682259854290828"/>
    <n v="22.680887342162464"/>
    <n v="11.135925978639074"/>
    <m/>
    <n v="0.32694736370902078"/>
    <n v="0.18"/>
    <n v="112.90122431957211"/>
    <n v="56.216377254558729"/>
    <n v="2.9636968401763824"/>
    <m/>
    <m/>
    <m/>
    <m/>
    <m/>
    <m/>
    <m/>
    <m/>
    <m/>
    <m/>
    <m/>
    <n v="0.26613833873010145"/>
    <m/>
    <m/>
    <m/>
    <m/>
    <m/>
    <m/>
    <m/>
    <m/>
    <m/>
    <m/>
    <m/>
    <n v="2052.0555511104844"/>
    <n v="0.11764204570907613"/>
    <n v="0.26476431152198421"/>
    <n v="621.75652847493507"/>
    <n v="570.20713102229251"/>
    <x v="4"/>
    <n v="9.762677251918257"/>
    <n v="2.6643645582431001"/>
    <n v="0.2"/>
    <n v="1"/>
    <n v="0.3"/>
    <x v="0"/>
    <n v="0.27034201371883509"/>
    <n v="0.18"/>
    <n v="570.20713102229251"/>
    <n v="0.27034201371883509"/>
    <n v="40.456066089362935"/>
    <n v="197.54818015654766"/>
    <n v="95304.181986996176"/>
    <n v="54.730011853110653"/>
    <n v="366093.20066653157"/>
    <x v="1"/>
    <n v="7.955670580691596E-6"/>
    <n v="2153041.8198699616"/>
    <n v="0.17003534129617728"/>
  </r>
  <r>
    <x v="0"/>
    <n v="1000"/>
    <n v="25"/>
    <x v="6"/>
    <n v="21.117786091196553"/>
    <n v="2.3788626451694124"/>
    <n v="22.93045044350951"/>
    <n v="11.089894959883834"/>
    <m/>
    <n v="0.32404971181752334"/>
    <n v="0.18"/>
    <n v="112.40486204378725"/>
    <n v="55.969225913918969"/>
    <n v="3.0702422570196166"/>
    <m/>
    <m/>
    <m/>
    <m/>
    <m/>
    <m/>
    <m/>
    <m/>
    <m/>
    <m/>
    <m/>
    <n v="0.27685043619671734"/>
    <m/>
    <m/>
    <m/>
    <m/>
    <m/>
    <m/>
    <m/>
    <m/>
    <m/>
    <m/>
    <m/>
    <n v="2202.4434630527112"/>
    <n v="0.10374251700941846"/>
    <n v="0.26354718264633925"/>
    <n v="719.87094728485465"/>
    <n v="667.32233454290076"/>
    <x v="4"/>
    <n v="9.762677251918257"/>
    <n v="2.6643645582431001"/>
    <n v="0.2"/>
    <n v="1"/>
    <n v="0.3"/>
    <x v="0"/>
    <n v="0.27138012399096356"/>
    <n v="0.18"/>
    <n v="667.32233454290076"/>
    <n v="0.27138012399096356"/>
    <n v="38.789624237123739"/>
    <n v="196.19092888417305"/>
    <n v="93668.596708817218"/>
    <n v="53.102283007126992"/>
    <n v="370253.22046957712"/>
    <x v="1"/>
    <n v="8.1548102638189461E-6"/>
    <n v="2136685.9670881722"/>
    <n v="0.17328387333125508"/>
  </r>
  <r>
    <x v="0"/>
    <n v="1000"/>
    <n v="25"/>
    <x v="7"/>
    <n v="21.438087600820175"/>
    <n v="2.1467808539339148"/>
    <n v="23.128712384605617"/>
    <n v="11.053263922579015"/>
    <m/>
    <n v="0.32153744684776836"/>
    <n v="0.18"/>
    <n v="112.01162144506606"/>
    <n v="55.773421466422938"/>
    <n v="3.1614985955763615"/>
    <m/>
    <m/>
    <m/>
    <m/>
    <m/>
    <m/>
    <m/>
    <m/>
    <m/>
    <m/>
    <m/>
    <n v="0.28602398510707971"/>
    <m/>
    <m/>
    <m/>
    <m/>
    <m/>
    <m/>
    <m/>
    <m/>
    <m/>
    <m/>
    <m/>
    <n v="2345.7546977080106"/>
    <n v="9.2818865928861821E-2"/>
    <n v="0.26256405863957183"/>
    <n v="818.35101989244936"/>
    <n v="765.00539991982942"/>
    <x v="4"/>
    <n v="9.762677251918257"/>
    <n v="2.6643645582431001"/>
    <n v="0.2"/>
    <n v="1"/>
    <n v="0.3"/>
    <x v="0"/>
    <n v="0.27219051071218575"/>
    <n v="0.18"/>
    <n v="765.00539991982942"/>
    <n v="0.27219051071218575"/>
    <n v="37.447981180760806"/>
    <n v="195.12171804862996"/>
    <n v="92351.414079463648"/>
    <n v="51.772024678763785"/>
    <n v="373372.1935812179"/>
    <x v="1"/>
    <n v="8.3161454692854175E-6"/>
    <n v="2123514.1407946367"/>
    <n v="0.17582750517568907"/>
  </r>
  <r>
    <x v="0"/>
    <n v="1000"/>
    <n v="25"/>
    <x v="8"/>
    <n v="21.699311006599284"/>
    <n v="1.9566047377153177"/>
    <n v="23.289926198071974"/>
    <n v="11.023440930057596"/>
    <m/>
    <n v="0.31925946277748962"/>
    <n v="0.18"/>
    <n v="111.69253370288162"/>
    <n v="55.614539603094592"/>
    <n v="3.2413932497405291"/>
    <m/>
    <m/>
    <m/>
    <m/>
    <m/>
    <m/>
    <m/>
    <m/>
    <m/>
    <m/>
    <m/>
    <n v="0.29404550451231865"/>
    <m/>
    <m/>
    <m/>
    <m/>
    <m/>
    <m/>
    <m/>
    <m/>
    <m/>
    <m/>
    <m/>
    <n v="2483.8011918314569"/>
    <n v="8.4010774490015025E-2"/>
    <n v="0.26175609162203078"/>
    <n v="917.10102763173688"/>
    <n v="863.10456696119149"/>
    <x v="4"/>
    <n v="9.762677251918257"/>
    <n v="2.6643645582431001"/>
    <n v="0.2"/>
    <n v="1"/>
    <n v="0.3"/>
    <x v="0"/>
    <n v="0.27278340752661789"/>
    <n v="0.18"/>
    <n v="863.10456696119149"/>
    <n v="0.27278340752661789"/>
    <n v="36.345561030596961"/>
    <n v="194.25802592331388"/>
    <n v="91269.466305374284"/>
    <n v="50.66710312269872"/>
    <n v="375783.51991316304"/>
    <x v="1"/>
    <n v="8.4494410565058945E-6"/>
    <n v="2112694.6630537426"/>
    <n v="0.17786929956551126"/>
  </r>
  <r>
    <x v="0"/>
    <n v="1000"/>
    <n v="25"/>
    <x v="9"/>
    <n v="21.91822855574836"/>
    <n v="1.7981587104578538"/>
    <n v="23.425573540929946"/>
    <n v="10.999081116542218"/>
    <m/>
    <n v="0.31713467943237117"/>
    <n v="0.18"/>
    <n v="111.43233615139009"/>
    <n v="55.484980656293828"/>
    <n v="3.3123971626755342"/>
    <m/>
    <m/>
    <m/>
    <m/>
    <m/>
    <m/>
    <m/>
    <m/>
    <m/>
    <m/>
    <m/>
    <n v="0.30115217149310858"/>
    <m/>
    <m/>
    <m/>
    <m/>
    <m/>
    <m/>
    <m/>
    <m/>
    <m/>
    <m/>
    <m/>
    <n v="2617.6950511367609"/>
    <n v="7.676049883329647E-2"/>
    <n v="0.26104578251498162"/>
    <n v="1016.0368409534046"/>
    <n v="961.49646979899546"/>
    <x v="4"/>
    <n v="9.762677251918257"/>
    <n v="2.6643645582431001"/>
    <n v="0.2"/>
    <n v="1"/>
    <n v="0.3"/>
    <x v="0"/>
    <n v="0.27318000085047156"/>
    <n v="0.18"/>
    <n v="961.49646979899546"/>
    <n v="0.27318000085047156"/>
    <n v="35.427337767008964"/>
    <n v="193.55629882048149"/>
    <n v="90379.065838441296"/>
    <n v="49.749953160582024"/>
    <n v="377774.00536083896"/>
    <x v="1"/>
    <n v="8.561381211440898E-6"/>
    <n v="2103790.658384413"/>
    <n v="0.17956824927198178"/>
  </r>
  <r>
    <x v="0"/>
    <n v="1000"/>
    <n v="25"/>
    <x v="0"/>
    <n v="18.559438217319414"/>
    <n v="4.2011428476035544"/>
    <n v="21.330193001252482"/>
    <n v="11.392034613946791"/>
    <m/>
    <n v="0.34413609630996395"/>
    <n v="0.18"/>
    <n v="115.71508981513566"/>
    <n v="57.6174721071215"/>
    <n v="2.4584566255475728"/>
    <m/>
    <m/>
    <m/>
    <m/>
    <m/>
    <m/>
    <m/>
    <m/>
    <m/>
    <m/>
    <m/>
    <n v="0.21580487672832274"/>
    <m/>
    <m/>
    <m/>
    <m/>
    <m/>
    <m/>
    <m/>
    <m/>
    <m/>
    <m/>
    <m/>
    <n v="1514.4966592579628"/>
    <n v="0.19695756373872794"/>
    <n v="0.27074759071506471"/>
    <n v="331.45114175050446"/>
    <n v="285.26834648417605"/>
    <x v="4"/>
    <n v="9.762677251918257"/>
    <n v="2.6643645582431001"/>
    <n v="0.2"/>
    <n v="1"/>
    <n v="0.3"/>
    <x v="0"/>
    <n v="0.26760652885776293"/>
    <n v="0.18"/>
    <n v="285.26834648417605"/>
    <n v="0.26760652885776293"/>
    <n v="49.139390458056731"/>
    <n v="205.40929053947477"/>
    <n v="103849.52909636374"/>
    <n v="62.664053513041736"/>
    <n v="339683.59179311106"/>
    <x v="2"/>
    <n v="6.9371770713367089E-6"/>
    <n v="2238495.2909636376"/>
    <n v="0.15174639552039554"/>
  </r>
  <r>
    <x v="0"/>
    <n v="1000"/>
    <n v="25"/>
    <x v="0"/>
    <n v="17.92031341893118"/>
    <n v="4.0190154832915876"/>
    <n v="20.564860928709734"/>
    <n v="10.997151089008485"/>
    <m/>
    <n v="0.34738959222084925"/>
    <n v="0.18"/>
    <n v="111.74236382238713"/>
    <n v="55.639351280856665"/>
    <n v="2.3752724055629226"/>
    <m/>
    <m/>
    <m/>
    <m/>
    <m/>
    <m/>
    <m/>
    <m/>
    <m/>
    <m/>
    <m/>
    <n v="0.21598979466027141"/>
    <m/>
    <m/>
    <m/>
    <m/>
    <m/>
    <m/>
    <m/>
    <m/>
    <m/>
    <m/>
    <m/>
    <n v="1477.2001578589011"/>
    <n v="0.19543120166112135"/>
    <n v="0.2721636463264312"/>
    <n v="334.15610916147972"/>
    <n v="289.5639550774398"/>
    <x v="4"/>
    <n v="9.762677251918257"/>
    <n v="2.6643645582431001"/>
    <n v="0.2"/>
    <n v="1"/>
    <n v="0.3"/>
    <x v="1"/>
    <n v="0.26963003340329295"/>
    <n v="0.18"/>
    <n v="289.5639550774398"/>
    <n v="0.26963003340329295"/>
    <n v="47.176681077697168"/>
    <n v="194.39267498541881"/>
    <n v="97286.187916865732"/>
    <n v="59.623232267684671"/>
    <n v="386697.35338127322"/>
    <x v="2"/>
    <n v="6.7308240373663077E-6"/>
    <n v="2172861.8791686576"/>
    <n v="0.17796683585301087"/>
  </r>
  <r>
    <x v="0"/>
    <n v="1000"/>
    <n v="25"/>
    <x v="0"/>
    <n v="15.615578958702825"/>
    <n v="3.4014115960792992"/>
    <n v="17.837531057580353"/>
    <n v="9.5841311648249636"/>
    <m/>
    <n v="0.35930354975392925"/>
    <n v="0.18"/>
    <n v="97.497357820748348"/>
    <n v="48.546402234397526"/>
    <n v="2.0825449116206531"/>
    <m/>
    <m/>
    <m/>
    <m/>
    <m/>
    <m/>
    <m/>
    <m/>
    <m/>
    <m/>
    <m/>
    <n v="0.21729094435433752"/>
    <m/>
    <m/>
    <m/>
    <m/>
    <m/>
    <m/>
    <m/>
    <m/>
    <m/>
    <m/>
    <m/>
    <n v="1346.0043193327256"/>
    <n v="0.19068847505293135"/>
    <n v="0.27681806522063884"/>
    <n v="343.58901776783836"/>
    <n v="304.73186352239827"/>
    <x v="4"/>
    <n v="9.762677251918257"/>
    <n v="2.6643645582431001"/>
    <n v="0.2"/>
    <n v="1"/>
    <n v="0.3"/>
    <x v="2"/>
    <n v="0.27689236550944385"/>
    <n v="0.18"/>
    <n v="304.73186352239827"/>
    <n v="0.27689236550944385"/>
    <n v="40.396377373804675"/>
    <n v="158.96077688600016"/>
    <n v="76468.486193779783"/>
    <n v="49.537743449151307"/>
    <n v="507218.7315599469"/>
    <x v="2"/>
    <n v="6.021471146540036E-6"/>
    <n v="1964684.8619377979"/>
    <n v="0.25816798479307745"/>
  </r>
  <r>
    <x v="0"/>
    <n v="1000"/>
    <n v="25"/>
    <x v="0"/>
    <n v="13.52329017091183"/>
    <n v="2.8886740375253583"/>
    <n v="15.398957728836688"/>
    <n v="8.305512842161729"/>
    <m/>
    <n v="0.37122905064838829"/>
    <n v="0.18"/>
    <n v="84.571583637308521"/>
    <n v="42.110332101564417"/>
    <n v="1.8132597257897878"/>
    <m/>
    <m/>
    <m/>
    <m/>
    <m/>
    <m/>
    <m/>
    <m/>
    <m/>
    <m/>
    <m/>
    <n v="0.21832001951583752"/>
    <m/>
    <m/>
    <m/>
    <m/>
    <m/>
    <m/>
    <m/>
    <m/>
    <m/>
    <m/>
    <m/>
    <n v="1224.6984623424773"/>
    <n v="0.18758893221168566"/>
    <n v="0.28009794352430051"/>
    <n v="351.71942356749724"/>
    <n v="318.06859944758389"/>
    <x v="4"/>
    <n v="9.762677251918257"/>
    <n v="2.6643645582431001"/>
    <n v="0.2"/>
    <n v="1"/>
    <n v="0.3"/>
    <x v="3"/>
    <n v="0.28385750277222682"/>
    <n v="0.18"/>
    <n v="318.06859944758389"/>
    <n v="0.28385750277222682"/>
    <n v="34.595843942656728"/>
    <n v="131.10929553863198"/>
    <n v="60665.61824504126"/>
    <n v="41.422920126239767"/>
    <n v="579086.56548410642"/>
    <x v="2"/>
    <n v="5.3551042899155312E-6"/>
    <n v="1806656.1824504125"/>
    <n v="0.32052947932720488"/>
  </r>
  <r>
    <x v="0"/>
    <n v="1000"/>
    <n v="25"/>
    <x v="0"/>
    <n v="12.347294913175672"/>
    <n v="2.6151956161183052"/>
    <n v="14.039605334490254"/>
    <n v="7.5671887225923617"/>
    <m/>
    <n v="0.37405355136634005"/>
    <n v="0.18"/>
    <n v="77.094167893645036"/>
    <n v="38.387137540404176"/>
    <n v="1.688932345168352"/>
    <m/>
    <m/>
    <m/>
    <m/>
    <m/>
    <m/>
    <m/>
    <m/>
    <m/>
    <m/>
    <m/>
    <n v="0.22319151894889688"/>
    <m/>
    <m/>
    <m/>
    <m/>
    <m/>
    <m/>
    <m/>
    <m/>
    <m/>
    <m/>
    <m/>
    <n v="1169.7704100012675"/>
    <n v="0.1862727301666886"/>
    <n v="0.28080357643236431"/>
    <n v="356.02871206254133"/>
    <n v="325.304237417092"/>
    <x v="4"/>
    <n v="9.762677251918257"/>
    <n v="2.6643645582431001"/>
    <n v="0.2"/>
    <n v="1"/>
    <n v="0.3"/>
    <x v="4"/>
    <n v="0.28514975351168498"/>
    <n v="0.18"/>
    <n v="325.304237417092"/>
    <n v="0.28514975351168498"/>
    <n v="31.463061600251066"/>
    <n v="116.43170179088294"/>
    <n v="52834.880449634562"/>
    <n v="37.453343511288821"/>
    <n v="605626.322910371"/>
    <x v="2"/>
    <n v="4.9691507566417692E-6"/>
    <n v="1728348.8044963456"/>
    <n v="0.35040746482123164"/>
  </r>
  <r>
    <x v="0"/>
    <n v="1000"/>
    <n v="25"/>
    <x v="0"/>
    <n v="10.91121274683432"/>
    <n v="2.2936536899160154"/>
    <n v="12.389210061274074"/>
    <n v="6.660006140817571"/>
    <m/>
    <n v="0.37585598680229648"/>
    <n v="0.18"/>
    <n v="67.893773114928464"/>
    <n v="33.806028107018321"/>
    <n v="1.5413690089861722"/>
    <m/>
    <m/>
    <m/>
    <m/>
    <m/>
    <m/>
    <m/>
    <m/>
    <m/>
    <m/>
    <m/>
    <n v="0.23143657474119933"/>
    <m/>
    <m/>
    <m/>
    <m/>
    <m/>
    <m/>
    <m/>
    <m/>
    <m/>
    <m/>
    <m/>
    <n v="1104.680439053061"/>
    <n v="0.18513316656769496"/>
    <n v="0.28083273373978851"/>
    <n v="361.14693397193389"/>
    <n v="333.9959345599745"/>
    <x v="4"/>
    <n v="9.762677251918257"/>
    <n v="2.6643645582431001"/>
    <n v="0.2"/>
    <n v="1"/>
    <n v="0.3"/>
    <x v="5"/>
    <n v="0.28548618745080384"/>
    <n v="0.18"/>
    <n v="333.9959345599745"/>
    <n v="0.28548618745080384"/>
    <n v="27.727757731409088"/>
    <n v="99.545097909248639"/>
    <n v="44129.603290997657"/>
    <n v="32.923089883449983"/>
    <n v="632838.23966476438"/>
    <x v="2"/>
    <n v="4.4681008958066549E-6"/>
    <n v="1641296.0329099766"/>
    <n v="0.3855722715315153"/>
  </r>
  <r>
    <x v="0"/>
    <n v="1000"/>
    <n v="25"/>
    <x v="0"/>
    <n v="9.0219760151665334"/>
    <n v="1.8885874994206941"/>
    <n v="10.232049056747069"/>
    <n v="5.4827289141205702"/>
    <m/>
    <n v="0.38098057962572018"/>
    <n v="0.18"/>
    <n v="55.934263172962083"/>
    <n v="27.851085397325519"/>
    <n v="1.3228495701814911"/>
    <m/>
    <m/>
    <m/>
    <m/>
    <m/>
    <m/>
    <m/>
    <m/>
    <m/>
    <m/>
    <m/>
    <n v="0.2412757571826212"/>
    <m/>
    <m/>
    <m/>
    <m/>
    <m/>
    <m/>
    <m/>
    <m/>
    <m/>
    <m/>
    <m/>
    <n v="1006.8135119994881"/>
    <n v="0.1845756885005696"/>
    <n v="0.2805224931837822"/>
    <n v="367.83867164172159"/>
    <n v="345.38872690874257"/>
    <x v="4"/>
    <n v="9.762677251918257"/>
    <n v="2.6643645582431001"/>
    <n v="0.2"/>
    <n v="1"/>
    <n v="0.3"/>
    <x v="6"/>
    <n v="0.28748934990286495"/>
    <n v="0.18"/>
    <n v="345.38872690874257"/>
    <n v="0.28748934990286495"/>
    <n v="22.923079227651723"/>
    <n v="79.204024151586907"/>
    <n v="33937.27120050606"/>
    <n v="27.107692596488363"/>
    <n v="650227.60161355813"/>
    <x v="2"/>
    <n v="3.7817935782710397E-6"/>
    <n v="1539372.7120050606"/>
    <n v="0.42239777056111705"/>
  </r>
  <r>
    <x v="0"/>
    <n v="1000"/>
    <n v="25"/>
    <x v="0"/>
    <n v="7.8369367801033949"/>
    <n v="1.6406533919521471"/>
    <n v="8.8844464214141539"/>
    <n v="4.7533339565404695"/>
    <m/>
    <n v="0.38417989930791918"/>
    <n v="0.18"/>
    <n v="48.514248524357505"/>
    <n v="24.156472294285901"/>
    <n v="1.1854558329723925"/>
    <m/>
    <m/>
    <m/>
    <m/>
    <m/>
    <m/>
    <m/>
    <m/>
    <m/>
    <m/>
    <m/>
    <n v="0.24939460256968368"/>
    <m/>
    <m/>
    <m/>
    <m/>
    <m/>
    <m/>
    <m/>
    <m/>
    <m/>
    <m/>
    <m/>
    <n v="945.27875381250067"/>
    <n v="0.18466579842247519"/>
    <n v="0.28041132309002337"/>
    <n v="372.05199599736767"/>
    <n v="352.55083732630521"/>
    <x v="4"/>
    <n v="9.762677251918257"/>
    <n v="2.6643645582431001"/>
    <n v="0.2"/>
    <n v="1"/>
    <n v="0.3"/>
    <x v="7"/>
    <n v="0.28879710919926921"/>
    <n v="0.18"/>
    <n v="352.55083732630521"/>
    <n v="0.28879710919926921"/>
    <n v="19.947404855590509"/>
    <n v="67.351566582430493"/>
    <n v="28187.252391719823"/>
    <n v="23.521611551443875"/>
    <n v="655976.64947992889"/>
    <x v="2"/>
    <n v="3.3226125572332427E-6"/>
    <n v="1481872.5239171982"/>
    <n v="0.44266739472698569"/>
  </r>
  <r>
    <x v="0"/>
    <n v="1000"/>
    <n v="25"/>
    <x v="0"/>
    <n v="6.3554343781369154"/>
    <n v="1.3371225773033182"/>
    <n v="7.2050959481218237"/>
    <n v="3.8492652866418475"/>
    <m/>
    <n v="0.38941740943025055"/>
    <n v="0.18"/>
    <n v="39.307231693249058"/>
    <n v="19.572065573402025"/>
    <n v="1.004110463361886"/>
    <m/>
    <m/>
    <m/>
    <m/>
    <m/>
    <m/>
    <m/>
    <m/>
    <m/>
    <m/>
    <m/>
    <n v="0.26085769324511432"/>
    <m/>
    <m/>
    <m/>
    <m/>
    <m/>
    <m/>
    <m/>
    <m/>
    <m/>
    <m/>
    <m/>
    <n v="863.55749384142337"/>
    <n v="0.18558012092148063"/>
    <n v="0.28018303675695061"/>
    <n v="377.31684811579066"/>
    <n v="361.5022621604802"/>
    <x v="4"/>
    <n v="9.762677251918257"/>
    <n v="2.6643645582431001"/>
    <n v="0.2"/>
    <n v="1"/>
    <n v="0.3"/>
    <x v="8"/>
    <n v="0.29140544906462379"/>
    <n v="0.18"/>
    <n v="361.5022621604802"/>
    <n v="0.29140544906462379"/>
    <n v="16.262846426197655"/>
    <n v="53.337054203917809"/>
    <n v="21623.617941332359"/>
    <n v="19.103058329381739"/>
    <n v="650412.59269764379"/>
    <x v="2"/>
    <n v="2.7283681790607275E-6"/>
    <n v="1416236.1794133235"/>
    <n v="0.45925432646910452"/>
  </r>
  <r>
    <x v="0"/>
    <n v="1000"/>
    <n v="25"/>
    <x v="0"/>
    <n v="4.3404576203348748"/>
    <n v="0.9316061105070923"/>
    <n v="4.9278628018887023"/>
    <n v="2.6317100560311051"/>
    <m/>
    <n v="0.40138019493874078"/>
    <n v="0.18"/>
    <n v="26.891492958980415"/>
    <n v="13.3899550003222"/>
    <n v="0.73192658016492196"/>
    <m/>
    <m/>
    <m/>
    <m/>
    <m/>
    <m/>
    <m/>
    <m/>
    <m/>
    <m/>
    <m/>
    <n v="0.27811824425246301"/>
    <m/>
    <m/>
    <m/>
    <m/>
    <m/>
    <m/>
    <m/>
    <m/>
    <m/>
    <m/>
    <m/>
    <n v="739.6478506256351"/>
    <n v="0.18904871096452514"/>
    <n v="0.27976342234392493"/>
    <n v="384.48525692183244"/>
    <n v="373.68456054317437"/>
    <x v="4"/>
    <n v="9.762677251918257"/>
    <n v="2.6643645582431001"/>
    <n v="0.2"/>
    <n v="1"/>
    <n v="0.3"/>
    <x v="9"/>
    <n v="0.29939233330921627"/>
    <n v="0.18"/>
    <n v="373.68456054317437"/>
    <n v="0.29939233330921627"/>
    <n v="11.281646361853372"/>
    <n v="35.47592121071547"/>
    <n v="13715.833422495236"/>
    <n v="13.164929309397312"/>
    <n v="617549.0355968643"/>
    <x v="2"/>
    <n v="1.8730816964991851E-6"/>
    <n v="1337158.3342249524"/>
    <n v="0.46183688183404986"/>
  </r>
  <r>
    <x v="0"/>
    <n v="1000"/>
    <n v="25"/>
    <x v="0"/>
    <n v="18.569953782251407"/>
    <n v="4.205684589172602"/>
    <n v="21.343533282921026"/>
    <n v="11.396272282113637"/>
    <m/>
    <n v="0.34423386633700964"/>
    <n v="0.18"/>
    <n v="115.75781479381226"/>
    <n v="57.6387459554252"/>
    <n v="2.4561319434893392"/>
    <m/>
    <m/>
    <m/>
    <m/>
    <m/>
    <m/>
    <m/>
    <m/>
    <m/>
    <m/>
    <m/>
    <n v="0.2155206441797832"/>
    <m/>
    <m/>
    <m/>
    <m/>
    <m/>
    <m/>
    <m/>
    <m/>
    <m/>
    <m/>
    <m/>
    <n v="1513.2240227414134"/>
    <n v="0.19704725236556625"/>
    <n v="0.27056793788765354"/>
    <n v="331.36676160808781"/>
    <n v="285.15805099674424"/>
    <x v="4"/>
    <n v="9.762677251918257"/>
    <n v="2.6643645582431001"/>
    <n v="0.2"/>
    <n v="1"/>
    <n v="0.3"/>
    <x v="0"/>
    <n v="0.26763055088604071"/>
    <n v="0.18"/>
    <n v="285.15805099674424"/>
    <n v="0.26763055088604071"/>
    <n v="49.180910837129375"/>
    <n v="205.53090449113691"/>
    <n v="103967.14656070228"/>
    <n v="62.763977942190714"/>
    <n v="340168.79475981317"/>
    <x v="3"/>
    <n v="6.9365691231126364E-6"/>
    <n v="2239671.4656070229"/>
    <n v="0.15188334538504134"/>
  </r>
  <r>
    <x v="1"/>
    <n v="1000"/>
    <n v="25"/>
    <x v="0"/>
    <n v="18.464565982699479"/>
    <n v="4.2713732517178409"/>
    <n v="21.272371669366891"/>
    <n v="11.405546546619906"/>
    <m/>
    <n v="0.34521572687969548"/>
    <n v="0.18"/>
    <n v="115.86494863183766"/>
    <n v="57.692090605064408"/>
    <n v="2.4353295966270405"/>
    <m/>
    <m/>
    <m/>
    <m/>
    <m/>
    <m/>
    <m/>
    <m/>
    <m/>
    <m/>
    <m/>
    <n v="0.21352151662988594"/>
    <m/>
    <m/>
    <m/>
    <m/>
    <m/>
    <m/>
    <m/>
    <m/>
    <m/>
    <m/>
    <m/>
    <n v="1495.051121690165"/>
    <n v="0.20079440685350558"/>
    <n v="0.24084035559822087"/>
    <n v="323.33275734942538"/>
    <n v="277.38632337664404"/>
    <x v="4"/>
    <n v="9.762677251918257"/>
    <n v="2.6643645582431001"/>
    <n v="0.2"/>
    <n v="1"/>
    <n v="0.3"/>
    <x v="0"/>
    <n v="0.26770166471137546"/>
    <n v="0.18"/>
    <n v="277.38632337664404"/>
    <n v="0.26770166471137546"/>
    <n v="49.5339499995086"/>
    <n v="205.83615850486976"/>
    <n v="104260.2053872262"/>
    <n v="63.011465818527022"/>
    <n v="338472.60571339348"/>
    <x v="3"/>
    <n v="6.8926317578787202E-6"/>
    <n v="2242602.0538722621"/>
    <n v="0.15092851856126624"/>
  </r>
  <r>
    <x v="2"/>
    <n v="1000"/>
    <n v="25"/>
    <x v="0"/>
    <n v="18.385879691644416"/>
    <n v="4.3803162213968836"/>
    <n v="21.253170685353659"/>
    <n v="11.439742134609441"/>
    <m/>
    <n v="0.34429394484787373"/>
    <n v="0.18"/>
    <n v="116.22847068980047"/>
    <n v="57.8730974389048"/>
    <n v="2.4322970220566766"/>
    <m/>
    <m/>
    <m/>
    <m/>
    <m/>
    <m/>
    <m/>
    <m/>
    <m/>
    <m/>
    <m/>
    <n v="0.2126181686122173"/>
    <m/>
    <m/>
    <m/>
    <m/>
    <m/>
    <m/>
    <m/>
    <m/>
    <m/>
    <m/>
    <m/>
    <n v="1483.0490891507416"/>
    <n v="0.20610177588304604"/>
    <n v="0.21048807139177325"/>
    <n v="312.65120360467603"/>
    <n v="266.90057812240235"/>
    <x v="4"/>
    <n v="9.762677251918257"/>
    <n v="2.6643645582431001"/>
    <n v="0.2"/>
    <n v="1"/>
    <n v="0.3"/>
    <x v="0"/>
    <n v="0.26637075720877929"/>
    <n v="0.18"/>
    <n v="266.90057812240235"/>
    <n v="0.26637075720877929"/>
    <n v="50.237423973836869"/>
    <n v="206.87519177313544"/>
    <n v="105342.56450063242"/>
    <n v="63.977961431185491"/>
    <n v="339026.30171662057"/>
    <x v="3"/>
    <n v="6.8310531466363883E-6"/>
    <n v="2253425.6450063242"/>
    <n v="0.15044929592769815"/>
  </r>
  <r>
    <x v="3"/>
    <n v="1000"/>
    <n v="25"/>
    <x v="0"/>
    <n v="18.191948991115879"/>
    <n v="4.496561497965331"/>
    <n v="21.119897935654627"/>
    <n v="11.457770384660641"/>
    <m/>
    <n v="0.34621629365296563"/>
    <n v="0.18"/>
    <n v="116.43655396661288"/>
    <n v="57.976707369267828"/>
    <n v="2.395736123805472"/>
    <m/>
    <m/>
    <m/>
    <m/>
    <m/>
    <m/>
    <m/>
    <m/>
    <m/>
    <m/>
    <m/>
    <n v="0.20909269808834885"/>
    <m/>
    <m/>
    <m/>
    <m/>
    <m/>
    <m/>
    <m/>
    <m/>
    <m/>
    <m/>
    <m/>
    <n v="1452.0086032128211"/>
    <n v="0.21290640284649448"/>
    <n v="0.18084994370425461"/>
    <n v="299.4086001991501"/>
    <n v="254.14054131008228"/>
    <x v="4"/>
    <n v="9.762677251918257"/>
    <n v="2.6643645582431001"/>
    <n v="0.2"/>
    <n v="1"/>
    <n v="0.3"/>
    <x v="0"/>
    <n v="0.26665293728288386"/>
    <n v="0.18"/>
    <n v="254.14054131008228"/>
    <n v="0.26665293728288386"/>
    <n v="50.852012904613261"/>
    <n v="207.47222267413508"/>
    <n v="105871.56364743896"/>
    <n v="64.395055548298515"/>
    <n v="335824.85845577397"/>
    <x v="3"/>
    <n v="6.7512234474960342E-6"/>
    <n v="2258715.6364743896"/>
    <n v="0.14867956507352126"/>
  </r>
  <r>
    <x v="4"/>
    <n v="1000"/>
    <n v="25"/>
    <x v="0"/>
    <n v="17.899746823749801"/>
    <n v="4.6549108309270641"/>
    <n v="20.909727656584401"/>
    <n v="11.47747557630114"/>
    <m/>
    <n v="0.34883051568198514"/>
    <n v="0.18"/>
    <n v="116.67527250128546"/>
    <n v="58.095571369934675"/>
    <n v="2.3486430499032434"/>
    <m/>
    <m/>
    <m/>
    <m/>
    <m/>
    <m/>
    <m/>
    <m/>
    <m/>
    <m/>
    <m/>
    <n v="0.20463062929558795"/>
    <m/>
    <m/>
    <m/>
    <m/>
    <m/>
    <m/>
    <m/>
    <m/>
    <m/>
    <m/>
    <m/>
    <n v="1411.489791660011"/>
    <n v="0.22261939071507938"/>
    <n v="0.15131989207080893"/>
    <n v="281.70922818677559"/>
    <n v="237.16826670838898"/>
    <x v="4"/>
    <n v="9.762677251918257"/>
    <n v="2.6643645582431001"/>
    <n v="0.2"/>
    <n v="1"/>
    <n v="0.3"/>
    <x v="0"/>
    <n v="0.26705366760197957"/>
    <n v="0.18"/>
    <n v="237.16826670838898"/>
    <n v="0.26705366760197957"/>
    <n v="51.66012389693136"/>
    <n v="208.15921075217236"/>
    <n v="106464.43173762847"/>
    <n v="64.850956196255183"/>
    <n v="330551.19886133267"/>
    <x v="3"/>
    <n v="6.6378237734246006E-6"/>
    <n v="2264644.3173762849"/>
    <n v="0.1459616401238206"/>
  </r>
  <r>
    <x v="5"/>
    <n v="1000"/>
    <n v="25"/>
    <x v="0"/>
    <n v="17.476859171344088"/>
    <n v="4.9222341657975033"/>
    <n v="20.626879355100332"/>
    <n v="11.527510293885767"/>
    <m/>
    <n v="0.35589030869890526"/>
    <n v="0.18"/>
    <n v="117.24876016134658"/>
    <n v="58.381125391541872"/>
    <n v="2.241448670493936"/>
    <m/>
    <m/>
    <m/>
    <m/>
    <m/>
    <m/>
    <m/>
    <m/>
    <m/>
    <m/>
    <m/>
    <n v="0.19444343256694452"/>
    <m/>
    <m/>
    <m/>
    <m/>
    <m/>
    <m/>
    <m/>
    <m/>
    <m/>
    <m/>
    <m/>
    <n v="1333.4376783641355"/>
    <n v="0.23863203352573062"/>
    <n v="0.12153780291300022"/>
    <n v="256.2022782010099"/>
    <n v="212.71334311716694"/>
    <x v="4"/>
    <n v="9.762677251918257"/>
    <n v="2.6643645582431001"/>
    <n v="0.2"/>
    <n v="1"/>
    <n v="0.3"/>
    <x v="0"/>
    <n v="0.26923361505452925"/>
    <n v="0.18"/>
    <n v="212.71334311716694"/>
    <n v="0.26923361505452925"/>
    <n v="53.058224454535434"/>
    <n v="209.81867751606086"/>
    <n v="107756.08413157698"/>
    <n v="65.742562826936108"/>
    <n v="323718.0159268477"/>
    <x v="3"/>
    <n v="6.4604895955972504E-6"/>
    <n v="2277560.8413157696"/>
    <n v="0.14213364141782162"/>
  </r>
  <r>
    <x v="6"/>
    <n v="1000"/>
    <n v="25"/>
    <x v="0"/>
    <n v="16.734796985527016"/>
    <n v="5.3776241568375092"/>
    <n v="20.123088128668126"/>
    <n v="11.613903275617879"/>
    <m/>
    <n v="0.36867409055334427"/>
    <n v="0.18"/>
    <n v="118.26278862232309"/>
    <n v="58.886035828542617"/>
    <n v="2.0731071838390083"/>
    <m/>
    <m/>
    <m/>
    <m/>
    <m/>
    <m/>
    <m/>
    <m/>
    <m/>
    <m/>
    <m/>
    <n v="0.17850219126512534"/>
    <m/>
    <m/>
    <m/>
    <m/>
    <m/>
    <m/>
    <m/>
    <m/>
    <m/>
    <m/>
    <m/>
    <n v="1212.6951206402607"/>
    <n v="0.26723652564917899"/>
    <n v="9.1840277981420901E-2"/>
    <n v="217.7836854009476"/>
    <n v="176.14152872075624"/>
    <x v="4"/>
    <n v="9.762677251918257"/>
    <n v="2.6643645582431001"/>
    <n v="0.2"/>
    <n v="1"/>
    <n v="0.3"/>
    <x v="0"/>
    <n v="0.27342023547859901"/>
    <n v="0.18"/>
    <n v="176.14152872075624"/>
    <n v="0.27342023547859901"/>
    <n v="55.387616646620998"/>
    <n v="212.7848026133988"/>
    <n v="109845.79341594415"/>
    <n v="67.006823275543567"/>
    <n v="311140.89107561158"/>
    <x v="3"/>
    <n v="6.1571449153801639E-6"/>
    <n v="2298457.9341594414"/>
    <n v="0.1353694085288524"/>
  </r>
  <r>
    <x v="7"/>
    <n v="1000"/>
    <n v="25"/>
    <x v="0"/>
    <n v="15.188646042669152"/>
    <n v="6.6117016753151372"/>
    <n v="19.226389827079878"/>
    <n v="11.761714232569998"/>
    <m/>
    <n v="0.39386569109439834"/>
    <n v="0.18"/>
    <n v="120.28419846580516"/>
    <n v="59.892546953927891"/>
    <n v="1.7367459512287038"/>
    <m/>
    <m/>
    <m/>
    <m/>
    <m/>
    <m/>
    <m/>
    <m/>
    <m/>
    <m/>
    <m/>
    <n v="0.14766095459277415"/>
    <m/>
    <m/>
    <m/>
    <m/>
    <m/>
    <m/>
    <m/>
    <m/>
    <m/>
    <m/>
    <m/>
    <n v="979.40484678504095"/>
    <n v="0.34388680011068562"/>
    <n v="6.0470767388130266E-2"/>
    <n v="148.82663642779383"/>
    <n v="111.03187117069079"/>
    <x v="4"/>
    <n v="9.762677251918257"/>
    <n v="2.6643645582431001"/>
    <n v="0.2"/>
    <n v="1"/>
    <n v="0.3"/>
    <x v="0"/>
    <n v="0.27956829496135566"/>
    <n v="0.18"/>
    <n v="111.03187117069079"/>
    <n v="0.27956829496135566"/>
    <n v="62.115072173508544"/>
    <n v="218.82330236339473"/>
    <n v="117318.5799847914"/>
    <n v="73.933876337867503"/>
    <n v="294653.14858753618"/>
    <x v="3"/>
    <n v="5.4416978426758818E-6"/>
    <n v="2373185.7998479139"/>
    <n v="0.12415932566528044"/>
  </r>
  <r>
    <x v="8"/>
    <n v="1000"/>
    <n v="25"/>
    <x v="0"/>
    <n v="10.617640015215688"/>
    <n v="4.1713754498233691"/>
    <n v="13.129018510024556"/>
    <n v="7.8009600103270209"/>
    <m/>
    <n v="0.39354000688150925"/>
    <n v="0.18"/>
    <n v="80.005734693347904"/>
    <n v="39.836880345235478"/>
    <n v="1.4116281907706618"/>
    <m/>
    <m/>
    <m/>
    <m/>
    <m/>
    <m/>
    <m/>
    <m/>
    <m/>
    <m/>
    <m/>
    <n v="0.18095570146519513"/>
    <m/>
    <m/>
    <m/>
    <m/>
    <m/>
    <m/>
    <m/>
    <m/>
    <m/>
    <m/>
    <m/>
    <n v="846.25980429777564"/>
    <n v="0.31772180430992225"/>
    <n v="4.5543149120085405E-2"/>
    <n v="166.86636255170365"/>
    <n v="140.44570891244535"/>
    <x v="4"/>
    <n v="9.762677251918257"/>
    <n v="2.6643645582431001"/>
    <n v="0.2"/>
    <n v="1"/>
    <n v="0.3"/>
    <x v="0"/>
    <n v="0.27999753864469057"/>
    <n v="0.18"/>
    <n v="140.44570891244535"/>
    <n v="0.27999753864469057"/>
    <n v="40.701467059871618"/>
    <n v="122.0368457358235"/>
    <n v="61453.549873143951"/>
    <n v="48.239462223049777"/>
    <n v="659803.46711625194"/>
    <x v="3"/>
    <n v="3.9666610245655628E-6"/>
    <n v="1814535.4987314395"/>
    <n v="0.36362114027393089"/>
  </r>
  <r>
    <x v="9"/>
    <n v="1000"/>
    <n v="25"/>
    <x v="0"/>
    <n v="3.6828648276805707"/>
    <n v="0.96472632071771502"/>
    <n v="4.2754768507212555"/>
    <n v="2.349879643855922"/>
    <m/>
    <n v="0.40544162981062387"/>
    <n v="0.18"/>
    <n v="24.048156170177929"/>
    <n v="11.974185644901874"/>
    <n v="0.68176600656926079"/>
    <m/>
    <m/>
    <m/>
    <m/>
    <m/>
    <m/>
    <m/>
    <m/>
    <m/>
    <m/>
    <m/>
    <n v="0.29012805330342351"/>
    <m/>
    <m/>
    <m/>
    <m/>
    <m/>
    <m/>
    <m/>
    <m/>
    <m/>
    <m/>
    <m/>
    <n v="640.34649723296957"/>
    <n v="0.22564180661040642"/>
    <n v="4.030631671270888E-2"/>
    <n v="308.62809782568559"/>
    <n v="299.46349394833919"/>
    <x v="4"/>
    <n v="9.762677251918257"/>
    <n v="2.6643645582431001"/>
    <n v="0.2"/>
    <n v="1"/>
    <n v="0.3"/>
    <x v="0"/>
    <n v="0.29553547644018918"/>
    <n v="0.18"/>
    <n v="299.46349394833919"/>
    <n v="0.29553547644018918"/>
    <n v="10.867157830787121"/>
    <n v="31.532939049348165"/>
    <n v="12430.160220100082"/>
    <n v="12.56660602338272"/>
    <n v="865159.00363965426"/>
    <x v="3"/>
    <n v="1.2976857544583961E-6"/>
    <n v="1324301.6022010008"/>
    <n v="0.65329453819413374"/>
  </r>
  <r>
    <x v="0"/>
    <n v="100"/>
    <n v="25"/>
    <x v="0"/>
    <n v="3.1516334064622002"/>
    <n v="0.57729844943744602"/>
    <n v="3.6504680861758887"/>
    <n v="2.983384156264735"/>
    <m/>
    <n v="0.54175381756975161"/>
    <n v="0.27"/>
    <n v="20.01960005500429"/>
    <n v="8.7222323891097524"/>
    <n v="1.0062564136753269"/>
    <m/>
    <m/>
    <m/>
    <m/>
    <m/>
    <m/>
    <m/>
    <m/>
    <m/>
    <m/>
    <m/>
    <n v="0.33728690673720774"/>
    <m/>
    <m/>
    <m/>
    <m/>
    <m/>
    <m/>
    <m/>
    <m/>
    <m/>
    <m/>
    <m/>
    <n v="878.74467783440571"/>
    <n v="0.15814367796383205"/>
    <n v="0.19053353875177964"/>
    <n v="383.45890478333035"/>
    <n v="375.61647099674235"/>
    <x v="5"/>
    <n v="14.644015877877388"/>
    <n v="3.9965468373646496"/>
    <n v="0.3"/>
    <n v="1"/>
    <n v="0.4"/>
    <x v="0"/>
    <n v="0.41920563783423154"/>
    <n v="0.27"/>
    <n v="375.61647099674235"/>
    <n v="0.41920563783423154"/>
    <n v="7.5644150957392533"/>
    <n v="70.228336562586691"/>
    <n v="24891.083840569947"/>
    <n v="13.845845435399355"/>
    <n v="17371.83075679162"/>
    <x v="0"/>
    <n v="1.9438748600258265E-6"/>
    <n v="1448910.8384056995"/>
    <n v="1.1989578859046021E-2"/>
  </r>
  <r>
    <x v="0"/>
    <n v="200"/>
    <n v="25"/>
    <x v="0"/>
    <n v="5.9195820649546551"/>
    <n v="0.97868101484672532"/>
    <n v="6.7169137353019845"/>
    <n v="5.5129414230564509"/>
    <m/>
    <n v="0.55487887620077703"/>
    <n v="0.27"/>
    <n v="37.073348053806832"/>
    <n v="16.152288571160653"/>
    <n v="1.5486302851245597"/>
    <m/>
    <m/>
    <m/>
    <m/>
    <m/>
    <m/>
    <m/>
    <m/>
    <m/>
    <m/>
    <m/>
    <n v="0.28090816975631455"/>
    <m/>
    <m/>
    <m/>
    <m/>
    <m/>
    <m/>
    <m/>
    <m/>
    <m/>
    <m/>
    <m/>
    <n v="1132.0028608987934"/>
    <n v="0.14570397260025628"/>
    <n v="0.21461771353680259"/>
    <n v="372.4180172857001"/>
    <n v="357.68771833651323"/>
    <x v="5"/>
    <n v="14.644015877877388"/>
    <n v="3.9965468373646496"/>
    <n v="0.3"/>
    <n v="1"/>
    <n v="0.4"/>
    <x v="0"/>
    <n v="0.44969791919072294"/>
    <n v="0.27"/>
    <n v="357.68771833651323"/>
    <n v="0.44969791919072294"/>
    <n v="13.214959928174393"/>
    <n v="102.2001786762708"/>
    <n v="39514.374773282529"/>
    <n v="20.996286493316003"/>
    <n v="48797.356390435627"/>
    <x v="0"/>
    <n v="3.3869958786939906E-6"/>
    <n v="1595143.7477328253"/>
    <n v="3.0591196849682804E-2"/>
  </r>
  <r>
    <x v="0"/>
    <n v="300"/>
    <n v="25"/>
    <x v="0"/>
    <n v="8.3301140617772056"/>
    <n v="1.3164366586180987"/>
    <n v="9.3675853006800764"/>
    <n v="7.7395903670446131"/>
    <m/>
    <n v="0.56602147892680321"/>
    <n v="0.27"/>
    <n v="52.131391173445465"/>
    <n v="22.712846776812341"/>
    <n v="1.9412314493803215"/>
    <m/>
    <m/>
    <m/>
    <m/>
    <m/>
    <m/>
    <m/>
    <m/>
    <m/>
    <m/>
    <m/>
    <n v="0.25081837116937583"/>
    <m/>
    <m/>
    <m/>
    <m/>
    <m/>
    <m/>
    <m/>
    <m/>
    <m/>
    <m/>
    <m/>
    <n v="1313.3510885061319"/>
    <n v="0.14053105644231784"/>
    <n v="0.22799533383566423"/>
    <n v="363.46366427050901"/>
    <n v="342.73536381597211"/>
    <x v="5"/>
    <n v="14.644015877877388"/>
    <n v="3.9965468373646496"/>
    <n v="0.3"/>
    <n v="1"/>
    <n v="0.4"/>
    <x v="0"/>
    <n v="0.46974657734502917"/>
    <n v="0.27"/>
    <n v="342.73536381597211"/>
    <n v="0.46974657734502917"/>
    <n v="17.961313864188707"/>
    <n v="125.18413032059627"/>
    <n v="51090.003653159365"/>
    <n v="26.517033516932489"/>
    <n v="84976.709631274498"/>
    <x v="0"/>
    <n v="4.416384883685896E-6"/>
    <n v="1710900.0365315937"/>
    <n v="4.9667840210900191E-2"/>
  </r>
  <r>
    <x v="0"/>
    <n v="400"/>
    <n v="25"/>
    <x v="0"/>
    <n v="10.452108075784389"/>
    <n v="1.6132732462831219"/>
    <n v="11.695094359824639"/>
    <n v="9.7292670367549885"/>
    <m/>
    <n v="0.57598938322945681"/>
    <n v="0.27"/>
    <n v="65.620196375582836"/>
    <n v="28.589712113843145"/>
    <n v="2.247559376424908"/>
    <m/>
    <m/>
    <m/>
    <m/>
    <m/>
    <m/>
    <m/>
    <m/>
    <m/>
    <m/>
    <m/>
    <n v="0.23101014371731526"/>
    <m/>
    <m/>
    <m/>
    <m/>
    <m/>
    <m/>
    <m/>
    <m/>
    <m/>
    <m/>
    <m/>
    <n v="1453.6514191608069"/>
    <n v="0.13794444034800518"/>
    <n v="0.23690382551865419"/>
    <n v="355.88037443928329"/>
    <n v="329.87173094835231"/>
    <x v="5"/>
    <n v="14.644015877877388"/>
    <n v="3.9965468373646496"/>
    <n v="0.3"/>
    <n v="1"/>
    <n v="0.4"/>
    <x v="0"/>
    <n v="0.48514886819508501"/>
    <n v="0.27"/>
    <n v="329.87173094835231"/>
    <n v="0.48514886819508501"/>
    <n v="22.076704879562733"/>
    <n v="143.46447514889954"/>
    <n v="60825.223005951557"/>
    <n v="31.075389210575992"/>
    <n v="123033.48994937462"/>
    <x v="0"/>
    <n v="5.1822654718813413E-6"/>
    <n v="1808252.2300595157"/>
    <n v="6.8040004543683141E-2"/>
  </r>
  <r>
    <x v="0"/>
    <n v="600"/>
    <n v="25"/>
    <x v="0"/>
    <n v="14.000545910538134"/>
    <n v="2.1161010824140738"/>
    <n v="15.582340547073359"/>
    <n v="13.134276211068977"/>
    <m/>
    <n v="0.59382506935719126"/>
    <n v="0.27"/>
    <n v="88.776251194036192"/>
    <n v="38.678449690347719"/>
    <n v="2.6973723446062738"/>
    <m/>
    <m/>
    <m/>
    <m/>
    <m/>
    <m/>
    <m/>
    <m/>
    <m/>
    <m/>
    <m/>
    <n v="0.20536893706659295"/>
    <m/>
    <m/>
    <m/>
    <m/>
    <m/>
    <m/>
    <m/>
    <m/>
    <m/>
    <m/>
    <m/>
    <n v="1657.5196274226844"/>
    <n v="0.13580123448216611"/>
    <n v="0.24855306387268894"/>
    <n v="343.67180314578889"/>
    <n v="308.83345511954656"/>
    <x v="5"/>
    <n v="14.644015877877388"/>
    <n v="3.9965468373646496"/>
    <n v="0.3"/>
    <n v="1"/>
    <n v="0.4"/>
    <x v="0"/>
    <n v="0.50920607787265282"/>
    <n v="0.27"/>
    <n v="308.83345511954656"/>
    <n v="0.50920607787265282"/>
    <n v="28.883079930007725"/>
    <n v="171.28994646252238"/>
    <n v="76375.978372707337"/>
    <n v="38.207691668752986"/>
    <n v="199204.57685281057"/>
    <x v="0"/>
    <n v="6.2298719054921976E-6"/>
    <n v="1963759.7837270733"/>
    <n v="0.1014403994335472"/>
  </r>
  <r>
    <x v="0"/>
    <n v="800"/>
    <n v="25"/>
    <x v="0"/>
    <n v="16.803451900245136"/>
    <n v="2.5222690672325907"/>
    <n v="18.651333845784698"/>
    <n v="15.909420371322064"/>
    <m/>
    <n v="0.61068526559348757"/>
    <n v="0.27"/>
    <n v="107.72103281129628"/>
    <n v="46.932400187494231"/>
    <n v="2.997315146696705"/>
    <m/>
    <m/>
    <m/>
    <m/>
    <m/>
    <m/>
    <m/>
    <m/>
    <m/>
    <m/>
    <m/>
    <n v="0.18839876480349924"/>
    <m/>
    <m/>
    <m/>
    <m/>
    <m/>
    <m/>
    <m/>
    <m/>
    <m/>
    <m/>
    <m/>
    <n v="1791.2314157977073"/>
    <n v="0.13523263741282701"/>
    <n v="0.25609894985211967"/>
    <n v="334.38687698661778"/>
    <n v="292.57384244935594"/>
    <x v="5"/>
    <n v="14.644015877877388"/>
    <n v="3.9965468373646496"/>
    <n v="0.3"/>
    <n v="1"/>
    <n v="0.4"/>
    <x v="0"/>
    <n v="0.52931302423481752"/>
    <n v="0.27"/>
    <n v="292.57384244935594"/>
    <n v="0.52931302423481752"/>
    <n v="34.20095256100646"/>
    <n v="191.30515746262893"/>
    <n v="87977.207935130005"/>
    <n v="43.393807306677147"/>
    <n v="270344.25237692997"/>
    <x v="0"/>
    <n v="6.8963683899306158E-6"/>
    <n v="2079772.0793512999"/>
    <n v="0.12998744192260378"/>
  </r>
  <r>
    <x v="0"/>
    <n v="1000"/>
    <n v="25"/>
    <x v="0"/>
    <n v="19.01632772398446"/>
    <n v="2.8495276374545595"/>
    <n v="21.07383814165587"/>
    <n v="18.170448445496405"/>
    <m/>
    <n v="0.62750793262696647"/>
    <n v="0.27"/>
    <n v="123.21078004491203"/>
    <n v="53.681045247783246"/>
    <n v="3.1907735507047938"/>
    <m/>
    <m/>
    <m/>
    <m/>
    <m/>
    <m/>
    <m/>
    <m/>
    <m/>
    <m/>
    <m/>
    <n v="0.17560235567524674"/>
    <m/>
    <m/>
    <m/>
    <m/>
    <m/>
    <m/>
    <m/>
    <m/>
    <m/>
    <m/>
    <m/>
    <n v="1875.3420265999405"/>
    <n v="0.13521635775601809"/>
    <n v="0.26148151492191357"/>
    <n v="327.27467664525608"/>
    <n v="279.95525124754118"/>
    <x v="5"/>
    <n v="14.644015877877388"/>
    <n v="3.9965468373646496"/>
    <n v="0.3"/>
    <n v="1"/>
    <n v="0.4"/>
    <x v="0"/>
    <n v="0.54793756734117005"/>
    <n v="0.27"/>
    <n v="279.95525124754118"/>
    <n v="0.54793756734117005"/>
    <n v="38.344511674789487"/>
    <n v="205.98007342395232"/>
    <n v="96597.821019510462"/>
    <n v="47.118566153699767"/>
    <n v="333272.69913250639"/>
    <x v="0"/>
    <n v="7.3465814152543523E-6"/>
    <n v="2165978.2101951046"/>
    <n v="0.15386705995647398"/>
  </r>
  <r>
    <x v="0"/>
    <n v="1300"/>
    <n v="25"/>
    <x v="0"/>
    <n v="21.545798141291346"/>
    <n v="3.2423852623394351"/>
    <n v="23.84831704072964"/>
    <n v="20.772349965723297"/>
    <m/>
    <n v="0.64336098965654853"/>
    <n v="0.27"/>
    <n v="141.11437945921881"/>
    <n v="61.481368644057994"/>
    <n v="3.4001275336059287"/>
    <m/>
    <m/>
    <m/>
    <m/>
    <m/>
    <m/>
    <m/>
    <m/>
    <m/>
    <m/>
    <m/>
    <n v="0.16368526137950304"/>
    <m/>
    <m/>
    <m/>
    <m/>
    <m/>
    <m/>
    <m/>
    <m/>
    <m/>
    <m/>
    <m/>
    <n v="1965.3372985042349"/>
    <n v="0.13595866143518168"/>
    <n v="0.26562745281108097"/>
    <n v="318.88715600260224"/>
    <n v="265.27353170126992"/>
    <x v="5"/>
    <n v="14.644015877877388"/>
    <n v="3.9965468373646496"/>
    <n v="0.3"/>
    <n v="1"/>
    <n v="0.4"/>
    <x v="0"/>
    <n v="0.56569464647801093"/>
    <n v="0.27"/>
    <n v="265.27353170126992"/>
    <n v="0.56569464647801093"/>
    <n v="43.143738560489638"/>
    <n v="220.79568413962664"/>
    <n v="106031.88770056015"/>
    <n v="51.734823167803668"/>
    <n v="413152.22045738524"/>
    <x v="0"/>
    <n v="7.786992562593129E-6"/>
    <n v="2260318.8770056013"/>
    <n v="0.1827849267908235"/>
  </r>
  <r>
    <x v="0"/>
    <n v="1600"/>
    <n v="25"/>
    <x v="0"/>
    <n v="23.397716376258746"/>
    <n v="3.5594531307025497"/>
    <n v="25.891038673368211"/>
    <n v="22.588602622442256"/>
    <m/>
    <n v="0.64309416176440026"/>
    <n v="0.27"/>
    <n v="153.69140162440942"/>
    <n v="66.960984110219869"/>
    <n v="3.5971899725515364"/>
    <m/>
    <m/>
    <m/>
    <m/>
    <m/>
    <m/>
    <m/>
    <m/>
    <m/>
    <m/>
    <m/>
    <n v="0.15924800806304201"/>
    <m/>
    <m/>
    <m/>
    <m/>
    <m/>
    <m/>
    <m/>
    <m/>
    <m/>
    <m/>
    <m/>
    <n v="2052.4466123188076"/>
    <n v="0.13747818987130245"/>
    <n v="0.26610610608574337"/>
    <n v="312.07373359287124"/>
    <n v="253.85162604303844"/>
    <x v="5"/>
    <n v="14.644015877877388"/>
    <n v="3.9965468373646496"/>
    <n v="0.3"/>
    <n v="1"/>
    <n v="0.4"/>
    <x v="0"/>
    <n v="0.5671274727395863"/>
    <n v="0.27"/>
    <n v="253.85162604303844"/>
    <n v="0.5671274727395863"/>
    <n v="46.920190659369823"/>
    <n v="229.08139945972434"/>
    <n v="112752.19584395745"/>
    <n v="56.356893243552065"/>
    <n v="477546.64420263941"/>
    <x v="0"/>
    <n v="8.0617805688607594E-6"/>
    <n v="2327521.9584395746"/>
    <n v="0.20517385130183602"/>
  </r>
  <r>
    <x v="0"/>
    <n v="1900"/>
    <n v="25"/>
    <x v="0"/>
    <n v="24.733508329178804"/>
    <n v="3.8060654507388816"/>
    <n v="27.371422392394098"/>
    <n v="23.90039739024197"/>
    <m/>
    <n v="0.64462583268572893"/>
    <n v="0.27"/>
    <n v="162.82232642283233"/>
    <n v="70.939187860570101"/>
    <n v="3.7063465266856817"/>
    <m/>
    <m/>
    <m/>
    <m/>
    <m/>
    <m/>
    <m/>
    <m/>
    <m/>
    <m/>
    <m/>
    <n v="0.15507468207197697"/>
    <m/>
    <m/>
    <m/>
    <m/>
    <m/>
    <m/>
    <m/>
    <m/>
    <m/>
    <m/>
    <m/>
    <n v="2098.6680051372405"/>
    <n v="0.13905252698144402"/>
    <n v="0.26606765825006345"/>
    <n v="307.04053062348135"/>
    <n v="245.49474179440222"/>
    <x v="5"/>
    <n v="14.644015877877388"/>
    <n v="3.9965468373646496"/>
    <n v="0.3"/>
    <n v="1"/>
    <n v="0.4"/>
    <x v="0"/>
    <n v="0.56944738407460471"/>
    <n v="0.27"/>
    <n v="245.49474179440222"/>
    <n v="0.56944738407460471"/>
    <n v="49.720223007434761"/>
    <n v="234.15688768921532"/>
    <n v="117284.71243902322"/>
    <n v="59.795647449125958"/>
    <n v="526597.61585537298"/>
    <x v="0"/>
    <n v="8.2456732129472009E-6"/>
    <n v="2372847.1243902324"/>
    <n v="0.22192648251230959"/>
  </r>
  <r>
    <x v="0"/>
    <n v="1000"/>
    <n v="25"/>
    <x v="1"/>
    <n v="17.586176303365697"/>
    <n v="4.6148669544676197"/>
    <n v="20.57265074957013"/>
    <n v="18.566796257178421"/>
    <m/>
    <n v="0.76710895205154084"/>
    <n v="0.27"/>
    <n v="127.50597832015441"/>
    <n v="55.552397193428263"/>
    <n v="1.8471887747672184"/>
    <m/>
    <m/>
    <m/>
    <m/>
    <m/>
    <m/>
    <m/>
    <m/>
    <m/>
    <m/>
    <m/>
    <n v="9.9488826676441058E-2"/>
    <m/>
    <m/>
    <m/>
    <m/>
    <m/>
    <m/>
    <m/>
    <m/>
    <m/>
    <m/>
    <m/>
    <n v="1006.8754365212998"/>
    <n v="0.22432048308427383"/>
    <n v="0.24104431680361665"/>
    <n v="127.04173018236524"/>
    <n v="83.281049137692776"/>
    <x v="5"/>
    <n v="14.644015877877388"/>
    <n v="3.9965468373646496"/>
    <n v="0.3"/>
    <n v="1"/>
    <n v="0.4"/>
    <x v="0"/>
    <n v="0.66372059331643896"/>
    <n v="0.27"/>
    <n v="83.281049137692776"/>
    <n v="0.66372059331643896"/>
    <n v="46.55419898928114"/>
    <n v="217.83206249307571"/>
    <n v="106121.21349992508"/>
    <n v="53.784325095173472"/>
    <n v="322942.74563565094"/>
    <x v="1"/>
    <n v="6.5470683817728447E-6"/>
    <n v="2261212.134999251"/>
    <n v="0.1428184205440583"/>
  </r>
  <r>
    <x v="0"/>
    <n v="1000"/>
    <n v="25"/>
    <x v="2"/>
    <n v="18.354849059138132"/>
    <n v="3.4288565310798234"/>
    <n v="20.715495724053522"/>
    <n v="18.323839156907745"/>
    <m/>
    <n v="0.66876589316409529"/>
    <n v="0.27"/>
    <n v="124.56388029888021"/>
    <n v="54.270570254698846"/>
    <n v="2.6609782041076357"/>
    <m/>
    <m/>
    <m/>
    <m/>
    <m/>
    <m/>
    <m/>
    <m/>
    <m/>
    <m/>
    <m/>
    <n v="0.14521946963851715"/>
    <m/>
    <m/>
    <m/>
    <m/>
    <m/>
    <m/>
    <m/>
    <m/>
    <m/>
    <m/>
    <m/>
    <n v="1513.5674230058594"/>
    <n v="0.16552133614154607"/>
    <n v="0.25761818696197702"/>
    <n v="228.75173420171922"/>
    <n v="183.07832095204168"/>
    <x v="5"/>
    <n v="14.644015877877388"/>
    <n v="3.9965468373646496"/>
    <n v="0.3"/>
    <n v="1"/>
    <n v="0.4"/>
    <x v="0"/>
    <n v="0.57627273168890392"/>
    <n v="0.27"/>
    <n v="183.07832095204168"/>
    <n v="0.57627273168890392"/>
    <n v="41.062222017908169"/>
    <n v="209.64337276718888"/>
    <n v="99324.358150361557"/>
    <n v="48.84398698300209"/>
    <n v="325458.04827501567"/>
    <x v="1"/>
    <n v="7.0271238567506103E-6"/>
    <n v="2193243.5815036157"/>
    <n v="0.14839120060339689"/>
  </r>
  <r>
    <x v="0"/>
    <n v="1000"/>
    <n v="25"/>
    <x v="0"/>
    <n v="19.014925340025584"/>
    <n v="2.8485844988030946"/>
    <n v="21.071871498669854"/>
    <n v="18.167906592971651"/>
    <m/>
    <n v="0.6270077762800873"/>
    <n v="0.27"/>
    <n v="123.19373816072456"/>
    <n v="53.67362036048165"/>
    <n v="3.1954334640698079"/>
    <m/>
    <m/>
    <m/>
    <m/>
    <m/>
    <m/>
    <m/>
    <m/>
    <m/>
    <m/>
    <m/>
    <n v="0.17588341550071476"/>
    <m/>
    <m/>
    <m/>
    <m/>
    <m/>
    <m/>
    <m/>
    <m/>
    <m/>
    <m/>
    <m/>
    <n v="1877.6877605458105"/>
    <n v="0.13518421935056454"/>
    <n v="0.26150641953371606"/>
    <n v="327.28696536807581"/>
    <n v="279.97102851090602"/>
    <x v="5"/>
    <n v="14.644015877877388"/>
    <n v="3.9965468373646496"/>
    <n v="0.3"/>
    <n v="1"/>
    <n v="0.4"/>
    <x v="0"/>
    <n v="0.54750848068346658"/>
    <n v="0.27"/>
    <n v="279.97102851090602"/>
    <n v="0.54750848068346658"/>
    <n v="38.341405104562504"/>
    <n v="205.93433298756216"/>
    <n v="96584.305111181806"/>
    <n v="47.127230709526657"/>
    <n v="333211.80637041118"/>
    <x v="1"/>
    <n v="7.3466236527730301E-6"/>
    <n v="2165843.0511118183"/>
    <n v="0.1538485469662077"/>
  </r>
  <r>
    <x v="0"/>
    <n v="1000"/>
    <n v="25"/>
    <x v="3"/>
    <n v="19.589391405303601"/>
    <n v="2.4778569371606149"/>
    <n v="21.453483932932787"/>
    <n v="18.020569970347452"/>
    <m/>
    <n v="0.59393395157854734"/>
    <n v="0.27"/>
    <n v="122.0578855740297"/>
    <n v="53.17874682685941"/>
    <n v="3.6507998906538983"/>
    <m/>
    <m/>
    <m/>
    <m/>
    <m/>
    <m/>
    <m/>
    <m/>
    <m/>
    <m/>
    <m/>
    <n v="0.20259070033085683"/>
    <m/>
    <m/>
    <m/>
    <m/>
    <m/>
    <m/>
    <m/>
    <m/>
    <m/>
    <m/>
    <m/>
    <n v="2201.2210999157537"/>
    <n v="0.11549904644424253"/>
    <n v="0.25969119681379754"/>
    <n v="424.56659430258048"/>
    <n v="375.82115458880497"/>
    <x v="5"/>
    <n v="14.644015877877388"/>
    <n v="3.9965468373646496"/>
    <n v="0.3"/>
    <n v="1"/>
    <n v="0.4"/>
    <x v="0"/>
    <n v="0.52423049021645729"/>
    <n v="0.27"/>
    <n v="375.82115458880497"/>
    <n v="0.52423049021645729"/>
    <n v="36.707825202364674"/>
    <n v="202.9075361236853"/>
    <n v="95328.669136436903"/>
    <n v="47.158087495866212"/>
    <n v="342274.00352838822"/>
    <x v="1"/>
    <n v="7.5856906372799383E-6"/>
    <n v="2153286.6913643689"/>
    <n v="0.15895421863751735"/>
  </r>
  <r>
    <x v="0"/>
    <n v="1000"/>
    <n v="25"/>
    <x v="4"/>
    <n v="20.009295766406662"/>
    <n v="2.1916134709305775"/>
    <n v="21.723868135863711"/>
    <n v="17.91741229773643"/>
    <m/>
    <n v="0.5754895686178525"/>
    <n v="0.27"/>
    <n v="121.27999894854865"/>
    <n v="52.839833566795058"/>
    <n v="3.9922352774774197"/>
    <m/>
    <m/>
    <m/>
    <m/>
    <m/>
    <m/>
    <m/>
    <m/>
    <m/>
    <m/>
    <m/>
    <n v="0.22281316136157522"/>
    <m/>
    <m/>
    <m/>
    <m/>
    <m/>
    <m/>
    <m/>
    <m/>
    <m/>
    <m/>
    <m/>
    <n v="2468.8804657779051"/>
    <n v="0.10088504759944042"/>
    <n v="0.25836144306038944"/>
    <n v="522.55308869083194"/>
    <n v="472.76282703919657"/>
    <x v="5"/>
    <n v="14.644015877877388"/>
    <n v="3.9965468373646496"/>
    <n v="0.3"/>
    <n v="1"/>
    <n v="0.4"/>
    <x v="0"/>
    <n v="0.51273546293954997"/>
    <n v="0.27"/>
    <n v="472.76282703919657"/>
    <n v="0.51273546293954997"/>
    <n v="35.325022725005013"/>
    <n v="200.85905794187286"/>
    <n v="94126.28417454072"/>
    <n v="46.647195654831904"/>
    <n v="348080.33584188961"/>
    <x v="1"/>
    <n v="7.7727288929214426E-6"/>
    <n v="2141262.8417454073"/>
    <n v="0.16255843470302736"/>
  </r>
  <r>
    <x v="0"/>
    <n v="1000"/>
    <n v="25"/>
    <x v="5"/>
    <n v="20.329594676803875"/>
    <n v="1.9659878491542195"/>
    <n v="21.926071967381962"/>
    <n v="17.839477988182075"/>
    <m/>
    <n v="0.56293052882748706"/>
    <n v="0.27"/>
    <n v="120.7012459112993"/>
    <n v="52.587679753885588"/>
    <n v="4.2692498425969365"/>
    <m/>
    <m/>
    <m/>
    <m/>
    <m/>
    <m/>
    <m/>
    <m/>
    <m/>
    <m/>
    <m/>
    <n v="0.23931472913193649"/>
    <m/>
    <m/>
    <m/>
    <m/>
    <m/>
    <m/>
    <m/>
    <m/>
    <m/>
    <m/>
    <m/>
    <n v="2705.0379615708607"/>
    <n v="8.9664389138140926E-2"/>
    <n v="0.25733773661889486"/>
    <n v="621.00033619666499"/>
    <n v="570.413040272393"/>
    <x v="5"/>
    <n v="14.644015877877388"/>
    <n v="3.9965468373646496"/>
    <n v="0.3"/>
    <n v="1"/>
    <n v="0.4"/>
    <x v="0"/>
    <n v="0.50545461296772498"/>
    <n v="0.27"/>
    <n v="570.413040272393"/>
    <n v="0.50545461296772498"/>
    <n v="34.188618995053055"/>
    <n v="199.34758714744399"/>
    <n v="93091.467467291674"/>
    <n v="46.045759252946745"/>
    <n v="352110.5102678751"/>
    <x v="1"/>
    <n v="7.9212532844928472E-6"/>
    <n v="2130914.6746729165"/>
    <n v="0.16523914094398082"/>
  </r>
  <r>
    <x v="0"/>
    <n v="1000"/>
    <n v="25"/>
    <x v="6"/>
    <n v="20.58226533694711"/>
    <n v="1.7841566703416083"/>
    <n v="22.083464946194873"/>
    <n v="17.778223950387027"/>
    <m/>
    <n v="0.55331733546121153"/>
    <n v="0.27"/>
    <n v="120.25109538074864"/>
    <n v="52.391556078749403"/>
    <n v="4.5040551801980975"/>
    <m/>
    <m/>
    <m/>
    <m/>
    <m/>
    <m/>
    <m/>
    <m/>
    <m/>
    <m/>
    <m/>
    <n v="0.25334674558985099"/>
    <m/>
    <m/>
    <m/>
    <m/>
    <m/>
    <m/>
    <m/>
    <m/>
    <m/>
    <m/>
    <m/>
    <n v="2920.5760762629948"/>
    <n v="8.0791518662882214E-2"/>
    <n v="0.25652348078220244"/>
    <n v="719.76459513886687"/>
    <n v="668.54848616394861"/>
    <x v="5"/>
    <n v="14.644015877877388"/>
    <n v="3.9965468373646496"/>
    <n v="0.3"/>
    <n v="1"/>
    <n v="0.4"/>
    <x v="0"/>
    <n v="0.50005158602263844"/>
    <n v="0.27"/>
    <n v="668.54848616394861"/>
    <n v="0.50005158602263844"/>
    <n v="33.250962588372346"/>
    <n v="198.17930215086849"/>
    <n v="92218.751954896536"/>
    <n v="45.469207479914211"/>
    <n v="355069.47401777375"/>
    <x v="1"/>
    <n v="8.041602022758447E-6"/>
    <n v="2122187.5195489656"/>
    <n v="0.16731295926819778"/>
  </r>
  <r>
    <x v="0"/>
    <n v="1000"/>
    <n v="25"/>
    <x v="7"/>
    <n v="20.787002874257901"/>
    <n v="1.6346205131294909"/>
    <n v="22.209797436427394"/>
    <n v="17.728715237228084"/>
    <m/>
    <n v="0.54539110818733305"/>
    <n v="0.27"/>
    <n v="119.88997830070127"/>
    <n v="52.234222911093909"/>
    <n v="4.7088888013058643"/>
    <m/>
    <m/>
    <m/>
    <m/>
    <m/>
    <m/>
    <m/>
    <m/>
    <m/>
    <m/>
    <m/>
    <n v="0.26560801153925623"/>
    <m/>
    <m/>
    <m/>
    <m/>
    <m/>
    <m/>
    <m/>
    <m/>
    <m/>
    <m/>
    <m/>
    <n v="3121.4748796504114"/>
    <n v="7.3599073463338674E-2"/>
    <n v="0.25585897438512845"/>
    <n v="818.75601422927411"/>
    <n v="767.03047899747901"/>
    <x v="5"/>
    <n v="14.644015877877388"/>
    <n v="3.9965468373646496"/>
    <n v="0.3"/>
    <n v="1"/>
    <n v="0.4"/>
    <x v="0"/>
    <n v="0.4956031326319208"/>
    <n v="0.27"/>
    <n v="767.03047899747901"/>
    <n v="0.4956031326319208"/>
    <n v="32.468239787704306"/>
    <n v="197.24666910029831"/>
    <n v="91481.992148713587"/>
    <n v="44.947053141600477"/>
    <n v="357335.66157858993"/>
    <x v="1"/>
    <n v="8.1409985898285078E-6"/>
    <n v="2114819.9214871358"/>
    <n v="0.1689674179574176"/>
  </r>
  <r>
    <x v="0"/>
    <n v="1000"/>
    <n v="25"/>
    <x v="8"/>
    <n v="20.956322171642952"/>
    <n v="1.5094213578959295"/>
    <n v="22.313441032480004"/>
    <n v="17.687714003937952"/>
    <m/>
    <n v="0.53851853687364371"/>
    <n v="0.27"/>
    <n v="119.59265186692085"/>
    <n v="52.104682348658464"/>
    <n v="4.8915186449029147"/>
    <m/>
    <m/>
    <m/>
    <m/>
    <m/>
    <m/>
    <m/>
    <m/>
    <m/>
    <m/>
    <m/>
    <n v="0.27654894486726089"/>
    <m/>
    <m/>
    <m/>
    <m/>
    <m/>
    <m/>
    <m/>
    <m/>
    <m/>
    <m/>
    <m/>
    <n v="3311.530094851154"/>
    <n v="6.7646283497860227E-2"/>
    <n v="0.25530966062394395"/>
    <n v="917.91802111824359"/>
    <n v="865.77077239969776"/>
    <x v="5"/>
    <n v="14.644015877877388"/>
    <n v="3.9965468373646496"/>
    <n v="0.3"/>
    <n v="1"/>
    <n v="0.4"/>
    <x v="0"/>
    <n v="0.49168028416739268"/>
    <n v="0.27"/>
    <n v="865.77077239969776"/>
    <n v="0.49168028416739268"/>
    <n v="31.805984351111725"/>
    <n v="196.48181752460536"/>
    <n v="90853.739865848096"/>
    <n v="44.481455231029315"/>
    <n v="359120.29822194861"/>
    <x v="1"/>
    <n v="8.2244799128420996E-6"/>
    <n v="2108537.398658481"/>
    <n v="0.17031725330100023"/>
  </r>
  <r>
    <x v="0"/>
    <n v="1000"/>
    <n v="25"/>
    <x v="9"/>
    <n v="21.099690017903654"/>
    <n v="1.4031352125257965"/>
    <n v="22.401064872080727"/>
    <n v="17.653606519843628"/>
    <m/>
    <n v="0.53241672128243334"/>
    <n v="0.27"/>
    <n v="119.34620632785402"/>
    <n v="51.997309810890748"/>
    <n v="5.0558573481250768"/>
    <m/>
    <m/>
    <m/>
    <m/>
    <m/>
    <m/>
    <m/>
    <m/>
    <m/>
    <m/>
    <m/>
    <n v="0.28639232116349789"/>
    <m/>
    <m/>
    <m/>
    <m/>
    <m/>
    <m/>
    <m/>
    <m/>
    <m/>
    <m/>
    <m/>
    <n v="3492.626430538035"/>
    <n v="6.2636987149417872E-2"/>
    <n v="0.25483231053535954"/>
    <n v="1017.2016689187616"/>
    <n v="964.69775647549613"/>
    <x v="5"/>
    <n v="14.644015877877388"/>
    <n v="3.9965468373646496"/>
    <n v="0.3"/>
    <n v="1"/>
    <n v="0.4"/>
    <x v="0"/>
    <n v="0.48812239556711712"/>
    <n v="0.27"/>
    <n v="964.69775647549613"/>
    <n v="0.48812239556711712"/>
    <n v="31.240251479175722"/>
    <n v="195.84991459376775"/>
    <n v="90319.476104208399"/>
    <n v="44.072984571902651"/>
    <n v="360597.04745573865"/>
    <x v="1"/>
    <n v="8.295608810599769E-6"/>
    <n v="2103194.7610420841"/>
    <n v="0.17145204720701721"/>
  </r>
  <r>
    <x v="0"/>
    <n v="1000"/>
    <n v="25"/>
    <x v="0"/>
    <n v="19.013363172196449"/>
    <n v="2.8475521652238633"/>
    <n v="21.069690965088046"/>
    <n v="18.165122198986758"/>
    <m/>
    <n v="0.62646304844387524"/>
    <n v="0.27"/>
    <n v="123.17506966417305"/>
    <n v="53.665486783145937"/>
    <n v="3.2005225449983215"/>
    <m/>
    <m/>
    <m/>
    <m/>
    <m/>
    <m/>
    <m/>
    <m/>
    <m/>
    <m/>
    <m/>
    <n v="0.1761905320503071"/>
    <m/>
    <m/>
    <m/>
    <m/>
    <m/>
    <m/>
    <m/>
    <m/>
    <m/>
    <m/>
    <m/>
    <n v="1880.2497732360655"/>
    <n v="0.13514921362359736"/>
    <n v="0.26153404411879888"/>
    <n v="327.30061879225235"/>
    <n v="279.98850073690318"/>
    <x v="5"/>
    <n v="14.644015877877388"/>
    <n v="3.9965468373646496"/>
    <n v="0.3"/>
    <n v="1"/>
    <n v="0.4"/>
    <x v="0"/>
    <n v="0.54704147241345291"/>
    <n v="0.27"/>
    <n v="279.98850073690318"/>
    <n v="0.54704147241345291"/>
    <n v="38.337950808443551"/>
    <n v="205.88423794222311"/>
    <n v="96569.319709875126"/>
    <n v="47.136446169642525"/>
    <n v="333144.14519470406"/>
    <x v="2"/>
    <n v="7.3466680384770369E-6"/>
    <n v="2165693.1970987516"/>
    <n v="0.15382795016440795"/>
  </r>
  <r>
    <x v="0"/>
    <n v="1000"/>
    <n v="25"/>
    <x v="0"/>
    <n v="18.355320357315108"/>
    <n v="2.7355547767733945"/>
    <n v="20.323347270012373"/>
    <n v="17.559381574616896"/>
    <m/>
    <n v="0.63208643330937309"/>
    <n v="0.27"/>
    <n v="119.11011651241137"/>
    <n v="51.894449102917818"/>
    <n v="3.0908815587223728"/>
    <m/>
    <m/>
    <m/>
    <m/>
    <m/>
    <m/>
    <m/>
    <m/>
    <m/>
    <m/>
    <m/>
    <n v="0.17602451120433657"/>
    <m/>
    <m/>
    <m/>
    <m/>
    <m/>
    <m/>
    <m/>
    <m/>
    <m/>
    <m/>
    <m/>
    <n v="1829.9809513196808"/>
    <n v="0.13460158606893347"/>
    <n v="0.26302581651030094"/>
    <n v="330.21475762020395"/>
    <n v="284.54017195849372"/>
    <x v="5"/>
    <n v="14.644015877877388"/>
    <n v="3.9965468373646496"/>
    <n v="0.3"/>
    <n v="1"/>
    <n v="0.4"/>
    <x v="1"/>
    <n v="0.55195833299016184"/>
    <n v="0.27"/>
    <n v="284.54017195849372"/>
    <n v="0.55195833299016184"/>
    <n v="36.917618383025498"/>
    <n v="195.24630531278265"/>
    <n v="90583.536158644827"/>
    <n v="44.853504411444781"/>
    <n v="378894.43208701519"/>
    <x v="2"/>
    <n v="7.1160884543502475E-6"/>
    <n v="2105835.3615864483"/>
    <n v="0.17992595195171002"/>
  </r>
  <r>
    <x v="0"/>
    <n v="1000"/>
    <n v="25"/>
    <x v="0"/>
    <n v="16.049701093303483"/>
    <n v="2.3678579100729191"/>
    <n v="17.730320244987162"/>
    <n v="15.354665208195792"/>
    <m/>
    <n v="0.6387280630259522"/>
    <n v="0.27"/>
    <n v="104.28489799167015"/>
    <n v="45.435329000520191"/>
    <n v="2.7767271173900578"/>
    <m/>
    <m/>
    <m/>
    <m/>
    <m/>
    <m/>
    <m/>
    <m/>
    <m/>
    <m/>
    <m/>
    <n v="0.18083931363791225"/>
    <m/>
    <m/>
    <m/>
    <m/>
    <m/>
    <m/>
    <m/>
    <m/>
    <m/>
    <m/>
    <m/>
    <n v="1688.0537719645952"/>
    <n v="0.13354851335764092"/>
    <n v="0.26584505683765136"/>
    <n v="339.6276113454129"/>
    <n v="299.69021326956624"/>
    <x v="5"/>
    <n v="14.644015877877388"/>
    <n v="3.9965468373646496"/>
    <n v="0.3"/>
    <n v="1"/>
    <n v="0.4"/>
    <x v="2"/>
    <n v="0.5568294906932959"/>
    <n v="0.27"/>
    <n v="299.69021326956624"/>
    <n v="0.5568294906932959"/>
    <n v="32.212430539681868"/>
    <n v="160.37190361073462"/>
    <n v="72049.468229817765"/>
    <n v="38.304175048152473"/>
    <n v="501427.58933783229"/>
    <x v="2"/>
    <n v="6.3302267280976683E-6"/>
    <n v="1920494.6822981776"/>
    <n v="0.26109293296131098"/>
  </r>
  <r>
    <x v="0"/>
    <n v="1000"/>
    <n v="25"/>
    <x v="0"/>
    <n v="13.935118615017801"/>
    <n v="2.0556975631964547"/>
    <n v="15.375981401088062"/>
    <n v="13.283854052012725"/>
    <m/>
    <n v="0.63631694506290282"/>
    <n v="0.27"/>
    <n v="90.318758025393407"/>
    <n v="39.35049623512991"/>
    <n v="2.5094682275407472"/>
    <m/>
    <m/>
    <m/>
    <m/>
    <m/>
    <m/>
    <m/>
    <m/>
    <m/>
    <m/>
    <m/>
    <n v="0.188911156183662"/>
    <m/>
    <m/>
    <m/>
    <m/>
    <m/>
    <m/>
    <m/>
    <m/>
    <m/>
    <m/>
    <m/>
    <n v="1567.693302793667"/>
    <n v="0.13369537264470063"/>
    <n v="0.26611411986320943"/>
    <n v="347.63480185801166"/>
    <n v="312.9591890232935"/>
    <x v="5"/>
    <n v="14.644015877877388"/>
    <n v="3.9965468373646496"/>
    <n v="0.3"/>
    <n v="1"/>
    <n v="0.4"/>
    <x v="3"/>
    <n v="0.55269696366628451"/>
    <n v="0.27"/>
    <n v="312.9591890232935"/>
    <n v="0.55269696366628451"/>
    <n v="28.103277715280569"/>
    <n v="131.92014687816939"/>
    <n v="57721.50381133605"/>
    <n v="33.285454910644347"/>
    <n v="577651.20434195548"/>
    <x v="2"/>
    <n v="5.6031100903391822E-6"/>
    <n v="1777215.0381133605"/>
    <n v="0.32503168831790502"/>
  </r>
  <r>
    <x v="0"/>
    <n v="1000"/>
    <n v="25"/>
    <x v="0"/>
    <n v="12.718097534845567"/>
    <n v="1.8781068820547917"/>
    <n v="14.026098838883872"/>
    <n v="12.10560586186344"/>
    <m/>
    <n v="0.63377343152664278"/>
    <n v="0.27"/>
    <n v="82.355310650934612"/>
    <n v="35.880944474473587"/>
    <n v="2.3616142937044859"/>
    <m/>
    <m/>
    <m/>
    <m/>
    <m/>
    <m/>
    <m/>
    <m/>
    <m/>
    <m/>
    <m/>
    <n v="0.19508435353445069"/>
    <m/>
    <m/>
    <m/>
    <m/>
    <m/>
    <m/>
    <m/>
    <m/>
    <m/>
    <m/>
    <m/>
    <n v="1501.4311453208907"/>
    <n v="0.13390087319563207"/>
    <n v="0.26646603044953504"/>
    <n v="352.27122379017766"/>
    <n v="320.62399846864878"/>
    <x v="5"/>
    <n v="14.644015877877388"/>
    <n v="3.9965468373646496"/>
    <n v="0.3"/>
    <n v="1"/>
    <n v="0.4"/>
    <x v="4"/>
    <n v="0.5491729259698771"/>
    <n v="0.27"/>
    <n v="320.62399846864878"/>
    <n v="0.5491729259698771"/>
    <n v="25.746696205355331"/>
    <n v="117.16490597816188"/>
    <n v="50404.270703459784"/>
    <n v="30.414239226202088"/>
    <n v="604685.52300580393"/>
    <x v="2"/>
    <n v="5.1864767605086354E-6"/>
    <n v="1704042.7070345979"/>
    <n v="0.35485350250293157"/>
  </r>
  <r>
    <x v="0"/>
    <n v="1000"/>
    <n v="25"/>
    <x v="0"/>
    <n v="11.245138539281902"/>
    <n v="1.674213649761001"/>
    <n v="12.401048909943579"/>
    <n v="10.684825238955195"/>
    <m/>
    <n v="0.63454494154887098"/>
    <n v="0.27"/>
    <n v="72.737983456826043"/>
    <n v="31.69082266791176"/>
    <n v="2.1423812998871679"/>
    <m/>
    <m/>
    <m/>
    <m/>
    <m/>
    <m/>
    <m/>
    <m/>
    <m/>
    <m/>
    <m/>
    <n v="0.20050691068641741"/>
    <m/>
    <m/>
    <m/>
    <m/>
    <m/>
    <m/>
    <m/>
    <m/>
    <m/>
    <m/>
    <m/>
    <n v="1400.9372466373111"/>
    <n v="0.13500580974392901"/>
    <n v="0.26602181782927176"/>
    <n v="357.72851027392483"/>
    <n v="329.74659669372738"/>
    <x v="5"/>
    <n v="14.644015877877388"/>
    <n v="3.9965468373646496"/>
    <n v="0.3"/>
    <n v="1"/>
    <n v="0.4"/>
    <x v="5"/>
    <n v="0.54785992582112553"/>
    <n v="0.27"/>
    <n v="329.74659669372738"/>
    <n v="0.54785992582112553"/>
    <n v="22.939308903939256"/>
    <n v="100.49942034314039"/>
    <n v="42313.649675073015"/>
    <n v="27.021997969330307"/>
    <n v="634753.70882205293"/>
    <x v="2"/>
    <n v="4.6491818223969313E-6"/>
    <n v="1623136.4967507301"/>
    <n v="0.39106613035486071"/>
  </r>
  <r>
    <x v="0"/>
    <n v="1000"/>
    <n v="25"/>
    <x v="0"/>
    <n v="9.2890474225905297"/>
    <n v="1.398745146453177"/>
    <n v="10.245103819060757"/>
    <n v="8.8229874845845124"/>
    <m/>
    <n v="0.63058751405634039"/>
    <n v="0.27"/>
    <n v="60.112157192521622"/>
    <n v="26.189944005040537"/>
    <n v="1.884261502181805"/>
    <m/>
    <m/>
    <m/>
    <m/>
    <m/>
    <m/>
    <m/>
    <m/>
    <m/>
    <m/>
    <m/>
    <n v="0.21356275359950119"/>
    <m/>
    <m/>
    <m/>
    <m/>
    <m/>
    <m/>
    <m/>
    <m/>
    <m/>
    <m/>
    <m/>
    <n v="1284.1743177759647"/>
    <n v="0.13652815736731208"/>
    <n v="0.266607040264143"/>
    <n v="365.15828159156138"/>
    <n v="342.04356668506171"/>
    <x v="5"/>
    <n v="14.644015877877388"/>
    <n v="3.9965468373646496"/>
    <n v="0.3"/>
    <n v="1"/>
    <n v="0.4"/>
    <x v="6"/>
    <n v="0.54161197912280512"/>
    <n v="0.27"/>
    <n v="342.04356668506171"/>
    <n v="0.54161197912280512"/>
    <n v="19.175808659452315"/>
    <n v="80.216964434761877"/>
    <n v="32685.874483439296"/>
    <n v="22.456564862693639"/>
    <n v="653858.24826823222"/>
    <x v="2"/>
    <n v="3.9197063176073962E-6"/>
    <n v="1526858.744834393"/>
    <n v="0.42823755012068998"/>
  </r>
  <r>
    <x v="0"/>
    <n v="1000"/>
    <n v="25"/>
    <x v="0"/>
    <n v="8.0478200795456445"/>
    <n v="1.2288286247145948"/>
    <n v="8.8816674226109669"/>
    <n v="7.6466181798261177"/>
    <m/>
    <n v="0.62965975028374022"/>
    <n v="0.27"/>
    <n v="52.122679246172908"/>
    <n v="22.709051123851268"/>
    <n v="1.6985342628476392"/>
    <m/>
    <m/>
    <m/>
    <m/>
    <m/>
    <m/>
    <m/>
    <m/>
    <m/>
    <m/>
    <m/>
    <n v="0.22212881863630118"/>
    <m/>
    <m/>
    <m/>
    <m/>
    <m/>
    <m/>
    <m/>
    <m/>
    <m/>
    <m/>
    <m/>
    <n v="1199.0460699656019"/>
    <n v="0.1383556224573598"/>
    <n v="0.26652645053738089"/>
    <n v="369.8047977477683"/>
    <n v="349.77893854178109"/>
    <x v="5"/>
    <n v="14.644015877877388"/>
    <n v="3.9965468373646496"/>
    <n v="0.3"/>
    <n v="1"/>
    <n v="0.4"/>
    <x v="7"/>
    <n v="0.53865889197016703"/>
    <n v="0.27"/>
    <n v="349.77893854178109"/>
    <n v="0.53865889197016703"/>
    <n v="16.799460848220939"/>
    <n v="68.168553638061255"/>
    <n v="27169.910330021154"/>
    <n v="19.604658645149062"/>
    <n v="657960.0392155567"/>
    <x v="2"/>
    <n v="3.434746944574835E-6"/>
    <n v="1471699.1033002115"/>
    <n v="0.4470751104897151"/>
  </r>
  <r>
    <x v="0"/>
    <n v="1000"/>
    <n v="25"/>
    <x v="0"/>
    <n v="6.5159738805746805"/>
    <n v="1.0204581132627528"/>
    <n v="7.201574585821926"/>
    <n v="6.2019564941884671"/>
    <m/>
    <n v="0.62971123991913291"/>
    <n v="0.27"/>
    <n v="42.299209464442505"/>
    <n v="18.429116156707313"/>
    <n v="1.4526659218332476"/>
    <m/>
    <m/>
    <m/>
    <m/>
    <m/>
    <m/>
    <m/>
    <m/>
    <m/>
    <m/>
    <m/>
    <n v="0.2342270416108958"/>
    <m/>
    <m/>
    <m/>
    <m/>
    <m/>
    <m/>
    <m/>
    <m/>
    <m/>
    <m/>
    <m/>
    <n v="1085.6459090332776"/>
    <n v="0.14169930493697533"/>
    <n v="0.26625188995799554"/>
    <n v="375.5270323842484"/>
    <n v="359.31294811665481"/>
    <x v="5"/>
    <n v="14.644015877877388"/>
    <n v="3.9965468373646496"/>
    <n v="0.3"/>
    <n v="1"/>
    <n v="0.4"/>
    <x v="8"/>
    <n v="0.53575598705727023"/>
    <n v="0.27"/>
    <n v="359.31294811665481"/>
    <n v="0.53575598705727023"/>
    <n v="13.85507979776381"/>
    <n v="54.061420761745794"/>
    <n v="20929.860063004478"/>
    <n v="16.087238684601761"/>
    <n v="653976.21366854548"/>
    <x v="2"/>
    <n v="2.8101588687176636E-6"/>
    <n v="1409298.6006300447"/>
    <n v="0.46404375437269091"/>
  </r>
  <r>
    <x v="0"/>
    <n v="1000"/>
    <n v="25"/>
    <x v="0"/>
    <n v="4.4258979232148334"/>
    <n v="0.73264156993256568"/>
    <n v="4.9102109191315826"/>
    <n v="4.2408227726873902"/>
    <m/>
    <n v="0.63149536243530036"/>
    <n v="0.27"/>
    <n v="28.944577952585039"/>
    <n v="12.61070823660344"/>
    <n v="1.0880346042619289"/>
    <m/>
    <m/>
    <m/>
    <m/>
    <m/>
    <m/>
    <m/>
    <m/>
    <m/>
    <m/>
    <m/>
    <n v="0.25656214904082075"/>
    <m/>
    <m/>
    <m/>
    <m/>
    <m/>
    <m/>
    <m/>
    <m/>
    <m/>
    <m/>
    <m/>
    <n v="916.36125565243424"/>
    <n v="0.14920775950336168"/>
    <n v="0.26593413528144061"/>
    <n v="383.35716504189708"/>
    <n v="372.3439535214697"/>
    <x v="5"/>
    <n v="14.644015877877388"/>
    <n v="3.9965468373646496"/>
    <n v="0.3"/>
    <n v="1"/>
    <n v="0.4"/>
    <x v="9"/>
    <n v="0.53312646562643973"/>
    <n v="0.27"/>
    <n v="372.3439535214697"/>
    <n v="0.53312646562643973"/>
    <n v="9.7730188685277177"/>
    <n v="35.949836029082242"/>
    <n v="13330.043209287742"/>
    <n v="11.247048351104214"/>
    <n v="619781.53729581926"/>
    <x v="2"/>
    <n v="1.9180199315639601E-6"/>
    <n v="1333300.4320928773"/>
    <n v="0.46484762351944203"/>
  </r>
  <r>
    <x v="0"/>
    <n v="1000"/>
    <n v="25"/>
    <x v="0"/>
    <n v="19.015854555025172"/>
    <n v="2.8492117545228339"/>
    <n v="21.073175801199788"/>
    <n v="18.169593910318646"/>
    <m/>
    <n v="0.62734090405325349"/>
    <n v="0.27"/>
    <n v="123.20505090157044"/>
    <n v="53.67854914798712"/>
    <n v="3.1923278575893086"/>
    <m/>
    <m/>
    <m/>
    <m/>
    <m/>
    <m/>
    <m/>
    <m/>
    <m/>
    <m/>
    <m/>
    <n v="0.17569615883249665"/>
    <m/>
    <m/>
    <m/>
    <m/>
    <m/>
    <m/>
    <m/>
    <m/>
    <m/>
    <m/>
    <m/>
    <n v="1876.1244415597848"/>
    <n v="0.13520561786233548"/>
    <n v="0.26148981628935891"/>
    <n v="327.2787949264432"/>
    <n v="279.96051276513134"/>
    <x v="5"/>
    <n v="14.644015877877388"/>
    <n v="3.9965468373646496"/>
    <n v="0.3"/>
    <n v="1"/>
    <n v="0.4"/>
    <x v="0"/>
    <n v="0.54779424399660637"/>
    <n v="0.27"/>
    <n v="279.96051276513134"/>
    <n v="0.54779424399660637"/>
    <n v="38.343463889828385"/>
    <n v="205.9646953056305"/>
    <n v="96593.258874754523"/>
    <n v="47.12145225964867"/>
    <n v="333252.14892187715"/>
    <x v="3"/>
    <n v="7.3465957363024804E-6"/>
    <n v="2165932.5887475451"/>
    <n v="0.15386081296028742"/>
  </r>
  <r>
    <x v="1"/>
    <n v="1000"/>
    <n v="25"/>
    <x v="0"/>
    <n v="18.953248215678855"/>
    <n v="2.88805890492669"/>
    <n v="21.030706190837517"/>
    <n v="18.186929931849981"/>
    <m/>
    <n v="0.63193269965077714"/>
    <n v="0.27"/>
    <n v="123.34002285282426"/>
    <n v="53.737354354964928"/>
    <n v="3.1411291677381925"/>
    <m/>
    <m/>
    <m/>
    <m/>
    <m/>
    <m/>
    <m/>
    <m/>
    <m/>
    <m/>
    <m/>
    <n v="0.17271354645938725"/>
    <m/>
    <m/>
    <m/>
    <m/>
    <m/>
    <m/>
    <m/>
    <m/>
    <m/>
    <m/>
    <m/>
    <n v="1841.9220561462462"/>
    <n v="0.13732581677095254"/>
    <n v="0.23261205504984503"/>
    <n v="318.51992274597512"/>
    <n v="271.3574722771487"/>
    <x v="5"/>
    <n v="14.644015877877388"/>
    <n v="3.9965468373646496"/>
    <n v="0.3"/>
    <n v="1"/>
    <n v="0.4"/>
    <x v="0"/>
    <n v="0.55128407683110159"/>
    <n v="0.27"/>
    <n v="271.3574722771487"/>
    <n v="0.55128407683110159"/>
    <n v="38.498345499896288"/>
    <n v="206.3272799226994"/>
    <n v="96694.635191199355"/>
    <n v="47.044129155428216"/>
    <n v="332173.41783689638"/>
    <x v="3"/>
    <n v="7.3219419979661367E-6"/>
    <n v="2166946.3519119937"/>
    <n v="0.15329102058470664"/>
  </r>
  <r>
    <x v="2"/>
    <n v="1000"/>
    <n v="25"/>
    <x v="0"/>
    <n v="18.868284209836528"/>
    <n v="2.9371645693167325"/>
    <n v="20.971042821065708"/>
    <n v="18.205564909696971"/>
    <m/>
    <n v="0.63737181903082651"/>
    <n v="0.27"/>
    <n v="123.49067992748643"/>
    <n v="53.802993329402803"/>
    <n v="3.0815873518434103"/>
    <m/>
    <m/>
    <m/>
    <m/>
    <m/>
    <m/>
    <m/>
    <m/>
    <m/>
    <m/>
    <m/>
    <n v="0.16926623079968481"/>
    <m/>
    <m/>
    <m/>
    <m/>
    <m/>
    <m/>
    <m/>
    <m/>
    <m/>
    <m/>
    <m/>
    <n v="1801.2477102741416"/>
    <n v="0.14005810747600539"/>
    <n v="0.20377232162921491"/>
    <n v="307.40506826943187"/>
    <n v="260.45403435243884"/>
    <x v="5"/>
    <n v="14.644015877877388"/>
    <n v="3.9965468373646496"/>
    <n v="0.3"/>
    <n v="1"/>
    <n v="0.4"/>
    <x v="0"/>
    <n v="0.55539639079462122"/>
    <n v="0.27"/>
    <n v="260.45403435243884"/>
    <n v="0.55539639079462122"/>
    <n v="38.690612756240206"/>
    <n v="206.73272767529207"/>
    <n v="96794.738270235466"/>
    <n v="46.937802953033199"/>
    <n v="330621.96464860573"/>
    <x v="3"/>
    <n v="7.2898837526795769E-6"/>
    <n v="2167947.3827023548"/>
    <n v="0.15250460748566885"/>
  </r>
  <r>
    <x v="3"/>
    <n v="1000"/>
    <n v="25"/>
    <x v="0"/>
    <n v="18.753093475557154"/>
    <n v="3.0059893666217463"/>
    <n v="20.891399367249306"/>
    <n v="18.237578596401018"/>
    <m/>
    <n v="0.64677260148649018"/>
    <n v="0.27"/>
    <n v="123.74276104658198"/>
    <n v="53.912821202867669"/>
    <n v="2.9879121667436799"/>
    <m/>
    <m/>
    <m/>
    <m/>
    <m/>
    <m/>
    <m/>
    <m/>
    <m/>
    <m/>
    <m/>
    <n v="0.16383272323954842"/>
    <m/>
    <m/>
    <m/>
    <m/>
    <m/>
    <m/>
    <m/>
    <m/>
    <m/>
    <m/>
    <m/>
    <n v="1740.0788815698165"/>
    <n v="0.14388645364437039"/>
    <n v="0.17491466077950849"/>
    <n v="292.78718323561986"/>
    <n v="246.12279819797513"/>
    <x v="5"/>
    <n v="14.644015877877388"/>
    <n v="3.9965468373646496"/>
    <n v="0.3"/>
    <n v="1"/>
    <n v="0.4"/>
    <x v="0"/>
    <n v="0.56281297814696418"/>
    <n v="0.27"/>
    <n v="246.12279819797513"/>
    <n v="0.56281297814696418"/>
    <n v="38.945095182413077"/>
    <n v="207.41285069689206"/>
    <n v="96930.726117673825"/>
    <n v="46.711632655618843"/>
    <n v="328518.68627495499"/>
    <x v="3"/>
    <n v="7.246389438892327E-6"/>
    <n v="2169307.261176738"/>
    <n v="0.15143944435826506"/>
  </r>
  <r>
    <x v="4"/>
    <n v="1000"/>
    <n v="25"/>
    <x v="0"/>
    <n v="18.63098477413169"/>
    <n v="3.1255838273275378"/>
    <n v="20.832547262365409"/>
    <n v="18.281795697129649"/>
    <m/>
    <n v="0.65441757838033987"/>
    <n v="0.27"/>
    <n v="124.10241899023701"/>
    <n v="54.069518647198699"/>
    <n v="2.8868955433802199"/>
    <m/>
    <m/>
    <m/>
    <m/>
    <m/>
    <m/>
    <m/>
    <m/>
    <m/>
    <m/>
    <m/>
    <n v="0.15791093999773118"/>
    <m/>
    <m/>
    <m/>
    <m/>
    <m/>
    <m/>
    <m/>
    <m/>
    <m/>
    <m/>
    <m/>
    <n v="1668.8891270441507"/>
    <n v="0.15003368469366174"/>
    <n v="0.14532987629734906"/>
    <n v="271.80210120036043"/>
    <n v="225.44135535404163"/>
    <x v="5"/>
    <n v="14.644015877877388"/>
    <n v="3.9965468373646496"/>
    <n v="0.3"/>
    <n v="1"/>
    <n v="0.4"/>
    <x v="0"/>
    <n v="0.567903333898651"/>
    <n v="0.27"/>
    <n v="225.44135535404163"/>
    <n v="0.567903333898651"/>
    <n v="39.529995497185155"/>
    <n v="208.38697850156967"/>
    <n v="97685.632163839604"/>
    <n v="47.12125132641048"/>
    <n v="327663.21514179988"/>
    <x v="3"/>
    <n v="7.1778922473439977E-6"/>
    <n v="2176856.321638396"/>
    <n v="0.15052128699756648"/>
  </r>
  <r>
    <x v="5"/>
    <n v="1000"/>
    <n v="25"/>
    <x v="0"/>
    <n v="18.433002125841565"/>
    <n v="3.3471637467418356"/>
    <n v="20.750960278039276"/>
    <n v="18.315877903644079"/>
    <m/>
    <n v="0.66480910017221517"/>
    <n v="0.27"/>
    <n v="124.45694299454814"/>
    <n v="54.223979312977406"/>
    <n v="2.7197876225532269"/>
    <m/>
    <m/>
    <m/>
    <m/>
    <m/>
    <m/>
    <m/>
    <m/>
    <m/>
    <m/>
    <m/>
    <n v="0.14849343486899447"/>
    <m/>
    <m/>
    <m/>
    <m/>
    <m/>
    <m/>
    <m/>
    <m/>
    <m/>
    <m/>
    <m/>
    <n v="1553.6817465792587"/>
    <n v="0.16130163143746828"/>
    <n v="0.11495899806920525"/>
    <n v="239.65585612754811"/>
    <n v="193.78793530264451"/>
    <x v="5"/>
    <n v="14.644015877877388"/>
    <n v="3.9965468373646496"/>
    <n v="0.3"/>
    <n v="1"/>
    <n v="0.4"/>
    <x v="0"/>
    <n v="0.57387994858496738"/>
    <n v="0.27"/>
    <n v="193.78793530264451"/>
    <n v="0.57387994858496738"/>
    <n v="40.656669831032374"/>
    <n v="209.35156295982375"/>
    <n v="98911.328224610625"/>
    <n v="48.398948570893424"/>
    <n v="326209.72459261457"/>
    <x v="3"/>
    <n v="7.0677627769194966E-6"/>
    <n v="2189113.2822461063"/>
    <n v="0.14901454723161336"/>
  </r>
  <r>
    <x v="6"/>
    <n v="1000"/>
    <n v="25"/>
    <x v="0"/>
    <n v="18.059986969788412"/>
    <n v="3.8315648838689942"/>
    <n v="20.633399628925741"/>
    <n v="18.414449398624239"/>
    <m/>
    <n v="0.69398472595259342"/>
    <n v="0.27"/>
    <n v="125.47758409603419"/>
    <n v="54.668656971301196"/>
    <n v="2.3722578469628992"/>
    <m/>
    <m/>
    <m/>
    <m/>
    <m/>
    <m/>
    <m/>
    <m/>
    <m/>
    <m/>
    <m/>
    <n v="0.12882589077793077"/>
    <m/>
    <m/>
    <m/>
    <m/>
    <m/>
    <m/>
    <m/>
    <m/>
    <m/>
    <m/>
    <m/>
    <n v="1326.3271300312845"/>
    <n v="0.18569721678329559"/>
    <n v="8.405387538656163E-2"/>
    <n v="185.13796197104546"/>
    <n v="140.19820654983326"/>
    <x v="5"/>
    <n v="14.644015877877388"/>
    <n v="3.9965468373646496"/>
    <n v="0.3"/>
    <n v="1"/>
    <n v="0.4"/>
    <x v="0"/>
    <n v="0.59441881894412418"/>
    <n v="0.27"/>
    <n v="140.19820654983326"/>
    <n v="0.59441881894412418"/>
    <n v="43.052342272151492"/>
    <n v="212.15305391942243"/>
    <n v="101751.40913097693"/>
    <n v="50.899032961710532"/>
    <n v="324355.76374367974"/>
    <x v="3"/>
    <n v="6.8454515643687244E-6"/>
    <n v="2217514.0913097691"/>
    <n v="0.14626998990211595"/>
  </r>
  <r>
    <x v="7"/>
    <n v="1000"/>
    <n v="25"/>
    <x v="0"/>
    <n v="17.312771108987324"/>
    <n v="5.5091940976633129"/>
    <n v="20.790517289494918"/>
    <n v="18.815784414280593"/>
    <m/>
    <n v="0.90758004006252124"/>
    <n v="0.27"/>
    <n v="132.72156449278106"/>
    <n v="57.824748015527021"/>
    <n v="1.3508752953337435"/>
    <m/>
    <m/>
    <m/>
    <m/>
    <m/>
    <m/>
    <m/>
    <m/>
    <m/>
    <m/>
    <m/>
    <n v="7.1794790245814644E-2"/>
    <m/>
    <m/>
    <m/>
    <m/>
    <m/>
    <m/>
    <m/>
    <m/>
    <m/>
    <m/>
    <m/>
    <n v="716.2510255190241"/>
    <n v="0.26498590780360293"/>
    <n v="5.4768831969249331E-2"/>
    <n v="83.893731407166001"/>
    <n v="40.813377852153238"/>
    <x v="5"/>
    <n v="14.644015877877388"/>
    <n v="3.9965468373646496"/>
    <n v="0.3"/>
    <n v="1"/>
    <n v="0.4"/>
    <x v="0"/>
    <n v="0.86738152279128355"/>
    <n v="0.27"/>
    <n v="40.813377852153238"/>
    <n v="0.86738152279128355"/>
    <n v="49.768391547803127"/>
    <n v="233.1670848775714"/>
    <n v="114287.52520894632"/>
    <n v="56.092567792803607"/>
    <n v="338300.28824507515"/>
    <x v="3"/>
    <n v="6.1982747056536084E-6"/>
    <n v="2342875.2520894632"/>
    <n v="0.14439534838372908"/>
  </r>
  <r>
    <x v="8"/>
    <n v="1000"/>
    <n v="25"/>
    <x v="0"/>
    <n v="11.959332781900089"/>
    <n v="3.5392098819941471"/>
    <n v="14.151170091179736"/>
    <n v="12.796967468881814"/>
    <m/>
    <n v="0.80207234828976681"/>
    <n v="0.27"/>
    <n v="89.00013055523759"/>
    <n v="38.775990490871145"/>
    <n v="1.3097864062793985"/>
    <m/>
    <m/>
    <m/>
    <m/>
    <m/>
    <m/>
    <m/>
    <m/>
    <m/>
    <m/>
    <m/>
    <n v="0.10235131170446324"/>
    <m/>
    <m/>
    <m/>
    <m/>
    <m/>
    <m/>
    <m/>
    <m/>
    <m/>
    <m/>
    <m/>
    <n v="728.66729071441205"/>
    <n v="0.25010015844556177"/>
    <n v="4.0339530924108413E-2"/>
    <n v="103.53317185568102"/>
    <n v="73.774087574713548"/>
    <x v="5"/>
    <n v="14.644015877877388"/>
    <n v="3.9965468373646496"/>
    <n v="0.3"/>
    <n v="1"/>
    <n v="0.4"/>
    <x v="0"/>
    <n v="0.7111311231148113"/>
    <n v="0.27"/>
    <n v="73.774087574713548"/>
    <n v="0.7111311231148113"/>
    <n v="34.741415010020177"/>
    <n v="129.41067507232515"/>
    <n v="60536.213869936175"/>
    <n v="39.482272240704305"/>
    <n v="677436.99423871259"/>
    <x v="3"/>
    <n v="4.4895438956206647E-6"/>
    <n v="1805362.1386993616"/>
    <n v="0.37523607021401206"/>
  </r>
  <r>
    <x v="9"/>
    <n v="1000"/>
    <n v="25"/>
    <x v="0"/>
    <n v="3.9519044646186927"/>
    <n v="0.79406846593136071"/>
    <n v="4.4596286899276478"/>
    <n v="3.9126657310512893"/>
    <m/>
    <n v="0.64326302954716508"/>
    <n v="0.27"/>
    <n v="26.758034586360104"/>
    <n v="11.658064861277225"/>
    <n v="0.98264776105834128"/>
    <m/>
    <m/>
    <m/>
    <m/>
    <m/>
    <m/>
    <m/>
    <m/>
    <m/>
    <m/>
    <m/>
    <n v="0.2511453389079355"/>
    <m/>
    <m/>
    <m/>
    <m/>
    <m/>
    <m/>
    <m/>
    <m/>
    <m/>
    <m/>
    <m/>
    <n v="776.58501227693512"/>
    <n v="0.17805708078899357"/>
    <n v="3.7671291447705792E-2"/>
    <n v="295.0950627720153"/>
    <n v="285.26113174776475"/>
    <x v="5"/>
    <n v="14.644015877877388"/>
    <n v="3.9965468373646496"/>
    <n v="0.3"/>
    <n v="1"/>
    <n v="0.4"/>
    <x v="0"/>
    <n v="0.53524658298897188"/>
    <n v="0.27"/>
    <n v="285.26113174776475"/>
    <n v="0.53524658298897188"/>
    <n v="9.7397074220479922"/>
    <n v="33.087641870414906"/>
    <n v="12504.187897777443"/>
    <n v="11.188355066894973"/>
    <n v="877552.95202188927"/>
    <x v="3"/>
    <n v="1.4082757045549814E-6"/>
    <n v="1325041.8789777744"/>
    <n v="0.6622831820975289"/>
  </r>
  <r>
    <x v="0"/>
    <n v="100"/>
    <n v="25"/>
    <x v="0"/>
    <n v="3.2521583440556854"/>
    <n v="0.89151189828244448"/>
    <n v="3.9209937419762873"/>
    <n v="0.89089565531449366"/>
    <m/>
    <n v="0.14514502850589106"/>
    <n v="0.08"/>
    <n v="17.921698096047784"/>
    <n v="10.01075779207029"/>
    <n v="0.32019701781886944"/>
    <m/>
    <m/>
    <m/>
    <m/>
    <m/>
    <m/>
    <m/>
    <m/>
    <m/>
    <m/>
    <m/>
    <n v="0.35941023610204631"/>
    <m/>
    <m/>
    <m/>
    <m/>
    <m/>
    <m/>
    <m/>
    <m/>
    <m/>
    <m/>
    <m/>
    <n v="536.36308606541343"/>
    <n v="0.22736886538184023"/>
    <n v="0.20790210015866586"/>
    <n v="384.35726074160038"/>
    <n v="376.2645771559786"/>
    <x v="6"/>
    <n v="4.8813386259591285"/>
    <n v="1.3321822791215501"/>
    <n v="0.1"/>
    <n v="0"/>
    <n v="0.2"/>
    <x v="0"/>
    <n v="8.2942005352995063E-2"/>
    <n v="0.08"/>
    <n v="376.2645771559786"/>
    <n v="8.2942005352995063E-2"/>
    <n v="10.114272531752521"/>
    <n v="69.866051658638895"/>
    <n v="26063.224483406411"/>
    <n v="19.365727853112901"/>
    <n v="18650.896668539164"/>
    <x v="0"/>
    <n v="1.9925853822564675E-6"/>
    <n v="1460632.244834064"/>
    <n v="1.2769057190475766E-2"/>
  </r>
  <r>
    <x v="0"/>
    <n v="200"/>
    <n v="25"/>
    <x v="0"/>
    <n v="5.9361861731034082"/>
    <n v="1.6467027571814923"/>
    <n v="7.0899535340099789"/>
    <n v="1.6459486860016415"/>
    <m/>
    <n v="0.14235216492439245"/>
    <n v="0.08"/>
    <n v="33.172682683070427"/>
    <n v="18.529700136319999"/>
    <n v="0.51719707809705184"/>
    <m/>
    <m/>
    <m/>
    <m/>
    <m/>
    <m/>
    <m/>
    <m/>
    <m/>
    <m/>
    <m/>
    <n v="0.31422430267460721"/>
    <m/>
    <m/>
    <m/>
    <m/>
    <m/>
    <m/>
    <m/>
    <m/>
    <m/>
    <m/>
    <m/>
    <n v="618.23447806653519"/>
    <n v="0.23225861062168909"/>
    <n v="0.231948360471567"/>
    <n v="374.40729410186503"/>
    <n v="359.63593901800937"/>
    <x v="6"/>
    <n v="4.8813386259591285"/>
    <n v="1.3321822791215501"/>
    <n v="0.1"/>
    <n v="0"/>
    <n v="0.2"/>
    <x v="0"/>
    <n v="8.371272088812115E-2"/>
    <n v="0.08"/>
    <n v="359.63593901800937"/>
    <n v="8.371272088812115E-2"/>
    <n v="18.510345072303405"/>
    <n v="101.66061789161601"/>
    <n v="42239.821759501312"/>
    <n v="30.505775034713896"/>
    <n v="51471.017990081469"/>
    <x v="0"/>
    <n v="3.3320359792869131E-6"/>
    <n v="1622398.2175950131"/>
    <n v="3.1725267836142178E-2"/>
  </r>
  <r>
    <x v="0"/>
    <n v="300"/>
    <n v="25"/>
    <x v="0"/>
    <n v="8.2117665171132224"/>
    <n v="2.3240979257960319"/>
    <n v="9.784071294469058"/>
    <n v="2.3104703034344354"/>
    <m/>
    <n v="0.14100698046578378"/>
    <n v="0.08"/>
    <n v="46.630445199257153"/>
    <n v="26.046978926015573"/>
    <n v="0.66144108423918024"/>
    <m/>
    <m/>
    <m/>
    <m/>
    <m/>
    <m/>
    <m/>
    <m/>
    <m/>
    <m/>
    <m/>
    <n v="0.28627984668574646"/>
    <m/>
    <m/>
    <m/>
    <m/>
    <m/>
    <m/>
    <m/>
    <m/>
    <m/>
    <m/>
    <m/>
    <n v="676.79101986664239"/>
    <n v="0.23753894016592519"/>
    <n v="0.24515913744853968"/>
    <n v="366.50434243415901"/>
    <n v="346.07047774705228"/>
    <x v="6"/>
    <n v="4.8813386259591285"/>
    <n v="1.3321822791215501"/>
    <n v="0.1"/>
    <n v="0"/>
    <n v="0.2"/>
    <x v="0"/>
    <n v="8.479127326277254E-2"/>
    <n v="0.08"/>
    <n v="346.07047774705228"/>
    <n v="8.479127326277254E-2"/>
    <n v="25.880124178060253"/>
    <n v="124.52723542535661"/>
    <n v="55470.297255188416"/>
    <n v="39.575090357771387"/>
    <n v="88769.972317740452"/>
    <x v="0"/>
    <n v="4.2320371246942484E-6"/>
    <n v="1754702.9725518841"/>
    <n v="5.0589742940163419E-2"/>
  </r>
  <r>
    <x v="0"/>
    <n v="400"/>
    <n v="25"/>
    <x v="0"/>
    <n v="10.175400099994379"/>
    <n v="2.942603105669213"/>
    <n v="12.121999305892331"/>
    <n v="2.9042087857374987"/>
    <m/>
    <n v="0.14008501063383855"/>
    <n v="0.08"/>
    <n v="58.679628725295807"/>
    <n v="32.777449287971777"/>
    <n v="0.77548259582620682"/>
    <m/>
    <m/>
    <m/>
    <m/>
    <m/>
    <m/>
    <m/>
    <m/>
    <m/>
    <m/>
    <m/>
    <n v="0.26702026370644688"/>
    <m/>
    <m/>
    <m/>
    <m/>
    <m/>
    <m/>
    <m/>
    <m/>
    <m/>
    <m/>
    <m/>
    <n v="722.34921544014242"/>
    <n v="0.24274899143401663"/>
    <n v="0.25392927293935702"/>
    <n v="359.92821157557341"/>
    <n v="334.60791752703892"/>
    <x v="6"/>
    <n v="4.8813386259591285"/>
    <n v="1.3321822791215501"/>
    <n v="0.1"/>
    <n v="0"/>
    <n v="0.2"/>
    <x v="0"/>
    <n v="8.5629393876733711E-2"/>
    <n v="0.08"/>
    <n v="334.60791752703892"/>
    <n v="8.5629393876733711E-2"/>
    <n v="32.477991203282365"/>
    <n v="142.7166407850514"/>
    <n v="66881.600551257681"/>
    <n v="47.402420440286605"/>
    <n v="127616.29682660365"/>
    <x v="0"/>
    <n v="4.866961607608447E-6"/>
    <n v="1868816.0055125768"/>
    <n v="6.8287245213100145E-2"/>
  </r>
  <r>
    <x v="0"/>
    <n v="600"/>
    <n v="25"/>
    <x v="0"/>
    <n v="13.386316066524065"/>
    <n v="4.033402604150452"/>
    <n v="15.980272761877497"/>
    <n v="3.9209827611008254"/>
    <m/>
    <n v="0.13886666890678848"/>
    <n v="0.08"/>
    <n v="79.366266277515336"/>
    <n v="44.332655550110751"/>
    <n v="0.94759931779563145"/>
    <m/>
    <m/>
    <m/>
    <m/>
    <m/>
    <m/>
    <m/>
    <m/>
    <m/>
    <m/>
    <m/>
    <n v="0.24167393113699653"/>
    <m/>
    <m/>
    <m/>
    <m/>
    <m/>
    <m/>
    <m/>
    <m/>
    <m/>
    <m/>
    <m/>
    <n v="790.04501712674539"/>
    <n v="0.25239885853341176"/>
    <n v="0.26536613913984719"/>
    <n v="349.55529703256707"/>
    <n v="316.24535822892972"/>
    <x v="6"/>
    <n v="4.8813386259591285"/>
    <n v="1.3321822791215501"/>
    <n v="0.1"/>
    <n v="0"/>
    <n v="0.2"/>
    <x v="0"/>
    <n v="8.6790999507531427E-2"/>
    <n v="0.08"/>
    <n v="316.24535822892972"/>
    <n v="8.6790999507531427E-2"/>
    <n v="43.830645373222275"/>
    <n v="170.46865705408425"/>
    <n v="85736.46694504311"/>
    <n v="60.433500257197743"/>
    <n v="204566.88296217343"/>
    <x v="0"/>
    <n v="5.67588581403603E-6"/>
    <n v="2057364.6694504311"/>
    <n v="9.9431513527846238E-2"/>
  </r>
  <r>
    <x v="0"/>
    <n v="800"/>
    <n v="25"/>
    <x v="0"/>
    <n v="15.864109931519463"/>
    <n v="4.9519583470388584"/>
    <n v="18.993229550902527"/>
    <n v="4.7507550276551109"/>
    <m/>
    <n v="0.13821631720853209"/>
    <n v="0.08"/>
    <n v="96.29947726574261"/>
    <n v="53.791261142989747"/>
    <n v="1.0708379280795741"/>
    <m/>
    <m/>
    <m/>
    <m/>
    <m/>
    <m/>
    <m/>
    <m/>
    <m/>
    <m/>
    <m/>
    <n v="0.2254037351633601"/>
    <m/>
    <m/>
    <m/>
    <m/>
    <m/>
    <m/>
    <m/>
    <m/>
    <m/>
    <m/>
    <m/>
    <n v="837.7957069741567"/>
    <n v="0.26072229231829347"/>
    <n v="0.27282487087139112"/>
    <n v="341.85240560785326"/>
    <n v="302.37674293436982"/>
    <x v="6"/>
    <n v="4.8813386259591285"/>
    <n v="1.3321822791215501"/>
    <n v="0.1"/>
    <n v="0"/>
    <n v="0.2"/>
    <x v="0"/>
    <n v="8.761152533698631E-2"/>
    <n v="0.08"/>
    <n v="302.37674293436982"/>
    <n v="8.761152533698631E-2"/>
    <n v="53.138219999468213"/>
    <n v="190.48767192447565"/>
    <n v="100430.81058852647"/>
    <n v="70.768506420977118"/>
    <n v="275813.21226090915"/>
    <x v="0"/>
    <n v="6.1446078157550931E-6"/>
    <n v="2204308.1058852645"/>
    <n v="0.12512461916032414"/>
  </r>
  <r>
    <x v="0"/>
    <n v="1000"/>
    <n v="25"/>
    <x v="0"/>
    <n v="17.792993373864995"/>
    <n v="5.719618003968276"/>
    <n v="21.363428074659275"/>
    <n v="5.4275922509360202"/>
    <m/>
    <n v="0.13784320253889112"/>
    <n v="0.08"/>
    <n v="110.14971925098196"/>
    <n v="61.527772333654781"/>
    <n v="1.1623386519043724"/>
    <m/>
    <m/>
    <m/>
    <m/>
    <m/>
    <m/>
    <m/>
    <m/>
    <m/>
    <m/>
    <m/>
    <n v="0.21415364275087545"/>
    <m/>
    <m/>
    <m/>
    <m/>
    <m/>
    <m/>
    <m/>
    <m/>
    <m/>
    <m/>
    <m/>
    <n v="872.90710403833373"/>
    <n v="0.26772941046632553"/>
    <n v="0.2780725046542003"/>
    <n v="336.0131150111672"/>
    <n v="291.7377780861475"/>
    <x v="6"/>
    <n v="4.8813386259591285"/>
    <n v="1.3321822791215501"/>
    <n v="0.1"/>
    <n v="0"/>
    <n v="0.2"/>
    <x v="0"/>
    <n v="8.8223267800812882E-2"/>
    <n v="0.08"/>
    <n v="291.7377780861475"/>
    <n v="8.8223267800812882E-2"/>
    <n v="60.758739618389882"/>
    <n v="205.18737474918007"/>
    <n v="111912.50415669975"/>
    <n v="79.06290477487687"/>
    <n v="338901.5670259964"/>
    <x v="0"/>
    <n v="6.4345608626498021E-6"/>
    <n v="2319125.0415669978"/>
    <n v="0.1461333739887547"/>
  </r>
  <r>
    <x v="0"/>
    <n v="1300"/>
    <n v="25"/>
    <x v="0"/>
    <n v="19.919543287606079"/>
    <n v="6.6194318315262848"/>
    <n v="24.000960275981509"/>
    <n v="6.2116772444580493"/>
    <m/>
    <n v="0.13650717155795092"/>
    <n v="0.08"/>
    <n v="126.2452533171831"/>
    <n v="70.518465749380212"/>
    <n v="1.2776109755525589"/>
    <m/>
    <m/>
    <m/>
    <m/>
    <m/>
    <m/>
    <m/>
    <m/>
    <m/>
    <m/>
    <m/>
    <n v="0.2056789052735187"/>
    <m/>
    <m/>
    <m/>
    <m/>
    <m/>
    <m/>
    <m/>
    <m/>
    <m/>
    <m/>
    <m/>
    <n v="919.04005313853861"/>
    <n v="0.2757986245304756"/>
    <n v="0.28376029072755332"/>
    <n v="329.80151226750957"/>
    <n v="280.23456536225819"/>
    <x v="6"/>
    <n v="4.8813386259591285"/>
    <n v="1.3321822791215501"/>
    <n v="0.1"/>
    <n v="0"/>
    <n v="0.2"/>
    <x v="0"/>
    <n v="8.8522739613821844E-2"/>
    <n v="0.08"/>
    <n v="280.23456536225819"/>
    <n v="8.8522739613821844E-2"/>
    <n v="69.547759076274019"/>
    <n v="220.25460942011787"/>
    <n v="124437.9208629223"/>
    <n v="88.425819624796929"/>
    <n v="416470.25148121169"/>
    <x v="0"/>
    <n v="6.6948718828498166E-6"/>
    <n v="2444379.2086292231"/>
    <n v="0.17037874074978854"/>
  </r>
  <r>
    <x v="0"/>
    <n v="1600"/>
    <n v="25"/>
    <x v="0"/>
    <n v="21.401383369797919"/>
    <n v="7.2854079190973264"/>
    <n v="25.856507885936278"/>
    <n v="6.7874886029263095"/>
    <m/>
    <n v="0.13669042645768789"/>
    <n v="0.08"/>
    <n v="138.1062944767036"/>
    <n v="77.143842963826273"/>
    <n v="1.3433265495290518"/>
    <m/>
    <m/>
    <m/>
    <m/>
    <m/>
    <m/>
    <m/>
    <m/>
    <m/>
    <m/>
    <m/>
    <n v="0.19791216282115001"/>
    <m/>
    <m/>
    <m/>
    <m/>
    <m/>
    <m/>
    <m/>
    <m/>
    <m/>
    <m/>
    <m/>
    <n v="944.00741589747076"/>
    <n v="0.28176302659416602"/>
    <n v="0.28764705156658876"/>
    <n v="325.59846084553516"/>
    <n v="272.3441411329452"/>
    <x v="6"/>
    <n v="4.8813386259591285"/>
    <n v="1.3321822791215501"/>
    <n v="0.1"/>
    <n v="0"/>
    <n v="0.2"/>
    <x v="0"/>
    <n v="8.9200460507607521E-2"/>
    <n v="0.08"/>
    <n v="272.3441411329452"/>
    <n v="8.9200460507607521E-2"/>
    <n v="75.94151306822981"/>
    <n v="229.92707605109737"/>
    <n v="132977.71072707322"/>
    <n v="95.041146584781757"/>
    <n v="475608.27578298352"/>
    <x v="0"/>
    <n v="6.847160394311617E-6"/>
    <n v="2529777.1072707325"/>
    <n v="0.18800402391817703"/>
  </r>
  <r>
    <x v="0"/>
    <n v="1900"/>
    <n v="25"/>
    <x v="0"/>
    <n v="22.506774915906746"/>
    <n v="7.810095552590826"/>
    <n v="27.254528115482962"/>
    <n v="7.2277636822268976"/>
    <m/>
    <n v="0.13708897525174399"/>
    <n v="0.08"/>
    <n v="147.19881716962701"/>
    <n v="82.222772533442878"/>
    <n v="1.384979051814188"/>
    <m/>
    <m/>
    <m/>
    <m/>
    <m/>
    <m/>
    <m/>
    <m/>
    <m/>
    <m/>
    <m/>
    <n v="0.19161930476778835"/>
    <m/>
    <m/>
    <m/>
    <m/>
    <m/>
    <m/>
    <m/>
    <m/>
    <m/>
    <m/>
    <m/>
    <n v="958.89823935836876"/>
    <n v="0.28656139337646452"/>
    <n v="0.29008657674288552"/>
    <n v="322.41359400833176"/>
    <n v="266.40871345127539"/>
    <x v="6"/>
    <n v="4.8813386259591285"/>
    <n v="1.3321822791215501"/>
    <n v="0.1"/>
    <n v="0"/>
    <n v="0.2"/>
    <x v="0"/>
    <n v="8.9755889175735876E-2"/>
    <n v="0.08"/>
    <n v="266.40871345127539"/>
    <n v="8.9755889175735876E-2"/>
    <n v="80.908049311811638"/>
    <n v="236.80962490888069"/>
    <n v="139455.41383307314"/>
    <n v="100.27254440344139"/>
    <n v="523100.78069716663"/>
    <x v="0"/>
    <n v="6.9408355948482237E-6"/>
    <n v="2594554.1383307315"/>
    <n v="0.20161490291110903"/>
  </r>
  <r>
    <x v="0"/>
    <n v="1000"/>
    <n v="25"/>
    <x v="1"/>
    <n v="12.054101751253743"/>
    <n v="9.622044469820608"/>
    <n v="17.680332524030902"/>
    <n v="5.7158057439562935"/>
    <m/>
    <n v="0.1591184163191274"/>
    <n v="0.08"/>
    <n v="116.52000732944821"/>
    <n v="65.086107636340273"/>
    <n v="0.78259857773670483"/>
    <m/>
    <m/>
    <m/>
    <m/>
    <m/>
    <m/>
    <m/>
    <m/>
    <m/>
    <m/>
    <m/>
    <n v="0.1369183301171841"/>
    <m/>
    <m/>
    <m/>
    <m/>
    <m/>
    <m/>
    <m/>
    <m/>
    <m/>
    <m/>
    <m/>
    <n v="519.48829467883172"/>
    <n v="0.5442230487883889"/>
    <n v="0.28826528054584005"/>
    <n v="158.18399729433634"/>
    <n v="128.18900581047922"/>
    <x v="6"/>
    <n v="4.8813386259591285"/>
    <n v="1.3321822791215501"/>
    <n v="0.1"/>
    <n v="0"/>
    <n v="0.2"/>
    <x v="0"/>
    <n v="8.2487120588929888E-2"/>
    <n v="0.08"/>
    <n v="128.18900581047922"/>
    <n v="8.2487120588929888E-2"/>
    <n v="83.666992352258035"/>
    <n v="225.09690698812238"/>
    <n v="135279.05628470518"/>
    <n v="100.98650815861947"/>
    <n v="238822.54201802437"/>
    <x v="1"/>
    <n v="4.0780467002509447E-6"/>
    <n v="2552790.5628470518"/>
    <n v="9.3553519624294076E-2"/>
  </r>
  <r>
    <x v="0"/>
    <n v="1000"/>
    <n v="25"/>
    <x v="2"/>
    <n v="15.57760560018153"/>
    <n v="7.2806546332659199"/>
    <n v="19.972214572578942"/>
    <n v="5.5421534018767389"/>
    <m/>
    <n v="0.13973408019914305"/>
    <n v="0.08"/>
    <n v="112.63259951041319"/>
    <n v="62.914667301456952"/>
    <n v="1.0392565219972472"/>
    <m/>
    <m/>
    <m/>
    <m/>
    <m/>
    <m/>
    <m/>
    <m/>
    <m/>
    <m/>
    <m/>
    <n v="0.1875185413751492"/>
    <m/>
    <m/>
    <m/>
    <m/>
    <m/>
    <m/>
    <m/>
    <m/>
    <m/>
    <m/>
    <m/>
    <n v="725.59971774284566"/>
    <n v="0.36453917550345016"/>
    <n v="0.28186685741904521"/>
    <n v="244.73417079673666"/>
    <n v="205.97145674422262"/>
    <x v="6"/>
    <n v="4.8813386259591285"/>
    <n v="1.3321822791215501"/>
    <n v="0.1"/>
    <n v="0"/>
    <n v="0.2"/>
    <x v="0"/>
    <n v="8.3210238538473993E-2"/>
    <n v="0.08"/>
    <n v="205.97145674422262"/>
    <n v="8.3210238538473993E-2"/>
    <n v="70.08247358870932"/>
    <n v="212.72839303429174"/>
    <n v="121764.07238047682"/>
    <n v="88.984269271489367"/>
    <n v="304425.94997872924"/>
    <x v="1"/>
    <n v="5.4705224399972968E-6"/>
    <n v="2417640.7238047682"/>
    <n v="0.12591860609447303"/>
  </r>
  <r>
    <x v="0"/>
    <n v="1000"/>
    <n v="25"/>
    <x v="0"/>
    <n v="17.794067999341696"/>
    <n v="5.7202063850697549"/>
    <n v="21.364860620047253"/>
    <n v="5.427763347031199"/>
    <m/>
    <n v="0.13782486999415353"/>
    <n v="0.08"/>
    <n v="110.15316987938307"/>
    <n v="61.529699796385643"/>
    <n v="1.1625119788115272"/>
    <m/>
    <m/>
    <m/>
    <m/>
    <m/>
    <m/>
    <m/>
    <m/>
    <m/>
    <m/>
    <m/>
    <n v="0.21417882550966072"/>
    <m/>
    <m/>
    <m/>
    <m/>
    <m/>
    <m/>
    <m/>
    <m/>
    <m/>
    <m/>
    <m/>
    <n v="872.98266570408123"/>
    <n v="0.26773899847969629"/>
    <n v="0.27805269400383115"/>
    <n v="336.00469125792205"/>
    <n v="291.72667629831824"/>
    <x v="6"/>
    <n v="4.8813386259591285"/>
    <n v="1.3321822791215501"/>
    <n v="0.1"/>
    <n v="0"/>
    <n v="0.2"/>
    <x v="0"/>
    <n v="8.8213832938699346E-2"/>
    <n v="0.08"/>
    <n v="291.72667629831824"/>
    <n v="8.8213832938699346E-2"/>
    <n v="60.764306611515302"/>
    <n v="205.19767268178359"/>
    <n v="111927.00792763248"/>
    <n v="79.078098586487314"/>
    <n v="338954.34940863302"/>
    <x v="1"/>
    <n v="6.43446212917229E-6"/>
    <n v="2319270.0792763247"/>
    <n v="0.14614699358963662"/>
  </r>
  <r>
    <x v="0"/>
    <n v="1000"/>
    <n v="25"/>
    <x v="3"/>
    <n v="19.235964515243616"/>
    <n v="4.6589093672129032"/>
    <n v="22.247050101787195"/>
    <n v="5.355922715747063"/>
    <m/>
    <n v="0.13849691652274052"/>
    <n v="0.08"/>
    <n v="108.6100383136463"/>
    <n v="60.667732573017695"/>
    <n v="1.2455930804929265"/>
    <m/>
    <m/>
    <m/>
    <m/>
    <m/>
    <m/>
    <m/>
    <m/>
    <m/>
    <m/>
    <m/>
    <n v="0.23256367699831285"/>
    <m/>
    <m/>
    <m/>
    <m/>
    <m/>
    <m/>
    <m/>
    <m/>
    <m/>
    <m/>
    <m/>
    <n v="1005.0227140574497"/>
    <n v="0.20941694947855735"/>
    <n v="0.2751622486140583"/>
    <n v="430.0922833269039"/>
    <n v="382.22617381098672"/>
    <x v="6"/>
    <n v="4.8813386259591285"/>
    <n v="1.3321822791215501"/>
    <n v="0.1"/>
    <n v="0"/>
    <n v="0.2"/>
    <x v="0"/>
    <n v="9.3312513035411576E-2"/>
    <n v="0.08"/>
    <n v="382.22617381098672"/>
    <n v="9.3312513035411576E-2"/>
    <n v="54.342975123256132"/>
    <n v="200.64113880857664"/>
    <n v="105301.47276496161"/>
    <n v="72.011222366275831"/>
    <n v="357961.83530494978"/>
    <x v="1"/>
    <n v="7.1033653114027571E-6"/>
    <n v="2253014.7276496161"/>
    <n v="0.15888126735788441"/>
  </r>
  <r>
    <x v="0"/>
    <n v="1000"/>
    <n v="25"/>
    <x v="4"/>
    <n v="20.248559463240785"/>
    <n v="3.9174351994080108"/>
    <n v="22.868838796248088"/>
    <n v="5.3072394813638839"/>
    <m/>
    <n v="0.13976089149372128"/>
    <n v="0.08"/>
    <n v="107.57013706000001"/>
    <n v="60.08686130054496"/>
    <n v="1.300792531336767"/>
    <m/>
    <m/>
    <m/>
    <m/>
    <m/>
    <m/>
    <m/>
    <m/>
    <m/>
    <m/>
    <m/>
    <n v="0.24509776427169669"/>
    <m/>
    <m/>
    <m/>
    <m/>
    <m/>
    <m/>
    <m/>
    <m/>
    <m/>
    <m/>
    <m/>
    <n v="1125.8194881216743"/>
    <n v="0.1713001361508007"/>
    <n v="0.27292444563002211"/>
    <n v="525.80891969387801"/>
    <n v="475.4232224532912"/>
    <x v="6"/>
    <n v="4.8813386259591285"/>
    <n v="1.3321822791215501"/>
    <n v="0.1"/>
    <n v="0"/>
    <n v="0.2"/>
    <x v="0"/>
    <n v="9.7869201114881593E-2"/>
    <n v="0.08"/>
    <n v="475.4232224532912"/>
    <n v="9.7869201114881593E-2"/>
    <n v="49.856015984180544"/>
    <n v="197.62431547887189"/>
    <n v="100722.91534228552"/>
    <n v="67.000377842447548"/>
    <n v="369795.78441232879"/>
    <x v="1"/>
    <n v="7.590374009359188E-6"/>
    <n v="2207229.1534228553"/>
    <n v="0.16753846506551839"/>
  </r>
  <r>
    <x v="0"/>
    <n v="1000"/>
    <n v="25"/>
    <x v="5"/>
    <n v="20.996169584889284"/>
    <n v="3.3753210169926406"/>
    <n v="23.330954765958428"/>
    <n v="5.2727651917176068"/>
    <m/>
    <n v="0.14096918636278394"/>
    <n v="0.08"/>
    <n v="106.83589656961509"/>
    <n v="59.676726966678736"/>
    <n v="1.3400907689947612"/>
    <m/>
    <m/>
    <m/>
    <m/>
    <m/>
    <m/>
    <m/>
    <m/>
    <m/>
    <m/>
    <m/>
    <n v="0.25415331809194897"/>
    <m/>
    <m/>
    <m/>
    <m/>
    <m/>
    <m/>
    <m/>
    <m/>
    <m/>
    <m/>
    <m/>
    <n v="1240.3540764243389"/>
    <n v="0.14467136261039268"/>
    <n v="0.27110947482595715"/>
    <n v="622.55464476714405"/>
    <n v="570.30869192695764"/>
    <x v="6"/>
    <n v="4.8813386259591285"/>
    <n v="1.3321822791215501"/>
    <n v="0.1"/>
    <n v="0"/>
    <n v="0.2"/>
    <x v="0"/>
    <n v="0.10180541648392456"/>
    <n v="0.08"/>
    <n v="570.30869192695764"/>
    <n v="0.10180541648392456"/>
    <n v="46.581045778142382"/>
    <n v="195.51952075943873"/>
    <n v="97429.827002484017"/>
    <n v="63.330348269689502"/>
    <n v="377803.44409488456"/>
    <x v="1"/>
    <n v="7.9579277172969402E-6"/>
    <n v="2174298.2700248403"/>
    <n v="0.17375879349366743"/>
  </r>
  <r>
    <x v="0"/>
    <n v="1000"/>
    <n v="25"/>
    <x v="6"/>
    <n v="21.567142898878704"/>
    <n v="2.9629491235374208"/>
    <n v="23.684849798495815"/>
    <n v="5.2470940949751279"/>
    <m/>
    <n v="0.14203944394924048"/>
    <n v="0.08"/>
    <n v="106.2903680366135"/>
    <n v="59.372003944157406"/>
    <n v="1.3685162416920731"/>
    <m/>
    <m/>
    <m/>
    <m/>
    <m/>
    <m/>
    <m/>
    <m/>
    <m/>
    <m/>
    <m/>
    <n v="0.26081412243066704"/>
    <m/>
    <m/>
    <m/>
    <m/>
    <m/>
    <m/>
    <m/>
    <m/>
    <m/>
    <m/>
    <m/>
    <n v="1350.6095121228504"/>
    <n v="0.125098919720639"/>
    <n v="0.26965116376961962"/>
    <n v="720.0183578020642"/>
    <n v="666.35139127681407"/>
    <x v="6"/>
    <n v="4.8813386259591285"/>
    <n v="1.3321822791215501"/>
    <n v="0.1"/>
    <n v="0"/>
    <n v="0.2"/>
    <x v="0"/>
    <n v="0.1052232941175221"/>
    <n v="0.08"/>
    <n v="666.35139127681407"/>
    <n v="0.1052232941175221"/>
    <n v="44.091445484488403"/>
    <n v="193.96895780041888"/>
    <n v="94946.037580560864"/>
    <n v="60.523977338941961"/>
    <n v="383443.0412279584"/>
    <x v="1"/>
    <n v="8.2441446401542283E-6"/>
    <n v="2149460.3758056089"/>
    <n v="0.17839037441397146"/>
  </r>
  <r>
    <x v="0"/>
    <n v="1000"/>
    <n v="25"/>
    <x v="7"/>
    <n v="22.017926051907629"/>
    <n v="2.6396888675009138"/>
    <n v="23.9655649893167"/>
    <n v="5.2274332631799085"/>
    <m/>
    <n v="0.14292109544169554"/>
    <n v="0.08"/>
    <n v="105.87308974754518"/>
    <n v="59.138919341271837"/>
    <n v="1.3898610156330484"/>
    <m/>
    <m/>
    <m/>
    <m/>
    <m/>
    <m/>
    <m/>
    <m/>
    <m/>
    <m/>
    <m/>
    <n v="0.26587828971872512"/>
    <m/>
    <m/>
    <m/>
    <m/>
    <m/>
    <m/>
    <m/>
    <m/>
    <m/>
    <m/>
    <m/>
    <n v="1458.1179782730514"/>
    <n v="0.11014507142550684"/>
    <n v="0.26843266151020378"/>
    <n v="817.97597979308989"/>
    <n v="763.18747045652765"/>
    <x v="6"/>
    <n v="4.8813386259591285"/>
    <n v="1.3321822791215501"/>
    <n v="0.1"/>
    <n v="0"/>
    <n v="0.2"/>
    <x v="0"/>
    <n v="0.10818706943656896"/>
    <n v="0.08"/>
    <n v="763.18747045652765"/>
    <n v="0.10818706943656896"/>
    <n v="42.142917632445418"/>
    <n v="192.7904375296651"/>
    <n v="93022.6145787352"/>
    <n v="58.327363933779651"/>
    <n v="387650.80646982783"/>
    <x v="1"/>
    <n v="8.4727917035999946E-6"/>
    <n v="2130226.1457873518"/>
    <n v="0.1819763630431587"/>
  </r>
  <r>
    <x v="0"/>
    <n v="1000"/>
    <n v="25"/>
    <x v="8"/>
    <n v="22.381946199056316"/>
    <n v="2.379692379047448"/>
    <n v="24.192851963701688"/>
    <n v="5.2118949975939337"/>
    <m/>
    <n v="0.14365188340690827"/>
    <n v="0.08"/>
    <n v="105.54365629956553"/>
    <n v="58.954903382591098"/>
    <n v="1.4059285970143893"/>
    <m/>
    <m/>
    <m/>
    <m/>
    <m/>
    <m/>
    <m/>
    <m/>
    <m/>
    <m/>
    <m/>
    <n v="0.26975382229753953"/>
    <m/>
    <m/>
    <m/>
    <m/>
    <m/>
    <m/>
    <m/>
    <m/>
    <m/>
    <m/>
    <m/>
    <n v="1563.5716529644267"/>
    <n v="9.8363449775077161E-2"/>
    <n v="0.26741289874541996"/>
    <n v="916.30191997445797"/>
    <n v="860.60735445723196"/>
    <x v="6"/>
    <n v="4.8813386259591285"/>
    <n v="1.3321822791215501"/>
    <n v="0.1"/>
    <n v="0"/>
    <n v="0.2"/>
    <x v="0"/>
    <n v="0.11078466948699339"/>
    <n v="0.08"/>
    <n v="860.60735445723196"/>
    <n v="0.11078466948699339"/>
    <n v="40.577174892097972"/>
    <n v="191.86456524335287"/>
    <n v="91487.801332997245"/>
    <n v="56.55926480530615"/>
    <n v="390874.54484156024"/>
    <x v="1"/>
    <n v="8.6594294778768711E-6"/>
    <n v="2114878.0133299725"/>
    <n v="0.184821319422632"/>
  </r>
  <r>
    <x v="0"/>
    <n v="1000"/>
    <n v="25"/>
    <x v="9"/>
    <n v="22.682247889775589"/>
    <n v="2.1662384512866599"/>
    <n v="24.380944643581579"/>
    <n v="5.1993561633268399"/>
    <m/>
    <n v="0.14424815021344745"/>
    <n v="0.08"/>
    <n v="105.27799871954035"/>
    <n v="58.806511546337255"/>
    <n v="1.4182281648884558"/>
    <m/>
    <m/>
    <m/>
    <m/>
    <m/>
    <m/>
    <m/>
    <m/>
    <m/>
    <m/>
    <m/>
    <n v="0.27276995849828334"/>
    <m/>
    <m/>
    <m/>
    <m/>
    <m/>
    <m/>
    <m/>
    <m/>
    <m/>
    <m/>
    <m/>
    <n v="1667.5740100045734"/>
    <n v="8.8849652175266899E-2"/>
    <n v="0.2665410142047846"/>
    <n v="1014.90147226517"/>
    <n v="958.4599275603457"/>
    <x v="6"/>
    <n v="4.8813386259591285"/>
    <n v="1.3321822791215501"/>
    <n v="0.1"/>
    <n v="0"/>
    <n v="0.2"/>
    <x v="0"/>
    <n v="0.11307322189084647"/>
    <n v="0.08"/>
    <n v="958.4599275603457"/>
    <n v="0.11307322189084647"/>
    <n v="39.29325440441724"/>
    <n v="191.12083070230034"/>
    <n v="90238.830308077027"/>
    <n v="55.110180562763581"/>
    <n v="393431.23204174155"/>
    <x v="1"/>
    <n v="8.8145326340879538E-6"/>
    <n v="2102388.3030807702"/>
    <n v="0.18713537906637914"/>
  </r>
  <r>
    <x v="0"/>
    <n v="1000"/>
    <n v="25"/>
    <x v="0"/>
    <n v="17.794600585523064"/>
    <n v="5.7205030612237424"/>
    <n v="21.365573404108904"/>
    <n v="5.4278482917652493"/>
    <m/>
    <n v="0.13781566083586788"/>
    <n v="0.08"/>
    <n v="110.15488336418827"/>
    <n v="61.530656920050667"/>
    <n v="1.1625987569925798"/>
    <m/>
    <m/>
    <m/>
    <m/>
    <m/>
    <m/>
    <m/>
    <m/>
    <m/>
    <m/>
    <m/>
    <n v="0.21419146123822086"/>
    <m/>
    <m/>
    <m/>
    <m/>
    <m/>
    <m/>
    <m/>
    <m/>
    <m/>
    <m/>
    <m/>
    <n v="873.02031439503685"/>
    <n v="0.26774395205904505"/>
    <n v="0.27804275346346624"/>
    <n v="336.00048782475744"/>
    <n v="291.72093589874709"/>
    <x v="6"/>
    <n v="4.8813386259591285"/>
    <n v="1.3321822791215501"/>
    <n v="0.1"/>
    <n v="0"/>
    <n v="0.2"/>
    <x v="0"/>
    <n v="8.8209083835257843E-2"/>
    <n v="0.08"/>
    <n v="291.72093589874709"/>
    <n v="8.8209083835257843E-2"/>
    <n v="60.767103993712432"/>
    <n v="205.20278652901138"/>
    <n v="111934.26842472707"/>
    <n v="79.085728660575015"/>
    <n v="338980.64973232284"/>
    <x v="2"/>
    <n v="6.4344110177318875E-6"/>
    <n v="2319342.6842472707"/>
    <n v="0.14615375814649703"/>
  </r>
  <r>
    <x v="0"/>
    <n v="1000"/>
    <n v="25"/>
    <x v="0"/>
    <n v="17.194889475229591"/>
    <n v="5.4540989903622741"/>
    <n v="20.594516351015493"/>
    <n v="5.235037550534444"/>
    <m/>
    <n v="0.13988414586835402"/>
    <n v="0.08"/>
    <n v="106.27714850509069"/>
    <n v="59.364619737176"/>
    <n v="1.1216366549895538"/>
    <m/>
    <m/>
    <m/>
    <m/>
    <m/>
    <m/>
    <m/>
    <m/>
    <m/>
    <m/>
    <m/>
    <n v="0.21425570383445408"/>
    <m/>
    <m/>
    <m/>
    <m/>
    <m/>
    <m/>
    <m/>
    <m/>
    <m/>
    <m/>
    <m/>
    <n v="856.52142571246679"/>
    <n v="0.26483258443179408"/>
    <n v="0.27954682314499696"/>
    <n v="338.49012740770496"/>
    <n v="295.70309821768996"/>
    <x v="6"/>
    <n v="4.8813386259591285"/>
    <n v="1.3321822791215501"/>
    <n v="0.1"/>
    <n v="0"/>
    <n v="0.2"/>
    <x v="1"/>
    <n v="8.9334732952155715E-2"/>
    <n v="0.08"/>
    <n v="295.70309821768996"/>
    <n v="8.9334732952155715E-2"/>
    <n v="58.163321117357725"/>
    <n v="193.93152243198804"/>
    <n v="104717.74529843353"/>
    <n v="75.099429809917879"/>
    <n v="386451.84858384414"/>
    <x v="2"/>
    <n v="6.2604936120252701E-6"/>
    <n v="2247177.4529843354"/>
    <n v="0.17197211020011868"/>
  </r>
  <r>
    <x v="0"/>
    <n v="1000"/>
    <n v="25"/>
    <x v="0"/>
    <n v="15.018246440068413"/>
    <n v="4.5578515658511165"/>
    <n v="17.846548899669536"/>
    <n v="4.5430166046185594"/>
    <m/>
    <n v="0.1475423868645267"/>
    <n v="0.08"/>
    <n v="92.331777710530403"/>
    <n v="51.574971200704994"/>
    <n v="0.97458887088760315"/>
    <m/>
    <m/>
    <m/>
    <m/>
    <m/>
    <m/>
    <m/>
    <m/>
    <m/>
    <m/>
    <m/>
    <n v="0.21452461122347835"/>
    <m/>
    <m/>
    <m/>
    <m/>
    <m/>
    <m/>
    <m/>
    <m/>
    <m/>
    <m/>
    <m/>
    <n v="797.04945945059148"/>
    <n v="0.25539120148520783"/>
    <n v="0.28403722857838487"/>
    <n v="347.12578166166736"/>
    <n v="309.75502400679005"/>
    <x v="6"/>
    <n v="4.8813386259591285"/>
    <n v="1.3321822791215501"/>
    <n v="0.1"/>
    <n v="0"/>
    <n v="0.2"/>
    <x v="2"/>
    <n v="9.3475777927870915E-2"/>
    <n v="0.08"/>
    <n v="309.75502400679005"/>
    <n v="9.3475777927870915E-2"/>
    <n v="49.252151460415895"/>
    <n v="157.66565267854986"/>
    <n v="81891.230051117556"/>
    <n v="62.085017991675606"/>
    <n v="508633.87221485766"/>
    <x v="2"/>
    <n v="5.6479184775590178E-6"/>
    <n v="2018912.3005111755"/>
    <n v="0.25193460463145173"/>
  </r>
  <r>
    <x v="0"/>
    <n v="1000"/>
    <n v="25"/>
    <x v="0"/>
    <n v="12.994099995238335"/>
    <n v="3.8046282295472489"/>
    <n v="15.347525873629239"/>
    <n v="3.9116490542538029"/>
    <m/>
    <n v="0.1553948643446541"/>
    <n v="0.08"/>
    <n v="79.574184131205939"/>
    <n v="44.448794950673616"/>
    <n v="0.83767025770862169"/>
    <m/>
    <m/>
    <m/>
    <m/>
    <m/>
    <m/>
    <m/>
    <m/>
    <m/>
    <m/>
    <m/>
    <n v="0.2141476001784158"/>
    <m/>
    <m/>
    <m/>
    <m/>
    <m/>
    <m/>
    <m/>
    <m/>
    <m/>
    <m/>
    <m/>
    <n v="741.30088032824824"/>
    <n v="0.24789847307470711"/>
    <n v="0.2874787504771017"/>
    <n v="354.79978964124047"/>
    <n v="322.46575147393764"/>
    <x v="6"/>
    <n v="4.8813386259591285"/>
    <n v="1.3321822791215501"/>
    <n v="0.1"/>
    <n v="0"/>
    <n v="0.2"/>
    <x v="3"/>
    <n v="9.7727504152109582E-2"/>
    <n v="0.08"/>
    <n v="322.46575147393764"/>
    <n v="9.7727504152109582E-2"/>
    <n v="41.574458708164386"/>
    <n v="129.02464700247438"/>
    <n v="64355.628186670496"/>
    <n v="51.420058444437721"/>
    <n v="577203.1411923999"/>
    <x v="2"/>
    <n v="5.0565068664561229E-6"/>
    <n v="1843556.281866705"/>
    <n v="0.31309222662187947"/>
  </r>
  <r>
    <x v="0"/>
    <n v="1000"/>
    <n v="25"/>
    <x v="0"/>
    <n v="11.881020212712945"/>
    <n v="3.4178024930987321"/>
    <n v="13.991971571538858"/>
    <n v="3.5674410337891556"/>
    <m/>
    <n v="0.16002613461214923"/>
    <n v="0.08"/>
    <n v="72.606625779253505"/>
    <n v="40.55683456334323"/>
    <n v="0.76240587634524148"/>
    <m/>
    <m/>
    <m/>
    <m/>
    <m/>
    <m/>
    <m/>
    <m/>
    <m/>
    <m/>
    <m/>
    <n v="0.21371225736433616"/>
    <m/>
    <m/>
    <m/>
    <m/>
    <m/>
    <m/>
    <m/>
    <m/>
    <m/>
    <m/>
    <m/>
    <n v="710.53140717806161"/>
    <n v="0.24426882770766215"/>
    <n v="0.28902445251005315"/>
    <n v="358.89268153773361"/>
    <n v="329.3284690054407"/>
    <x v="6"/>
    <n v="4.8813386259591285"/>
    <n v="1.3321822791215501"/>
    <n v="0.1"/>
    <n v="0"/>
    <n v="0.2"/>
    <x v="4"/>
    <n v="0.10027397224073502"/>
    <n v="0.08"/>
    <n v="329.3284690054407"/>
    <n v="0.10027397224073502"/>
    <n v="37.559662814772977"/>
    <n v="114.78163824029647"/>
    <n v="55907.866696716519"/>
    <n v="46.038406670321834"/>
    <n v="604101.47702640854"/>
    <x v="2"/>
    <n v="4.7082615303711532E-6"/>
    <n v="1759078.6669671652"/>
    <n v="0.34341925029876147"/>
  </r>
  <r>
    <x v="0"/>
    <n v="1000"/>
    <n v="25"/>
    <x v="0"/>
    <n v="10.495708243102628"/>
    <n v="2.959211691335597"/>
    <n v="12.320303387643063"/>
    <n v="3.1427910078092749"/>
    <m/>
    <n v="0.16634738996299778"/>
    <n v="0.08"/>
    <n v="63.999672200582701"/>
    <n v="35.749135697873172"/>
    <n v="0.66820517801970958"/>
    <m/>
    <m/>
    <m/>
    <m/>
    <m/>
    <m/>
    <m/>
    <m/>
    <m/>
    <m/>
    <m/>
    <n v="0.21261521251630761"/>
    <m/>
    <m/>
    <m/>
    <m/>
    <m/>
    <m/>
    <m/>
    <m/>
    <m/>
    <m/>
    <m/>
    <n v="671.89146140775381"/>
    <n v="0.24018983934304797"/>
    <n v="0.29078847518174838"/>
    <n v="363.90603775977502"/>
    <n v="337.7888723978993"/>
    <x v="6"/>
    <n v="4.8813386259591285"/>
    <n v="1.3321822791215501"/>
    <n v="0.1"/>
    <n v="0"/>
    <n v="0.2"/>
    <x v="5"/>
    <n v="0.10383621966538045"/>
    <n v="0.08"/>
    <n v="337.7888723978993"/>
    <n v="0.10383621966538045"/>
    <n v="32.734961881606417"/>
    <n v="98.297239328326356"/>
    <n v="46389.038636761521"/>
    <n v="39.698480220728719"/>
    <n v="627885.07230890752"/>
    <x v="2"/>
    <n v="4.2518738390062117E-6"/>
    <n v="1663890.3863676153"/>
    <n v="0.37735963706096221"/>
  </r>
  <r>
    <x v="0"/>
    <n v="1000"/>
    <n v="25"/>
    <x v="0"/>
    <n v="8.7347184279050438"/>
    <n v="2.4083030666891641"/>
    <n v="10.216406455485874"/>
    <n v="2.6007685760615749"/>
    <m/>
    <n v="0.17392799712358689"/>
    <n v="0.08"/>
    <n v="52.997612971941344"/>
    <n v="29.603571278604839"/>
    <n v="0.55337982454687795"/>
    <m/>
    <m/>
    <m/>
    <m/>
    <m/>
    <m/>
    <m/>
    <m/>
    <m/>
    <m/>
    <m/>
    <n v="0.21277549630535691"/>
    <m/>
    <m/>
    <m/>
    <m/>
    <m/>
    <m/>
    <m/>
    <m/>
    <m/>
    <m/>
    <m/>
    <n v="625.02335457798142"/>
    <n v="0.23572897938061035"/>
    <n v="0.29182408160783851"/>
    <n v="370.06854821651422"/>
    <n v="348.33344230454219"/>
    <x v="6"/>
    <n v="4.8813386259591285"/>
    <n v="1.3321822791215501"/>
    <n v="0.1"/>
    <n v="0"/>
    <n v="0.2"/>
    <x v="6"/>
    <n v="0.10848355218612678"/>
    <n v="0.08"/>
    <n v="348.33344230454219"/>
    <n v="0.10848355218612678"/>
    <n v="26.844565506036648"/>
    <n v="78.720004001136033"/>
    <n v="35686.810988020341"/>
    <n v="32.294593693363289"/>
    <n v="651150.12601781427"/>
    <x v="2"/>
    <n v="3.618287472461857E-6"/>
    <n v="1556868.1098802034"/>
    <n v="0.41824360193742965"/>
  </r>
  <r>
    <x v="0"/>
    <n v="1000"/>
    <n v="25"/>
    <x v="0"/>
    <n v="7.5858764158531828"/>
    <n v="2.0652848278483575"/>
    <n v="8.8547345940091891"/>
    <n v="2.2493712787164455"/>
    <m/>
    <n v="0.17941079665606069"/>
    <n v="0.08"/>
    <n v="45.855854614850465"/>
    <n v="25.614305711292495"/>
    <n v="0.47754795352388713"/>
    <m/>
    <m/>
    <m/>
    <m/>
    <m/>
    <m/>
    <m/>
    <m/>
    <m/>
    <m/>
    <m/>
    <n v="0.21230285904441237"/>
    <m/>
    <m/>
    <m/>
    <m/>
    <m/>
    <m/>
    <m/>
    <m/>
    <m/>
    <m/>
    <m/>
    <n v="593.92682971419094"/>
    <n v="0.23324073758751152"/>
    <n v="0.29209276238559251"/>
    <n v="374.02922155996782"/>
    <n v="355.1528529522476"/>
    <x v="6"/>
    <n v="4.8813386259591285"/>
    <n v="1.3321822791215501"/>
    <n v="0.1"/>
    <n v="0"/>
    <n v="0.2"/>
    <x v="7"/>
    <n v="0.11213973887086415"/>
    <n v="0.08"/>
    <n v="355.1528529522476"/>
    <n v="0.11213973887086415"/>
    <n v="23.123769807798602"/>
    <n v="66.768013116509252"/>
    <n v="29447.94962055346"/>
    <n v="27.718292576221732"/>
    <n v="652726.49282091483"/>
    <x v="2"/>
    <n v="3.19104434153743E-6"/>
    <n v="1494479.4962055346"/>
    <n v="0.43675841286426448"/>
  </r>
  <r>
    <x v="0"/>
    <n v="1000"/>
    <n v="25"/>
    <x v="0"/>
    <n v="6.156353311521328"/>
    <n v="1.6525664931123489"/>
    <n v="7.1700400984924109"/>
    <n v="1.8182969437032166"/>
    <m/>
    <n v="0.18684760608740578"/>
    <n v="0.08"/>
    <n v="37.085727580893426"/>
    <n v="20.71546091030832"/>
    <n v="0.385286739234451"/>
    <m/>
    <m/>
    <m/>
    <m/>
    <m/>
    <m/>
    <m/>
    <m/>
    <m/>
    <m/>
    <m/>
    <n v="0.21189428963663137"/>
    <m/>
    <m/>
    <m/>
    <m/>
    <m/>
    <m/>
    <m/>
    <m/>
    <m/>
    <m/>
    <m/>
    <n v="556.29219023180224"/>
    <n v="0.23048218286252281"/>
    <n v="0.29271397475508532"/>
    <n v="378.96802393301391"/>
    <n v="363.64882061457672"/>
    <x v="6"/>
    <n v="4.8813386259591285"/>
    <n v="1.3321822791215501"/>
    <n v="0.1"/>
    <n v="0"/>
    <n v="0.2"/>
    <x v="8"/>
    <n v="0.11777451099504319"/>
    <n v="0.08"/>
    <n v="363.64882061457672"/>
    <n v="0.11777451099504319"/>
    <n v="18.598386409382183"/>
    <n v="52.782508028254341"/>
    <n v="22423.726717381222"/>
    <n v="22.178908137708955"/>
    <n v="642822.2863589914"/>
    <x v="2"/>
    <n v="2.6331886074003208E-6"/>
    <n v="1424237.2671738123"/>
    <n v="0.4513449417277059"/>
  </r>
  <r>
    <x v="0"/>
    <n v="1000"/>
    <n v="25"/>
    <x v="0"/>
    <n v="4.2242292300545632"/>
    <n v="1.1173314796185421"/>
    <n v="4.9080689543649427"/>
    <n v="1.2402373999601335"/>
    <m/>
    <n v="0.19899174507238931"/>
    <n v="0.08"/>
    <n v="25.310992095495763"/>
    <n v="14.138292587402267"/>
    <n v="0.25852435383077244"/>
    <m/>
    <m/>
    <m/>
    <m/>
    <m/>
    <m/>
    <m/>
    <m/>
    <m/>
    <m/>
    <m/>
    <n v="0.20844747452308929"/>
    <m/>
    <m/>
    <m/>
    <m/>
    <m/>
    <m/>
    <m/>
    <m/>
    <m/>
    <m/>
    <m/>
    <n v="504.32805873306802"/>
    <n v="0.22765195232737193"/>
    <n v="0.29288697701365063"/>
    <n v="385.57727191175974"/>
    <n v="375.06588181768177"/>
    <x v="6"/>
    <n v="4.8813386259591285"/>
    <n v="1.3321822791215501"/>
    <n v="0.1"/>
    <n v="0"/>
    <n v="0.2"/>
    <x v="9"/>
    <n v="0.12910107711741586"/>
    <n v="0.08"/>
    <n v="375.06588181768177"/>
    <n v="0.12910107711741586"/>
    <n v="12.646819354107686"/>
    <n v="35.030180653949536"/>
    <n v="14100.511140868204"/>
    <n v="15.039413146493768"/>
    <n v="607817.73096959421"/>
    <x v="2"/>
    <n v="1.8220313873133468E-6"/>
    <n v="1341005.1114086821"/>
    <n v="0.45325534242826376"/>
  </r>
  <r>
    <x v="0"/>
    <n v="1000"/>
    <n v="25"/>
    <x v="0"/>
    <n v="17.790295629662843"/>
    <n v="5.7181402649190156"/>
    <n v="21.359831685801506"/>
    <n v="5.4271658248129313"/>
    <m/>
    <n v="0.13788974516431277"/>
    <n v="0.08"/>
    <n v="110.14111879428785"/>
    <n v="61.522968263839267"/>
    <n v="1.1618982429022839"/>
    <m/>
    <m/>
    <m/>
    <m/>
    <m/>
    <m/>
    <m/>
    <m/>
    <m/>
    <m/>
    <m/>
    <n v="0.21408932035761655"/>
    <m/>
    <m/>
    <m/>
    <m/>
    <m/>
    <m/>
    <m/>
    <m/>
    <m/>
    <m/>
    <m/>
    <n v="872.71482623035479"/>
    <n v="0.26770530540837678"/>
    <n v="0.2781224628290157"/>
    <n v="336.03430859664155"/>
    <n v="291.76570477921268"/>
    <x v="6"/>
    <n v="4.8813386259591285"/>
    <n v="1.3321822791215501"/>
    <n v="0.1"/>
    <n v="0"/>
    <n v="0.2"/>
    <x v="0"/>
    <n v="8.824718719845151E-2"/>
    <n v="0.08"/>
    <n v="291.76570477921268"/>
    <n v="8.824718719845151E-2"/>
    <n v="60.744756446448029"/>
    <n v="205.1617100090034"/>
    <n v="111876.10006195075"/>
    <n v="79.024659462658533"/>
    <n v="338769.08735760232"/>
    <x v="3"/>
    <n v="6.4348085647893643E-6"/>
    <n v="2318761.0006195074"/>
    <n v="0.14609918282526435"/>
  </r>
  <r>
    <x v="1"/>
    <n v="1000"/>
    <n v="25"/>
    <x v="0"/>
    <n v="17.65963583664179"/>
    <n v="5.8240257679527065"/>
    <n v="21.285494411605196"/>
    <n v="5.4353055124048257"/>
    <m/>
    <n v="0.13655933551536259"/>
    <n v="0.08"/>
    <n v="110.31527504404733"/>
    <n v="61.620249002805728"/>
    <n v="1.1714898883622809"/>
    <m/>
    <m/>
    <m/>
    <m/>
    <m/>
    <m/>
    <m/>
    <m/>
    <m/>
    <m/>
    <m/>
    <n v="0.21553340206702762"/>
    <m/>
    <m/>
    <m/>
    <m/>
    <m/>
    <m/>
    <m/>
    <m/>
    <m/>
    <m/>
    <m/>
    <n v="870.41680459120494"/>
    <n v="0.27361477517653304"/>
    <n v="0.2473870208748753"/>
    <n v="328.6153502548795"/>
    <n v="284.67186041006511"/>
    <x v="6"/>
    <n v="4.8813386259591285"/>
    <n v="1.3321822791215501"/>
    <n v="0.1"/>
    <n v="0"/>
    <n v="0.2"/>
    <x v="0"/>
    <n v="8.7279190567894169E-2"/>
    <n v="0.08"/>
    <n v="284.67186041006511"/>
    <n v="8.7279190567894169E-2"/>
    <n v="61.406595352140187"/>
    <n v="205.68201294302966"/>
    <n v="112652.83510701299"/>
    <n v="79.856263451792088"/>
    <n v="337254.66842677206"/>
    <x v="3"/>
    <n v="6.3704489429528967E-6"/>
    <n v="2326528.3510701298"/>
    <n v="0.14496048082613974"/>
  </r>
  <r>
    <x v="2"/>
    <n v="1000"/>
    <n v="25"/>
    <x v="0"/>
    <n v="17.469865137649808"/>
    <n v="5.9553610063678075"/>
    <n v="21.164997948248519"/>
    <n v="5.4446624371268202"/>
    <m/>
    <n v="0.13661009600859891"/>
    <n v="0.08"/>
    <n v="110.51717270075623"/>
    <n v="61.733025623038223"/>
    <n v="1.1611791585234634"/>
    <m/>
    <m/>
    <m/>
    <m/>
    <m/>
    <m/>
    <m/>
    <m/>
    <m/>
    <m/>
    <m/>
    <n v="0.21326926543791838"/>
    <m/>
    <m/>
    <m/>
    <m/>
    <m/>
    <m/>
    <m/>
    <m/>
    <m/>
    <m/>
    <m/>
    <n v="856.51655910144927"/>
    <n v="0.28137782110489812"/>
    <n v="0.21674345375759832"/>
    <n v="319.3984185691358"/>
    <n v="275.92697983971829"/>
    <x v="6"/>
    <n v="4.8813386259591285"/>
    <n v="1.3321822791215501"/>
    <n v="0.1"/>
    <n v="0"/>
    <n v="0.2"/>
    <x v="0"/>
    <n v="8.6782549791550825E-2"/>
    <n v="0.08"/>
    <n v="275.92697983971829"/>
    <n v="8.6782549791550825E-2"/>
    <n v="62.189045074841999"/>
    <n v="206.28678295590643"/>
    <n v="113468.5462660698"/>
    <n v="80.694140010015744"/>
    <n v="334418.18118792406"/>
    <x v="3"/>
    <n v="6.2867482233837385E-6"/>
    <n v="2334685.4626606982"/>
    <n v="0.14323907290141263"/>
  </r>
  <r>
    <x v="3"/>
    <n v="1000"/>
    <n v="25"/>
    <x v="0"/>
    <n v="17.212831944834697"/>
    <n v="6.1336863557306804"/>
    <n v="21.002049356325269"/>
    <n v="5.4574685829102556"/>
    <m/>
    <n v="0.13671431410343568"/>
    <n v="0.08"/>
    <n v="110.79378453857659"/>
    <n v="61.887536322638148"/>
    <n v="1.1471019851935935"/>
    <m/>
    <m/>
    <m/>
    <m/>
    <m/>
    <m/>
    <m/>
    <m/>
    <m/>
    <m/>
    <m/>
    <n v="0.21018938868208539"/>
    <m/>
    <m/>
    <m/>
    <m/>
    <m/>
    <m/>
    <m/>
    <m/>
    <m/>
    <m/>
    <m/>
    <n v="838.22426155209996"/>
    <n v="0.29205180178682771"/>
    <n v="0.18609500372554102"/>
    <n v="307.50513662247084"/>
    <n v="264.67326895530317"/>
    <x v="6"/>
    <n v="4.8813386259591285"/>
    <n v="1.3321822791215501"/>
    <n v="0.1"/>
    <n v="0"/>
    <n v="0.2"/>
    <x v="0"/>
    <n v="8.613822488023791E-2"/>
    <n v="0.08"/>
    <n v="264.67326895530317"/>
    <n v="8.613822488023791E-2"/>
    <n v="63.251724253434745"/>
    <n v="207.11813934093578"/>
    <n v="114581.25592632717"/>
    <n v="81.831554109156471"/>
    <n v="330530.39015904412"/>
    <x v="3"/>
    <n v="6.1738410031155436E-6"/>
    <n v="2345812.5592632717"/>
    <n v="0.14090230221243713"/>
  </r>
  <r>
    <x v="4"/>
    <n v="1000"/>
    <n v="25"/>
    <x v="0"/>
    <n v="16.842278209010026"/>
    <n v="6.3863424557621853"/>
    <n v="20.764559511138366"/>
    <n v="5.4751326004031107"/>
    <m/>
    <n v="0.13742020578068281"/>
    <n v="0.08"/>
    <n v="111.1771263440107"/>
    <n v="62.101664579079547"/>
    <n v="1.1207667104523837"/>
    <m/>
    <m/>
    <m/>
    <m/>
    <m/>
    <m/>
    <m/>
    <m/>
    <m/>
    <m/>
    <m/>
    <n v="0.20470129077236712"/>
    <m/>
    <m/>
    <m/>
    <m/>
    <m/>
    <m/>
    <m/>
    <m/>
    <m/>
    <m/>
    <m/>
    <n v="810.14748820105001"/>
    <n v="0.30755973669157166"/>
    <n v="0.1554773242710811"/>
    <n v="291.67373256536871"/>
    <n v="249.76413297485746"/>
    <x v="6"/>
    <n v="4.8813386259591285"/>
    <n v="1.3321822791215501"/>
    <n v="0.1"/>
    <n v="0"/>
    <n v="0.2"/>
    <x v="0"/>
    <n v="8.5464946302318642E-2"/>
    <n v="0.08"/>
    <n v="249.76413297485746"/>
    <n v="8.5464946302318642E-2"/>
    <n v="64.746723000048647"/>
    <n v="208.2756401727901"/>
    <n v="116100.68529423048"/>
    <n v="83.368389526108814"/>
    <n v="324657.5724799133"/>
    <x v="3"/>
    <n v="6.0147642809949143E-6"/>
    <n v="2361006.8529423047"/>
    <n v="0.13750810256027957"/>
  </r>
  <r>
    <x v="5"/>
    <n v="1000"/>
    <n v="25"/>
    <x v="0"/>
    <n v="16.28026653683267"/>
    <n v="6.7767933123952222"/>
    <n v="20.408498144569343"/>
    <n v="5.5034096170898188"/>
    <m/>
    <n v="0.13827884154001371"/>
    <n v="0.08"/>
    <n v="111.79125722136561"/>
    <n v="62.444707712206956"/>
    <n v="1.085321219619261"/>
    <m/>
    <m/>
    <m/>
    <m/>
    <m/>
    <m/>
    <m/>
    <m/>
    <m/>
    <m/>
    <m/>
    <n v="0.19720887506701246"/>
    <m/>
    <m/>
    <m/>
    <m/>
    <m/>
    <m/>
    <m/>
    <m/>
    <m/>
    <m/>
    <m/>
    <n v="771.72423013172909"/>
    <n v="0.332057423549244"/>
    <n v="0.12482451010714153"/>
    <n v="269.5747612158965"/>
    <n v="229.06362032209881"/>
    <x v="6"/>
    <n v="4.8813386259591285"/>
    <n v="1.3321822791215501"/>
    <n v="0.1"/>
    <n v="0"/>
    <n v="0.2"/>
    <x v="0"/>
    <n v="8.4386709687952186E-2"/>
    <n v="0.08"/>
    <n v="229.06362032209881"/>
    <n v="8.4386709687952186E-2"/>
    <n v="67.068314292106763"/>
    <n v="210.1431654426157"/>
    <n v="118518.08853046603"/>
    <n v="85.790815173009833"/>
    <n v="315698.77952273662"/>
    <x v="3"/>
    <n v="5.7732170410313541E-6"/>
    <n v="2385180.8853046605"/>
    <n v="0.1323584225698724"/>
  </r>
  <r>
    <x v="6"/>
    <n v="1000"/>
    <n v="25"/>
    <x v="0"/>
    <n v="15.330668134428048"/>
    <n v="7.4414011903453758"/>
    <n v="19.809698016828904"/>
    <n v="5.5529591103709626"/>
    <m/>
    <n v="0.14046297098834534"/>
    <n v="0.08"/>
    <n v="112.87188154681456"/>
    <n v="63.04832620462394"/>
    <n v="1.0228116984473612"/>
    <m/>
    <m/>
    <m/>
    <m/>
    <m/>
    <m/>
    <m/>
    <m/>
    <m/>
    <m/>
    <m/>
    <n v="0.18419218980689248"/>
    <m/>
    <m/>
    <m/>
    <m/>
    <m/>
    <m/>
    <m/>
    <m/>
    <m/>
    <m/>
    <m/>
    <n v="710.39404397452699"/>
    <n v="0.37564435278234393"/>
    <n v="9.4132028186024716E-2"/>
    <n v="237.1365365236642"/>
    <n v="198.98819475084593"/>
    <x v="6"/>
    <n v="4.8813386259591285"/>
    <n v="1.3321822791215501"/>
    <n v="0.1"/>
    <n v="0"/>
    <n v="0.2"/>
    <x v="0"/>
    <n v="8.2939285631094678E-2"/>
    <n v="0.08"/>
    <n v="198.98819475084593"/>
    <n v="8.2939285631094678E-2"/>
    <n v="71.018475441607748"/>
    <n v="213.46939077588496"/>
    <n v="122670.63035775778"/>
    <n v="89.862324115382577"/>
    <n v="300005.35838911042"/>
    <x v="3"/>
    <n v="5.3710568322027613E-6"/>
    <n v="2426706.3035775777"/>
    <n v="0.12362656245085232"/>
  </r>
  <r>
    <x v="7"/>
    <n v="1000"/>
    <n v="25"/>
    <x v="0"/>
    <n v="13.458682547703646"/>
    <n v="8.6682767344600489"/>
    <n v="18.581911715192636"/>
    <n v="5.634056555950143"/>
    <m/>
    <n v="0.14889114112135121"/>
    <n v="0.08"/>
    <n v="114.6942317795726"/>
    <n v="64.066260258344371"/>
    <n v="0.88720182422147253"/>
    <m/>
    <m/>
    <m/>
    <m/>
    <m/>
    <m/>
    <m/>
    <m/>
    <m/>
    <m/>
    <m/>
    <n v="0.15747123150272538"/>
    <m/>
    <m/>
    <m/>
    <m/>
    <m/>
    <m/>
    <m/>
    <m/>
    <m/>
    <m/>
    <m/>
    <n v="598.09991368363035"/>
    <n v="0.46649003973971287"/>
    <n v="6.3481073776033514E-2"/>
    <n v="187.98905331710372"/>
    <n v="154.49900157289488"/>
    <x v="6"/>
    <n v="4.8813386259591285"/>
    <n v="1.3321822791215501"/>
    <n v="0.1"/>
    <n v="0"/>
    <n v="0.2"/>
    <x v="0"/>
    <n v="8.1944100088950381E-2"/>
    <n v="0.08"/>
    <n v="154.49900157289488"/>
    <n v="8.1944100088950381E-2"/>
    <n v="78.137481890550191"/>
    <n v="219.19864791640384"/>
    <n v="129556.81312566985"/>
    <n v="96.437672187181803"/>
    <n v="271672.28331789951"/>
    <x v="3"/>
    <n v="4.6177607115757033E-6"/>
    <n v="2495568.1312566986"/>
    <n v="0.10886189798436514"/>
  </r>
  <r>
    <x v="8"/>
    <n v="1000"/>
    <n v="25"/>
    <x v="0"/>
    <n v="9.3377778114751351"/>
    <n v="5.0326112714514508"/>
    <n v="12.286062501504913"/>
    <n v="3.5933560577339332"/>
    <m/>
    <n v="0.1622778480062203"/>
    <n v="0.08"/>
    <n v="73.399853280748317"/>
    <n v="40.999918045104643"/>
    <n v="0.66951710974794132"/>
    <m/>
    <m/>
    <m/>
    <m/>
    <m/>
    <m/>
    <m/>
    <m/>
    <m/>
    <m/>
    <m/>
    <n v="0.18632083739849503"/>
    <m/>
    <m/>
    <m/>
    <m/>
    <m/>
    <m/>
    <m/>
    <m/>
    <m/>
    <m/>
    <m/>
    <n v="518.71604326330248"/>
    <n v="0.40961954009553581"/>
    <n v="4.8430752218692329E-2"/>
    <n v="207.19321126151894"/>
    <n v="183.95748838933204"/>
    <x v="6"/>
    <n v="4.8813386259591285"/>
    <n v="1.3321822791215501"/>
    <n v="0.1"/>
    <n v="0"/>
    <n v="0.2"/>
    <x v="0"/>
    <n v="9.0173986900534478E-2"/>
    <n v="0.08"/>
    <n v="183.95748838933204"/>
    <n v="9.0173986900534478E-2"/>
    <n v="46.974730796587387"/>
    <n v="116.35991671337781"/>
    <n v="62876.916118239846"/>
    <n v="56.431705008243568"/>
    <n v="650583.90760658658"/>
    <x v="3"/>
    <n v="3.4437617948209541E-6"/>
    <n v="1828769.1611823984"/>
    <n v="0.35574960548107054"/>
  </r>
  <r>
    <x v="9"/>
    <n v="1000"/>
    <n v="25"/>
    <x v="0"/>
    <n v="3.3801263131368544"/>
    <n v="1.0970493245249413"/>
    <n v="4.0371205343881735"/>
    <n v="1.0557621905118333"/>
    <m/>
    <n v="0.20091869446646785"/>
    <n v="0.08"/>
    <n v="21.572823834779314"/>
    <n v="12.050214948582452"/>
    <n v="0.23678257136371272"/>
    <m/>
    <m/>
    <m/>
    <m/>
    <m/>
    <m/>
    <m/>
    <m/>
    <m/>
    <m/>
    <m/>
    <n v="0.22427642653969318"/>
    <m/>
    <m/>
    <m/>
    <m/>
    <m/>
    <m/>
    <m/>
    <m/>
    <m/>
    <m/>
    <m/>
    <n v="430.06915860191185"/>
    <n v="0.27174054259224623"/>
    <n v="4.2298563097269995E-2"/>
    <n v="320.08886199363565"/>
    <n v="311.67787292005568"/>
    <x v="6"/>
    <n v="4.8813386259591285"/>
    <n v="1.3321822791215501"/>
    <n v="0.1"/>
    <n v="0"/>
    <n v="0.2"/>
    <x v="0"/>
    <n v="0.12691743896065533"/>
    <n v="0.08"/>
    <n v="311.67787292005568"/>
    <n v="0.12691743896065533"/>
    <n v="11.641405579347222"/>
    <n v="29.609159623479325"/>
    <n v="12153.556619340663"/>
    <n v="13.77866397205999"/>
    <n v="827382.89713225386"/>
    <x v="3"/>
    <n v="1.1932656569210202E-6"/>
    <n v="1321535.5661934067"/>
    <n v="0.62607690500186386"/>
  </r>
  <r>
    <x v="0"/>
    <n v="100"/>
    <n v="25"/>
    <x v="0"/>
    <n v="3.1068708197041284"/>
    <n v="0.39000105578940003"/>
    <n v="3.5038241288740308"/>
    <n v="4.3003541486398147"/>
    <m/>
    <n v="0.9455688212751836"/>
    <n v="0.36"/>
    <n v="21.654870926813334"/>
    <n v="7.9874523910377055"/>
    <n v="1.2005271211626498"/>
    <m/>
    <m/>
    <m/>
    <m/>
    <m/>
    <m/>
    <m/>
    <m/>
    <m/>
    <m/>
    <m/>
    <n v="0.27916936132861797"/>
    <m/>
    <m/>
    <m/>
    <m/>
    <m/>
    <m/>
    <m/>
    <m/>
    <m/>
    <m/>
    <m/>
    <n v="974.792387726573"/>
    <n v="0.11130725785449984"/>
    <n v="0.17513311976987633"/>
    <n v="382.25994704036259"/>
    <n v="374.52882714524799"/>
    <x v="7"/>
    <n v="19.525354503836514"/>
    <n v="5.3287291164862003"/>
    <n v="0.4"/>
    <n v="0"/>
    <n v="0.5"/>
    <x v="0"/>
    <n v="0.91590730085561478"/>
    <n v="0.36"/>
    <n v="374.52882714524799"/>
    <n v="0.91590730085561478"/>
    <n v="6.0208491743337014"/>
    <n v="70.627954185344166"/>
    <n v="23918.15357819567"/>
    <n v="10.153158324736697"/>
    <n v="16555.762582313953"/>
    <x v="0"/>
    <n v="1.9289176286463555E-6"/>
    <n v="1439181.5357819567"/>
    <n v="1.1503595738753442E-2"/>
  </r>
  <r>
    <x v="0"/>
    <n v="200"/>
    <n v="25"/>
    <x v="0"/>
    <n v="5.9219570690711274"/>
    <n v="0.59108413314203156"/>
    <n v="6.5113375264672007"/>
    <n v="7.9458789697476524"/>
    <m/>
    <n v="0.99999999932410788"/>
    <n v="0.36"/>
    <n v="40.107630396098493"/>
    <n v="14.793798096921579"/>
    <n v="1.87700270741745"/>
    <m/>
    <m/>
    <m/>
    <m/>
    <m/>
    <m/>
    <m/>
    <m/>
    <m/>
    <m/>
    <m/>
    <n v="0.23622342028663701"/>
    <m/>
    <m/>
    <m/>
    <m/>
    <m/>
    <m/>
    <m/>
    <m/>
    <m/>
    <m/>
    <m/>
    <n v="1293.9810063645759"/>
    <n v="9.0777682886104494E-2"/>
    <n v="0.19882889320058805"/>
    <n v="370.21581233117473"/>
    <n v="355.47965265585105"/>
    <x v="7"/>
    <n v="19.525354503836514"/>
    <n v="5.3287291164862003"/>
    <n v="0.4"/>
    <n v="0"/>
    <n v="0.5"/>
    <x v="0"/>
    <n v="0.99999999900000003"/>
    <n v="0.36"/>
    <n v="355.47965265585105"/>
    <n v="0.99999999900000003"/>
    <n v="10.063750809594167"/>
    <n v="102.66362054985481"/>
    <n v="37485.702354050904"/>
    <n v="14.871735780168169"/>
    <n v="46887.009476411928"/>
    <x v="0"/>
    <n v="3.4381058567380234E-6"/>
    <n v="1574857.0235405089"/>
    <n v="2.9772232510988886E-2"/>
  </r>
  <r>
    <x v="0"/>
    <n v="300"/>
    <n v="25"/>
    <x v="0"/>
    <n v="8.4196827726733172"/>
    <n v="0.73134582272991222"/>
    <n v="9.1463285184069676"/>
    <n v="11.147443240887458"/>
    <m/>
    <n v="0.99999999928676875"/>
    <n v="0.36"/>
    <n v="56.370652701962058"/>
    <n v="20.792453865477807"/>
    <n v="2.5472740539340339"/>
    <m/>
    <m/>
    <m/>
    <m/>
    <m/>
    <m/>
    <m/>
    <m/>
    <m/>
    <m/>
    <m/>
    <n v="0.22850747017853781"/>
    <m/>
    <m/>
    <m/>
    <m/>
    <m/>
    <m/>
    <m/>
    <m/>
    <m/>
    <m/>
    <m/>
    <n v="1613.1113581543691"/>
    <n v="7.9960589788359362E-2"/>
    <n v="0.21275625680702173"/>
    <n v="360.4256866564902"/>
    <n v="339.47433118735108"/>
    <x v="7"/>
    <n v="19.525354503836514"/>
    <n v="5.3287291164862003"/>
    <n v="0.4"/>
    <n v="0"/>
    <n v="0.5"/>
    <x v="0"/>
    <n v="0.99999999900000003"/>
    <n v="0.36"/>
    <n v="339.47433118735108"/>
    <n v="0.99999999900000003"/>
    <n v="13.33949448243559"/>
    <n v="125.47041177434643"/>
    <n v="48297.38947271723"/>
    <n v="18.918721973130761"/>
    <n v="82494.68020198516"/>
    <x v="0"/>
    <n v="4.5472865698456476E-6"/>
    <n v="1682973.8947271723"/>
    <n v="4.9017207254636833E-2"/>
  </r>
  <r>
    <x v="0"/>
    <n v="400"/>
    <n v="25"/>
    <x v="0"/>
    <n v="10.647717492757128"/>
    <n v="0.84210998828815364"/>
    <n v="11.483390258164867"/>
    <n v="14.001638012467961"/>
    <m/>
    <n v="0.99999999926132321"/>
    <n v="0.36"/>
    <n v="70.910918785325137"/>
    <n v="26.155666765078948"/>
    <n v="3.1466116375962461"/>
    <m/>
    <m/>
    <m/>
    <m/>
    <m/>
    <m/>
    <m/>
    <m/>
    <m/>
    <m/>
    <m/>
    <n v="0.22473168030728263"/>
    <m/>
    <m/>
    <m/>
    <m/>
    <m/>
    <m/>
    <m/>
    <m/>
    <m/>
    <m/>
    <m/>
    <n v="1898.8472814951988"/>
    <n v="7.3332872031358548E-2"/>
    <n v="0.2219977123559051"/>
    <n v="352.03681434479478"/>
    <n v="325.54146269707621"/>
    <x v="7"/>
    <n v="19.525354503836514"/>
    <n v="5.3287291164862003"/>
    <n v="0.4"/>
    <n v="0"/>
    <n v="0.5"/>
    <x v="0"/>
    <n v="0.99999999900000003"/>
    <n v="0.36"/>
    <n v="325.54146269707621"/>
    <n v="0.99999999900000003"/>
    <n v="16.136651598590706"/>
    <n v="143.52239921631468"/>
    <n v="57372.827307077227"/>
    <n v="22.324709289150249"/>
    <n v="120441.97871519628"/>
    <x v="0"/>
    <n v="5.3916363516093043E-6"/>
    <n v="1773728.2730707722"/>
    <n v="6.7903286283349795E-2"/>
  </r>
  <r>
    <x v="0"/>
    <n v="600"/>
    <n v="25"/>
    <x v="0"/>
    <n v="14.434017147478089"/>
    <n v="1.0106380240297914"/>
    <n v="15.435767330215647"/>
    <n v="18.863081668110549"/>
    <m/>
    <n v="0.99999999922840788"/>
    <n v="0.36"/>
    <n v="95.769343661529732"/>
    <n v="35.324757907941297"/>
    <n v="4.1808489397089321"/>
    <m/>
    <m/>
    <m/>
    <m/>
    <m/>
    <m/>
    <m/>
    <m/>
    <m/>
    <m/>
    <m/>
    <n v="0.22164188297911946"/>
    <m/>
    <m/>
    <m/>
    <m/>
    <m/>
    <m/>
    <m/>
    <m/>
    <m/>
    <m/>
    <m/>
    <n v="2392.8172212148124"/>
    <n v="6.5473779334018517E-2"/>
    <n v="0.23397567584100309"/>
    <n v="338.30975337245462"/>
    <n v="302.39275136034797"/>
    <x v="7"/>
    <n v="19.525354503836514"/>
    <n v="5.3287291164862003"/>
    <n v="0.4"/>
    <n v="0"/>
    <n v="0.5"/>
    <x v="0"/>
    <n v="0.99999999900000003"/>
    <n v="0.36"/>
    <n v="302.39275136034797"/>
    <n v="0.99999999900000003"/>
    <n v="20.72682840445507"/>
    <n v="170.75644819601933"/>
    <n v="71853.289712099635"/>
    <n v="27.816020093045566"/>
    <n v="197686.80959587367"/>
    <x v="0"/>
    <n v="6.5770672664465496E-6"/>
    <n v="1918532.8971209964"/>
    <n v="0.10304061498894701"/>
  </r>
  <r>
    <x v="0"/>
    <n v="800"/>
    <n v="25"/>
    <x v="0"/>
    <n v="17.474874034413702"/>
    <n v="1.13313120329117"/>
    <n v="18.59632585747427"/>
    <n v="22.784777692254668"/>
    <m/>
    <n v="0.99999999920793692"/>
    <n v="0.36"/>
    <n v="115.91810276486198"/>
    <n v="42.756677249334345"/>
    <n v="5.0324605521992574"/>
    <m/>
    <m/>
    <m/>
    <m/>
    <m/>
    <m/>
    <m/>
    <m/>
    <m/>
    <m/>
    <m/>
    <n v="0.22086941642226179"/>
    <m/>
    <m/>
    <m/>
    <m/>
    <m/>
    <m/>
    <m/>
    <m/>
    <m/>
    <m/>
    <m/>
    <n v="2800.445531951158"/>
    <n v="6.0933068820997228E-2"/>
    <n v="0.24169682105668747"/>
    <n v="327.69919787105869"/>
    <n v="284.21525585153267"/>
    <x v="7"/>
    <n v="19.525354503836514"/>
    <n v="5.3287291164862003"/>
    <n v="0.4"/>
    <n v="0"/>
    <n v="0.5"/>
    <x v="0"/>
    <n v="0.99999999900000003"/>
    <n v="0.36"/>
    <n v="284.21525585153267"/>
    <n v="0.99999999900000003"/>
    <n v="24.313316969535023"/>
    <n v="189.95029271300513"/>
    <n v="82616.485545263742"/>
    <n v="32.004195852987159"/>
    <n v="271086.37134326331"/>
    <x v="0"/>
    <n v="7.3517935778042328E-6"/>
    <n v="2026164.8554526374"/>
    <n v="0.13379285037628572"/>
  </r>
  <r>
    <x v="0"/>
    <n v="1000"/>
    <n v="25"/>
    <x v="0"/>
    <n v="19.900015960108238"/>
    <n v="1.2241666165034462"/>
    <n v="21.108997511875881"/>
    <n v="25.927330907714463"/>
    <m/>
    <n v="0.9999999991940578"/>
    <n v="0.36"/>
    <n v="132.13928269078482"/>
    <n v="48.739899353158343"/>
    <n v="5.7288658313429082"/>
    <m/>
    <m/>
    <m/>
    <m/>
    <m/>
    <m/>
    <m/>
    <m/>
    <m/>
    <m/>
    <m/>
    <n v="0.22095856498820446"/>
    <m/>
    <m/>
    <m/>
    <m/>
    <m/>
    <m/>
    <m/>
    <m/>
    <m/>
    <m/>
    <m/>
    <n v="3134.4139125867437"/>
    <n v="5.7992645828620348E-2"/>
    <n v="0.24720335909649646"/>
    <n v="319.49941120201277"/>
    <n v="269.98099691529308"/>
    <x v="7"/>
    <n v="19.525354503836514"/>
    <n v="5.3287291164862003"/>
    <n v="0.4"/>
    <n v="0"/>
    <n v="0.5"/>
    <x v="0"/>
    <n v="0.99999999899999992"/>
    <n v="0.36"/>
    <n v="269.98099691529308"/>
    <n v="0.99999999899999992"/>
    <n v="27.125511191377754"/>
    <n v="203.55023273719939"/>
    <n v="90552.072610118077"/>
    <n v="35.209064669168235"/>
    <n v="336702.22620701423"/>
    <x v="0"/>
    <n v="7.8839827649173282E-6"/>
    <n v="2105520.7261011805"/>
    <n v="0.15991399278718571"/>
  </r>
  <r>
    <x v="0"/>
    <n v="1300"/>
    <n v="25"/>
    <x v="0"/>
    <n v="22.625241886381041"/>
    <n v="1.3199292902488908"/>
    <n v="23.923973741513318"/>
    <n v="29.478476827838659"/>
    <m/>
    <n v="0.9999999991802152"/>
    <n v="0.36"/>
    <n v="150.57309383581358"/>
    <n v="55.539255923045992"/>
    <n v="6.5338513423535609"/>
    <m/>
    <m/>
    <m/>
    <m/>
    <m/>
    <m/>
    <m/>
    <m/>
    <m/>
    <m/>
    <m/>
    <n v="0.22164820049939529"/>
    <m/>
    <m/>
    <m/>
    <m/>
    <m/>
    <m/>
    <m/>
    <m/>
    <m/>
    <m/>
    <m/>
    <n v="3521.2108041335478"/>
    <n v="5.5171824902922599E-2"/>
    <n v="0.25303574070828566"/>
    <n v="310.58479792993063"/>
    <n v="254.28513295677047"/>
    <x v="7"/>
    <n v="19.525354503836514"/>
    <n v="5.3287291164862003"/>
    <n v="0.4"/>
    <n v="0"/>
    <n v="0.5"/>
    <x v="0"/>
    <n v="0.99999999900000003"/>
    <n v="0.36"/>
    <n v="254.28513295677047"/>
    <n v="0.99999999900000003"/>
    <n v="30.241259870906283"/>
    <n v="216.84525698103187"/>
    <n v="98633.738597357558"/>
    <n v="38.661627022100866"/>
    <n v="417567.64474463958"/>
    <x v="0"/>
    <n v="8.4141302086249315E-6"/>
    <n v="2186337.3859735755"/>
    <n v="0.19098957344074177"/>
  </r>
  <r>
    <x v="0"/>
    <n v="1600"/>
    <n v="25"/>
    <x v="0"/>
    <n v="24.546806905099132"/>
    <n v="1.3833075802410069"/>
    <n v="25.902920295227741"/>
    <n v="31.997509217487771"/>
    <m/>
    <n v="0.99999999917121529"/>
    <n v="0.36"/>
    <n v="163.73551541840962"/>
    <n v="60.394247490396999"/>
    <n v="7.1184725185214681"/>
    <m/>
    <m/>
    <m/>
    <m/>
    <m/>
    <m/>
    <m/>
    <m/>
    <m/>
    <m/>
    <m/>
    <n v="0.22246958255835023"/>
    <m/>
    <m/>
    <m/>
    <m/>
    <m/>
    <m/>
    <m/>
    <m/>
    <m/>
    <m/>
    <m/>
    <n v="3802.6649523883048"/>
    <n v="5.3403537688986459E-2"/>
    <n v="0.25706126874083635"/>
    <n v="304.50989748344119"/>
    <n v="243.42869312757193"/>
    <x v="7"/>
    <n v="19.525354503836514"/>
    <n v="5.3287291164862003"/>
    <n v="0.4"/>
    <n v="0"/>
    <n v="0.5"/>
    <x v="0"/>
    <n v="0.99999999900000003"/>
    <n v="0.36"/>
    <n v="243.42869312757193"/>
    <n v="0.99999999900000003"/>
    <n v="32.411285042877637"/>
    <n v="224.78821351390118"/>
    <n v="103693.83943234869"/>
    <n v="40.995626489341177"/>
    <n v="478726.9230016013"/>
    <x v="0"/>
    <n v="8.7567005376261777E-6"/>
    <n v="2236938.3943234868"/>
    <n v="0.21400988253249675"/>
  </r>
  <r>
    <x v="0"/>
    <n v="1900"/>
    <n v="25"/>
    <x v="0"/>
    <n v="25.922758162366048"/>
    <n v="1.4265300949020181"/>
    <n v="27.316677119640843"/>
    <n v="33.810198111876197"/>
    <m/>
    <n v="0.99999999916502524"/>
    <n v="0.36"/>
    <n v="173.26405155467378"/>
    <n v="63.908871475084595"/>
    <n v="7.5471130008803726"/>
    <m/>
    <m/>
    <m/>
    <m/>
    <m/>
    <m/>
    <m/>
    <m/>
    <m/>
    <m/>
    <m/>
    <n v="0.22322001710570774"/>
    <m/>
    <m/>
    <m/>
    <m/>
    <m/>
    <m/>
    <m/>
    <m/>
    <m/>
    <m/>
    <m/>
    <n v="4009.3298622966272"/>
    <n v="5.2221948103502495E-2"/>
    <n v="0.25995134452075624"/>
    <n v="300.27842244802775"/>
    <n v="235.77336185644336"/>
    <x v="7"/>
    <n v="19.525354503836514"/>
    <n v="5.3287291164862003"/>
    <n v="0.4"/>
    <n v="0"/>
    <n v="0.5"/>
    <x v="0"/>
    <n v="0.99999999900000003"/>
    <n v="0.36"/>
    <n v="235.77336185644336"/>
    <n v="0.99999999900000003"/>
    <n v="33.951548878238185"/>
    <n v="229.64853629388259"/>
    <n v="106936.03746285489"/>
    <n v="42.613027635632186"/>
    <n v="524338.69661553623"/>
    <x v="0"/>
    <n v="8.9914218803735421E-6"/>
    <n v="2269360.374628549"/>
    <n v="0.23105131405203128"/>
  </r>
  <r>
    <x v="0"/>
    <n v="1000"/>
    <n v="25"/>
    <x v="1"/>
    <n v="19.890890310294434"/>
    <n v="1.3499024352721034"/>
    <n v="21.174766702285019"/>
    <n v="25.753855690892635"/>
    <m/>
    <n v="0.99999999917671156"/>
    <n v="0.36"/>
    <n v="133.86551028341839"/>
    <n v="49.376622645523177"/>
    <n v="5.5585027943048821"/>
    <m/>
    <m/>
    <m/>
    <m/>
    <m/>
    <m/>
    <m/>
    <m/>
    <m/>
    <m/>
    <m/>
    <n v="0.21583186847903871"/>
    <m/>
    <m/>
    <m/>
    <m/>
    <m/>
    <m/>
    <m/>
    <m/>
    <m/>
    <m/>
    <m/>
    <n v="2851.0949421708915"/>
    <n v="6.3750522225419951E-2"/>
    <n v="0.25286905867547088"/>
    <n v="121.33916891816264"/>
    <n v="71.84354501845354"/>
    <x v="7"/>
    <n v="19.525354503836514"/>
    <n v="5.3287291164862003"/>
    <n v="0.4"/>
    <n v="0"/>
    <n v="0.5"/>
    <x v="0"/>
    <n v="0.99999999900000003"/>
    <n v="0.36"/>
    <n v="71.84354501845354"/>
    <n v="0.99999999900000003"/>
    <n v="27.809455138237766"/>
    <n v="207.83306165168375"/>
    <n v="92755.611374459084"/>
    <n v="35.737008090128391"/>
    <n v="342142.63414706546"/>
    <x v="1"/>
    <n v="7.7893241086738654E-6"/>
    <n v="2127556.1137445909"/>
    <n v="0.16081485791924877"/>
  </r>
  <r>
    <x v="0"/>
    <n v="1000"/>
    <n v="25"/>
    <x v="2"/>
    <n v="19.884219736647239"/>
    <n v="1.2639815797035392"/>
    <n v="21.115781692505823"/>
    <n v="25.914359287292246"/>
    <m/>
    <n v="0.99999999919398608"/>
    <n v="0.36"/>
    <n v="132.53855501643974"/>
    <n v="48.887171932293356"/>
    <n v="5.7303539711140559"/>
    <m/>
    <m/>
    <m/>
    <m/>
    <m/>
    <m/>
    <m/>
    <m/>
    <m/>
    <m/>
    <m/>
    <n v="0.22112659269658572"/>
    <m/>
    <m/>
    <m/>
    <m/>
    <m/>
    <m/>
    <m/>
    <m/>
    <m/>
    <m/>
    <m/>
    <n v="3035.5572145794454"/>
    <n v="5.9859568455007159E-2"/>
    <n v="0.2481165410328168"/>
    <n v="219.85935458443589"/>
    <n v="170.38022902242065"/>
    <x v="7"/>
    <n v="19.525354503836514"/>
    <n v="5.3287291164862003"/>
    <n v="0.4"/>
    <n v="0"/>
    <n v="0.5"/>
    <x v="0"/>
    <n v="0.99999999900000003"/>
    <n v="0.36"/>
    <n v="170.38022902242065"/>
    <n v="0.99999999900000003"/>
    <n v="27.328893100681462"/>
    <n v="204.5332477309081"/>
    <n v="91033.904288058839"/>
    <n v="35.295218671817828"/>
    <n v="337618.17716476548"/>
    <x v="1"/>
    <n v="7.8584188423595921E-6"/>
    <n v="2110339.0428805882"/>
    <n v="0.15998290810367638"/>
  </r>
  <r>
    <x v="0"/>
    <n v="1000"/>
    <n v="25"/>
    <x v="0"/>
    <n v="19.899986050984651"/>
    <n v="1.2241661207767858"/>
    <n v="21.108965983823818"/>
    <n v="25.927288233871877"/>
    <m/>
    <n v="0.99999999919405802"/>
    <n v="0.36"/>
    <n v="132.13906782313671"/>
    <n v="48.739820098697976"/>
    <n v="5.7288537521564784"/>
    <m/>
    <m/>
    <m/>
    <m/>
    <m/>
    <m/>
    <m/>
    <m/>
    <m/>
    <m/>
    <m/>
    <n v="0.22095846277792369"/>
    <m/>
    <m/>
    <m/>
    <m/>
    <m/>
    <m/>
    <m/>
    <m/>
    <m/>
    <m/>
    <m/>
    <n v="3134.4080992590384"/>
    <n v="5.7992708961437822E-2"/>
    <n v="0.24720321613003549"/>
    <n v="319.49948563566937"/>
    <n v="269.98122318080027"/>
    <x v="7"/>
    <n v="19.525354503836514"/>
    <n v="5.3287291164862003"/>
    <n v="0.4"/>
    <n v="0"/>
    <n v="0.5"/>
    <x v="0"/>
    <n v="0.99999999900000003"/>
    <n v="0.36"/>
    <n v="269.98122318080027"/>
    <n v="0.99999999900000003"/>
    <n v="27.125479102936978"/>
    <n v="203.54970494310959"/>
    <n v="90551.830969500894"/>
    <n v="35.209044037199547"/>
    <n v="336700.99921259785"/>
    <x v="1"/>
    <n v="7.8839828126859173E-6"/>
    <n v="2105518.3096950091"/>
    <n v="0.1599135935613735"/>
  </r>
  <r>
    <x v="0"/>
    <n v="1000"/>
    <n v="25"/>
    <x v="3"/>
    <n v="19.916970680943511"/>
    <n v="1.1927686147078382"/>
    <n v="21.108466828446918"/>
    <n v="25.911335818168222"/>
    <m/>
    <n v="0.99999999919188409"/>
    <n v="0.36"/>
    <n v="131.85759699099978"/>
    <n v="48.635998890122877"/>
    <n v="5.6968092242632515"/>
    <m/>
    <m/>
    <m/>
    <m/>
    <m/>
    <m/>
    <m/>
    <m/>
    <m/>
    <m/>
    <m/>
    <n v="0.21985779753851309"/>
    <m/>
    <m/>
    <m/>
    <m/>
    <m/>
    <m/>
    <m/>
    <m/>
    <m/>
    <m/>
    <m/>
    <n v="3218.1358699354082"/>
    <n v="5.6506643727454349E-2"/>
    <n v="0.24677790131779193"/>
    <n v="419.29191967924578"/>
    <n v="369.73125780378342"/>
    <x v="7"/>
    <n v="19.525354503836514"/>
    <n v="5.3287291164862003"/>
    <n v="0.4"/>
    <n v="0"/>
    <n v="0.5"/>
    <x v="0"/>
    <n v="0.99999999900000003"/>
    <n v="0.36"/>
    <n v="369.73125780378342"/>
    <n v="0.99999999900000003"/>
    <n v="26.969706919299369"/>
    <n v="202.85942390433914"/>
    <n v="90238.037461937289"/>
    <n v="35.18531215545687"/>
    <n v="336236.40372472082"/>
    <x v="1"/>
    <n v="7.9029789242338766E-6"/>
    <n v="2102380.3746193731"/>
    <n v="0.15993128921097113"/>
  </r>
  <r>
    <x v="0"/>
    <n v="1000"/>
    <n v="25"/>
    <x v="4"/>
    <n v="19.934134669002727"/>
    <n v="1.1647422180422251"/>
    <n v="21.110156093733323"/>
    <n v="25.88628025502085"/>
    <m/>
    <n v="0.99999999918904359"/>
    <n v="0.36"/>
    <n v="131.61944642236836"/>
    <n v="48.548156467267013"/>
    <n v="5.6553204366013716"/>
    <m/>
    <m/>
    <m/>
    <m/>
    <m/>
    <m/>
    <m/>
    <m/>
    <m/>
    <m/>
    <m/>
    <n v="0.21846786718244221"/>
    <m/>
    <m/>
    <m/>
    <m/>
    <m/>
    <m/>
    <m/>
    <m/>
    <m/>
    <m/>
    <m/>
    <n v="3297.1909840097346"/>
    <n v="5.5174495767370754E-2"/>
    <n v="0.24650845091397458"/>
    <n v="519.13407189451993"/>
    <n v="469.53076570904688"/>
    <x v="7"/>
    <n v="19.525354503836514"/>
    <n v="5.3287291164862003"/>
    <n v="0.4"/>
    <n v="0"/>
    <n v="0.5"/>
    <x v="0"/>
    <n v="0.99999999900000003"/>
    <n v="0.36"/>
    <n v="469.53076570904688"/>
    <n v="0.99999999900000003"/>
    <n v="26.832717483721545"/>
    <n v="202.27711500903015"/>
    <n v="89985.172458617628"/>
    <n v="35.183011274762848"/>
    <n v="335929.67693930457"/>
    <x v="1"/>
    <n v="7.9195165847168738E-6"/>
    <n v="2099851.7245861762"/>
    <n v="0.15997780843573953"/>
  </r>
  <r>
    <x v="0"/>
    <n v="1000"/>
    <n v="25"/>
    <x v="5"/>
    <n v="19.951298034226941"/>
    <n v="1.138648118353335"/>
    <n v="21.112987177861438"/>
    <n v="25.857970468341218"/>
    <m/>
    <n v="0.99999999918594895"/>
    <n v="0.36"/>
    <n v="131.40566561177792"/>
    <n v="48.469302889590217"/>
    <n v="5.610489901427691"/>
    <m/>
    <m/>
    <m/>
    <m/>
    <m/>
    <m/>
    <m/>
    <m/>
    <m/>
    <m/>
    <m/>
    <n v="0.21697332775195186"/>
    <m/>
    <m/>
    <m/>
    <m/>
    <m/>
    <m/>
    <m/>
    <m/>
    <m/>
    <m/>
    <m/>
    <n v="3374.5983713548389"/>
    <n v="5.3931170836275293E-2"/>
    <n v="0.24631037784014806"/>
    <n v="618.99936085041838"/>
    <n v="569.35342064099291"/>
    <x v="7"/>
    <n v="19.525354503836514"/>
    <n v="5.3287291164862003"/>
    <n v="0.4"/>
    <n v="0"/>
    <n v="0.5"/>
    <x v="0"/>
    <n v="0.99999999900000003"/>
    <n v="0.36"/>
    <n v="569.35342064099291"/>
    <n v="0.99999999900000003"/>
    <n v="26.706403829439193"/>
    <n v="201.75573879002448"/>
    <n v="89765.036697580392"/>
    <n v="35.190294993107443"/>
    <n v="335705.34391823085"/>
    <x v="1"/>
    <n v="7.9347069200687157E-6"/>
    <n v="2097650.3669758039"/>
    <n v="0.16003875059608691"/>
  </r>
  <r>
    <x v="0"/>
    <n v="1000"/>
    <n v="25"/>
    <x v="6"/>
    <n v="20.000330816447619"/>
    <n v="1.0920189415048096"/>
    <n v="21.138079384848336"/>
    <n v="25.800874872660387"/>
    <m/>
    <n v="0.97161651666428994"/>
    <n v="0.36"/>
    <n v="131.06941773153929"/>
    <n v="48.345277032125146"/>
    <n v="5.8690461631373161"/>
    <m/>
    <m/>
    <m/>
    <m/>
    <m/>
    <m/>
    <m/>
    <m/>
    <m/>
    <m/>
    <m/>
    <n v="0.22747469580407081"/>
    <m/>
    <m/>
    <m/>
    <m/>
    <m/>
    <m/>
    <m/>
    <m/>
    <m/>
    <m/>
    <m/>
    <n v="3603.5692159526543"/>
    <n v="5.1661218676639233E-2"/>
    <n v="0.24635425984708781"/>
    <n v="718.81475551158792"/>
    <n v="669.04613438399394"/>
    <x v="7"/>
    <n v="19.525354503836514"/>
    <n v="5.3287291164862003"/>
    <n v="0.4"/>
    <n v="0"/>
    <n v="0.5"/>
    <x v="0"/>
    <n v="0.96579720366848276"/>
    <n v="0.36"/>
    <n v="669.04613438399394"/>
    <n v="0.96579720366848276"/>
    <n v="26.626459527026757"/>
    <n v="200.93824539529544"/>
    <n v="89787.006845310883"/>
    <n v="35.757393664028875"/>
    <n v="336749.73050338629"/>
    <x v="1"/>
    <n v="7.9504228917869269E-6"/>
    <n v="2097870.0684531089"/>
    <n v="0.16051982225557609"/>
  </r>
  <r>
    <x v="0"/>
    <n v="1000"/>
    <n v="25"/>
    <x v="7"/>
    <n v="20.063705453094734"/>
    <n v="1.0364895460458616"/>
    <n v="21.173142323285777"/>
    <n v="25.740106304948444"/>
    <m/>
    <n v="0.93686762175782889"/>
    <n v="0.36"/>
    <n v="130.72793654124396"/>
    <n v="48.219320855376871"/>
    <n v="6.2500300583922552"/>
    <m/>
    <m/>
    <m/>
    <m/>
    <m/>
    <m/>
    <m/>
    <m/>
    <m/>
    <m/>
    <m/>
    <n v="0.24281290777694686"/>
    <m/>
    <m/>
    <m/>
    <m/>
    <m/>
    <m/>
    <m/>
    <m/>
    <m/>
    <m/>
    <m/>
    <n v="3893.6722762584632"/>
    <n v="4.8953033528044261E-2"/>
    <n v="0.24643136439506644"/>
    <n v="818.5829875902906"/>
    <n v="768.65724706233539"/>
    <x v="7"/>
    <n v="19.525354503836514"/>
    <n v="5.3287291164862003"/>
    <n v="0.4"/>
    <n v="0"/>
    <n v="0.5"/>
    <x v="0"/>
    <n v="0.92552309890100914"/>
    <n v="0.36"/>
    <n v="768.65724706233539"/>
    <n v="0.92552309890100914"/>
    <n v="26.521682734745603"/>
    <n v="200.11120984142806"/>
    <n v="89832.037642682888"/>
    <n v="36.36562902581646"/>
    <n v="338144.83907070674"/>
    <x v="1"/>
    <n v="7.969993317195874E-6"/>
    <n v="2098320.376426829"/>
    <n v="0.16115024324670768"/>
  </r>
  <r>
    <x v="0"/>
    <n v="1000"/>
    <n v="25"/>
    <x v="8"/>
    <n v="20.121799930193305"/>
    <n v="0.9851006596378995"/>
    <n v="21.204841163326421"/>
    <n v="25.688948323346644"/>
    <m/>
    <n v="0.9093296060058087"/>
    <n v="0.36"/>
    <n v="130.44323019084931"/>
    <n v="48.114306217936218"/>
    <n v="6.5907543096444066"/>
    <m/>
    <m/>
    <m/>
    <m/>
    <m/>
    <m/>
    <m/>
    <m/>
    <m/>
    <m/>
    <m/>
    <n v="0.2565599115497692"/>
    <m/>
    <m/>
    <m/>
    <m/>
    <m/>
    <m/>
    <m/>
    <m/>
    <m/>
    <m/>
    <m/>
    <n v="4163.6603277189488"/>
    <n v="4.645640361322876E-2"/>
    <n v="0.24645008970328636"/>
    <n v="918.35344854441337"/>
    <n v="868.2831728967451"/>
    <x v="7"/>
    <n v="19.525354503836514"/>
    <n v="5.3287291164862003"/>
    <n v="0.4"/>
    <n v="0"/>
    <n v="0.5"/>
    <x v="0"/>
    <n v="0.89476116241583992"/>
    <n v="0.36"/>
    <n v="868.2831728967451"/>
    <n v="0.89476116241583992"/>
    <n v="26.388648033332476"/>
    <n v="199.424110017028"/>
    <n v="89804.246185241995"/>
    <n v="36.772251308637998"/>
    <n v="339244.66578216635"/>
    <x v="1"/>
    <n v="7.9908633277044693E-6"/>
    <n v="2098042.4618524201"/>
    <n v="0.16169580547127621"/>
  </r>
  <r>
    <x v="0"/>
    <n v="1000"/>
    <n v="25"/>
    <x v="9"/>
    <n v="20.174737638450903"/>
    <n v="0.93816581549908318"/>
    <n v="21.233563704564961"/>
    <n v="25.645704353965069"/>
    <m/>
    <n v="0.88683703258060831"/>
    <n v="0.36"/>
    <n v="130.20409768802921"/>
    <n v="48.026101606240282"/>
    <n v="6.8965301071400091"/>
    <m/>
    <m/>
    <m/>
    <m/>
    <m/>
    <m/>
    <m/>
    <m/>
    <m/>
    <m/>
    <m/>
    <n v="0.26891560520051538"/>
    <m/>
    <m/>
    <m/>
    <m/>
    <m/>
    <m/>
    <m/>
    <m/>
    <m/>
    <m/>
    <m/>
    <n v="4416.1969072275715"/>
    <n v="4.4183154017494897E-2"/>
    <n v="0.24643614185590423"/>
    <n v="1018.1340144082947"/>
    <n v="967.93185365756426"/>
    <x v="7"/>
    <n v="19.525354503836514"/>
    <n v="5.3287291164862003"/>
    <n v="0.4"/>
    <n v="0"/>
    <n v="0.5"/>
    <x v="0"/>
    <n v="0.87033223533547122"/>
    <n v="0.36"/>
    <n v="967.93185365756426"/>
    <n v="0.87033223533547122"/>
    <n v="26.245289113354808"/>
    <n v="198.84869413372533"/>
    <n v="89738.558137828193"/>
    <n v="37.048569212080778"/>
    <n v="340141.06001905084"/>
    <x v="1"/>
    <n v="8.0116046667293033E-6"/>
    <n v="2097385.581378282"/>
    <n v="0.16217383348059899"/>
  </r>
  <r>
    <x v="0"/>
    <n v="1000"/>
    <n v="25"/>
    <x v="0"/>
    <n v="19.899994802776884"/>
    <n v="1.2241659834342991"/>
    <n v="21.108975081218777"/>
    <n v="25.927302047540998"/>
    <m/>
    <n v="0.99999999919405835"/>
    <n v="0.36"/>
    <n v="132.13913723140467"/>
    <n v="48.73984570010829"/>
    <n v="5.7288586068963845"/>
    <m/>
    <m/>
    <m/>
    <m/>
    <m/>
    <m/>
    <m/>
    <m/>
    <m/>
    <m/>
    <m/>
    <n v="0.22095853229895634"/>
    <m/>
    <m/>
    <m/>
    <m/>
    <m/>
    <m/>
    <m/>
    <m/>
    <m/>
    <m/>
    <m/>
    <n v="3134.4105048683091"/>
    <n v="5.7992677461800243E-2"/>
    <n v="0.24720330874652427"/>
    <n v="319.49948039254679"/>
    <n v="269.9812014201147"/>
    <x v="7"/>
    <n v="19.525354503836514"/>
    <n v="5.3287291164862003"/>
    <n v="0.4"/>
    <n v="0"/>
    <n v="0.5"/>
    <x v="0"/>
    <n v="0.99999999900000003"/>
    <n v="0.36"/>
    <n v="269.9812014201147"/>
    <n v="0.99999999900000003"/>
    <n v="27.125486975980092"/>
    <n v="203.54987543523984"/>
    <n v="90551.901453770275"/>
    <n v="35.20903925465776"/>
    <n v="336701.35767448094"/>
    <x v="2"/>
    <n v="7.8839828080893202E-6"/>
    <n v="2105519.0145377028"/>
    <n v="0.15991371027746742"/>
  </r>
  <r>
    <x v="0"/>
    <n v="1000"/>
    <n v="25"/>
    <x v="0"/>
    <n v="19.183824849594661"/>
    <n v="1.1852830026105805"/>
    <n v="20.342699274867801"/>
    <n v="25.041681269243277"/>
    <m/>
    <n v="0.99999999919537841"/>
    <n v="0.36"/>
    <n v="127.6759653318158"/>
    <n v="47.09359376993207"/>
    <n v="5.5747399630573256"/>
    <m/>
    <m/>
    <m/>
    <m/>
    <m/>
    <m/>
    <m/>
    <m/>
    <m/>
    <m/>
    <m/>
    <n v="0.22261843776058035"/>
    <m/>
    <m/>
    <m/>
    <m/>
    <m/>
    <m/>
    <m/>
    <m/>
    <m/>
    <m/>
    <m/>
    <n v="3062.5795950421721"/>
    <n v="5.8265768303173385E-2"/>
    <n v="0.24896539097513171"/>
    <n v="322.94581678820225"/>
    <n v="275.2096135135094"/>
    <x v="7"/>
    <n v="19.525354503836514"/>
    <n v="5.3287291164862003"/>
    <n v="0.4"/>
    <n v="0"/>
    <n v="0.5"/>
    <x v="1"/>
    <n v="0.99999999900000003"/>
    <n v="0.36"/>
    <n v="275.2096135135094"/>
    <n v="0.99999999900000003"/>
    <n v="26.212349481979192"/>
    <n v="192.85796866271434"/>
    <n v="84921.505783969013"/>
    <n v="33.635200924424893"/>
    <n v="381859.58246883465"/>
    <x v="2"/>
    <n v="7.6177869967403491E-6"/>
    <n v="2049215.0578396902"/>
    <n v="0.18634431803921844"/>
  </r>
  <r>
    <x v="0"/>
    <n v="1000"/>
    <n v="25"/>
    <x v="0"/>
    <n v="16.681098778146026"/>
    <n v="1.0534099813739162"/>
    <n v="17.676307569638578"/>
    <n v="21.928322609075298"/>
    <m/>
    <n v="0.99999999920116833"/>
    <n v="0.36"/>
    <n v="111.95036058975678"/>
    <n v="41.293165791303736"/>
    <n v="5.0129719354973759"/>
    <m/>
    <m/>
    <m/>
    <m/>
    <m/>
    <m/>
    <m/>
    <m/>
    <m/>
    <m/>
    <m/>
    <n v="0.22860717734163111"/>
    <m/>
    <m/>
    <m/>
    <m/>
    <m/>
    <m/>
    <m/>
    <m/>
    <m/>
    <m/>
    <m/>
    <n v="2799.428623554842"/>
    <n v="5.9594458696978589E-2"/>
    <n v="0.25448358884352973"/>
    <n v="334.45118070697094"/>
    <n v="292.9426558061574"/>
    <x v="7"/>
    <n v="19.525354503836514"/>
    <n v="5.3287291164862003"/>
    <n v="0.4"/>
    <n v="0"/>
    <n v="0.5"/>
    <x v="2"/>
    <n v="0.99999999900000003"/>
    <n v="0.36"/>
    <n v="292.9426558061574"/>
    <n v="0.99999999900000003"/>
    <n v="23.042338143505301"/>
    <n v="158.92011351398097"/>
    <n v="67391.996438814909"/>
    <n v="28.481406808255418"/>
    <n v="499437.36013097863"/>
    <x v="2"/>
    <n v="6.7302788249205088E-6"/>
    <n v="1873919.9643881491"/>
    <n v="0.26652011271679321"/>
  </r>
  <r>
    <x v="0"/>
    <n v="1000"/>
    <n v="25"/>
    <x v="0"/>
    <n v="14.417631544540438"/>
    <n v="0.93828629393091911"/>
    <n v="15.276892816278471"/>
    <n v="19.087167418628834"/>
    <m/>
    <n v="0.99999999920828098"/>
    <n v="0.36"/>
    <n v="97.554917971282308"/>
    <n v="35.983371382850038"/>
    <n v="4.4744768162129365"/>
    <m/>
    <m/>
    <m/>
    <m/>
    <m/>
    <m/>
    <m/>
    <m/>
    <m/>
    <m/>
    <m/>
    <n v="0.23442330221538812"/>
    <m/>
    <m/>
    <m/>
    <m/>
    <m/>
    <m/>
    <m/>
    <m/>
    <m/>
    <m/>
    <m/>
    <n v="2545.6477970267233"/>
    <n v="6.1418660536199952E-2"/>
    <n v="0.25877754165044342"/>
    <n v="344.28561515583232"/>
    <n v="308.40938892025417"/>
    <x v="7"/>
    <n v="19.525354503836514"/>
    <n v="5.3287291164862003"/>
    <n v="0.4"/>
    <n v="0"/>
    <n v="0.5"/>
    <x v="3"/>
    <n v="0.99999999899999992"/>
    <n v="0.36"/>
    <n v="308.40938892025417"/>
    <n v="0.99999999899999992"/>
    <n v="20.193574746725972"/>
    <n v="131.86730698776103"/>
    <n v="53896.511424512915"/>
    <n v="24.179942921268122"/>
    <n v="569843.43942587811"/>
    <x v="2"/>
    <n v="5.9294404785708511E-6"/>
    <n v="1738965.1142451293"/>
    <n v="0.32769112776206699"/>
  </r>
  <r>
    <x v="0"/>
    <n v="1000"/>
    <n v="25"/>
    <x v="0"/>
    <n v="13.167575344523929"/>
    <n v="0.87582106656731784"/>
    <n v="13.955490825672079"/>
    <n v="17.507445176935061"/>
    <m/>
    <n v="0.99999999921315019"/>
    <n v="0.36"/>
    <n v="89.53389762949115"/>
    <n v="33.024798305959848"/>
    <n v="4.164867362706639"/>
    <m/>
    <m/>
    <m/>
    <m/>
    <m/>
    <m/>
    <m/>
    <m/>
    <m/>
    <m/>
    <m/>
    <n v="0.23789121260214399"/>
    <m/>
    <m/>
    <m/>
    <m/>
    <m/>
    <m/>
    <m/>
    <m/>
    <m/>
    <m/>
    <m/>
    <n v="2399.2028602000451"/>
    <n v="6.2758170064229138E-2"/>
    <n v="0.26092395827254855"/>
    <n v="349.53481684204058"/>
    <n v="316.76917884672605"/>
    <x v="7"/>
    <n v="19.525354503836514"/>
    <n v="5.3287291164862003"/>
    <n v="0.4"/>
    <n v="0"/>
    <n v="0.5"/>
    <x v="4"/>
    <n v="0.99999999899999992"/>
    <n v="0.36"/>
    <n v="316.76917884672605"/>
    <n v="0.99999999899999992"/>
    <n v="18.623054496261087"/>
    <n v="118.08593789401917"/>
    <n v="47230.174830405209"/>
    <n v="21.916041251777337"/>
    <n v="598217.22193654405"/>
    <x v="2"/>
    <n v="5.4764147212804324E-6"/>
    <n v="1672301.748304052"/>
    <n v="0.35772086140747028"/>
  </r>
  <r>
    <x v="0"/>
    <n v="1000"/>
    <n v="25"/>
    <x v="0"/>
    <n v="11.62728472301027"/>
    <n v="0.80940198825752785"/>
    <n v="12.334799437518621"/>
    <n v="15.497964707071127"/>
    <m/>
    <n v="0.99999999922196836"/>
    <n v="0.36"/>
    <n v="79.315614464129325"/>
    <n v="29.255759433490326"/>
    <n v="3.7192731277245343"/>
    <m/>
    <m/>
    <m/>
    <m/>
    <m/>
    <m/>
    <m/>
    <m/>
    <m/>
    <m/>
    <m/>
    <n v="0.23998461720767583"/>
    <m/>
    <m/>
    <m/>
    <m/>
    <m/>
    <m/>
    <m/>
    <m/>
    <m/>
    <m/>
    <m/>
    <n v="2186.1195367667092"/>
    <n v="6.5619387843111499E-2"/>
    <n v="0.26079396955100209"/>
    <n v="355.41582214102391"/>
    <n v="326.48297290444094"/>
    <x v="7"/>
    <n v="19.525354503836514"/>
    <n v="5.3287291164862003"/>
    <n v="0.4"/>
    <n v="0"/>
    <n v="0.5"/>
    <x v="5"/>
    <n v="0.99999999900000003"/>
    <n v="0.36"/>
    <n v="326.48297290444094"/>
    <n v="0.99999999900000003"/>
    <n v="16.745383058244833"/>
    <n v="101.62688705311312"/>
    <n v="39690.050728451832"/>
    <n v="19.498601098721828"/>
    <n v="626908.44823710853"/>
    <x v="2"/>
    <n v="4.896987948997426E-6"/>
    <n v="1596900.5072845183"/>
    <n v="0.39257827609006629"/>
  </r>
  <r>
    <x v="0"/>
    <n v="1000"/>
    <n v="25"/>
    <x v="0"/>
    <n v="9.6143001708165539"/>
    <n v="0.72526492968697009"/>
    <n v="10.221784696931927"/>
    <n v="12.840596851575967"/>
    <m/>
    <n v="0.99999999923684635"/>
    <n v="0.36"/>
    <n v="65.776428391121243"/>
    <n v="24.261797357380789"/>
    <n v="3.1038706534503007"/>
    <m/>
    <m/>
    <m/>
    <m/>
    <m/>
    <m/>
    <m/>
    <m/>
    <m/>
    <m/>
    <m/>
    <n v="0.24172323836094525"/>
    <m/>
    <m/>
    <m/>
    <m/>
    <m/>
    <m/>
    <m/>
    <m/>
    <m/>
    <m/>
    <m/>
    <n v="1890.8069865163764"/>
    <n v="7.0952866959197322E-2"/>
    <n v="0.25841774383155436"/>
    <n v="362.79551075608998"/>
    <n v="338.8716597912254"/>
    <x v="7"/>
    <n v="19.525354503836514"/>
    <n v="5.3287291164862003"/>
    <n v="0.4"/>
    <n v="0"/>
    <n v="0.5"/>
    <x v="6"/>
    <n v="0.99999999900000003"/>
    <n v="0.36"/>
    <n v="338.8716597912254"/>
    <n v="0.99999999900000003"/>
    <n v="14.301247900452465"/>
    <n v="81.403053049651803"/>
    <n v="30852.320998227202"/>
    <n v="16.537771459103876"/>
    <n v="650066.56509934319"/>
    <x v="2"/>
    <n v="4.1134345771734934E-6"/>
    <n v="1508523.209982272"/>
    <n v="0.4309291105351854"/>
  </r>
  <r>
    <x v="0"/>
    <n v="1000"/>
    <n v="25"/>
    <x v="0"/>
    <n v="8.3322967598898146"/>
    <n v="0.66759902919878455"/>
    <n v="8.8759947656163209"/>
    <n v="11.153746865335206"/>
    <m/>
    <n v="0.99999999924779948"/>
    <n v="0.36"/>
    <n v="57.167088935382694"/>
    <n v="21.086221328624767"/>
    <n v="2.7165008628513423"/>
    <m/>
    <m/>
    <m/>
    <m/>
    <m/>
    <m/>
    <m/>
    <m/>
    <m/>
    <m/>
    <m/>
    <n v="0.24355052124178744"/>
    <m/>
    <m/>
    <m/>
    <m/>
    <m/>
    <m/>
    <m/>
    <m/>
    <m/>
    <m/>
    <m/>
    <n v="1705.0526105625493"/>
    <n v="7.521399536927606E-2"/>
    <n v="0.25666197990052247"/>
    <n v="367.53591333192685"/>
    <n v="346.8021791368792"/>
    <x v="7"/>
    <n v="19.525354503836514"/>
    <n v="5.3287291164862003"/>
    <n v="0.4"/>
    <n v="0"/>
    <n v="0.5"/>
    <x v="7"/>
    <n v="0.99999999900000003"/>
    <n v="0.36"/>
    <n v="346.8021791368792"/>
    <n v="0.99999999900000003"/>
    <n v="12.714551410200542"/>
    <n v="69.332429875787483"/>
    <n v="25753.655397006383"/>
    <n v="14.626966575058651"/>
    <n v="657201.35608197004"/>
    <x v="2"/>
    <n v="3.5950815349599304E-6"/>
    <n v="1457536.5539700638"/>
    <n v="0.45089871282601685"/>
  </r>
  <r>
    <x v="0"/>
    <n v="1000"/>
    <n v="25"/>
    <x v="0"/>
    <n v="6.7339065111712104"/>
    <n v="0.58961303563533518"/>
    <n v="7.1967777552839305"/>
    <n v="9.0551946635083169"/>
    <m/>
    <n v="0.99999999926331484"/>
    <n v="0.36"/>
    <n v="46.441620348568563"/>
    <n v="17.13010586627529"/>
    <n v="2.2372557916894822"/>
    <m/>
    <m/>
    <m/>
    <m/>
    <m/>
    <m/>
    <m/>
    <m/>
    <m/>
    <m/>
    <m/>
    <n v="0.24706876824033805"/>
    <m/>
    <m/>
    <m/>
    <m/>
    <m/>
    <m/>
    <m/>
    <m/>
    <m/>
    <m/>
    <m/>
    <n v="1475.377924507537"/>
    <n v="8.1927364674063571E-2"/>
    <n v="0.25417095428569325"/>
    <n v="373.50638852462203"/>
    <n v="356.75002866279681"/>
    <x v="7"/>
    <n v="19.525354503836514"/>
    <n v="5.3287291164862003"/>
    <n v="0.4"/>
    <n v="0"/>
    <n v="0.5"/>
    <x v="8"/>
    <n v="0.99999999900000003"/>
    <n v="0.36"/>
    <n v="356.75002866279681"/>
    <n v="0.99999999900000003"/>
    <n v="10.688868254542232"/>
    <n v="55.021245127677268"/>
    <n v="19911.398311981808"/>
    <n v="12.204645390343783"/>
    <n v="654540.65531183488"/>
    <x v="2"/>
    <n v="2.9302508635377663E-6"/>
    <n v="1399113.9831198181"/>
    <n v="0.46782511161264045"/>
  </r>
  <r>
    <x v="0"/>
    <n v="1000"/>
    <n v="25"/>
    <x v="0"/>
    <n v="4.5564124409218554"/>
    <n v="0.4671284138415282"/>
    <n v="4.9035026782782873"/>
    <n v="6.1992526106705226"/>
    <m/>
    <n v="0.99999999928785177"/>
    <n v="0.36"/>
    <n v="31.820830924812277"/>
    <n v="11.737191734561907"/>
    <n v="1.5860771563458869"/>
    <m/>
    <m/>
    <m/>
    <m/>
    <m/>
    <m/>
    <m/>
    <m/>
    <m/>
    <m/>
    <m/>
    <n v="0.25584973801774691"/>
    <m/>
    <m/>
    <m/>
    <m/>
    <m/>
    <m/>
    <m/>
    <m/>
    <m/>
    <m/>
    <m/>
    <n v="1163.4926096130912"/>
    <n v="9.5264231405609398E-2"/>
    <n v="0.25024248126019111"/>
    <n v="381.79201062115311"/>
    <n v="370.45403144014762"/>
    <x v="7"/>
    <n v="19.525354503836514"/>
    <n v="5.3287291164862003"/>
    <n v="0.4"/>
    <n v="0"/>
    <n v="0.5"/>
    <x v="9"/>
    <n v="0.99999999900000003"/>
    <n v="0.36"/>
    <n v="370.45403144014762"/>
    <n v="0.99999999900000003"/>
    <n v="7.7973822569327851"/>
    <n v="36.617300101182373"/>
    <n v="12776.126975221416"/>
    <n v="8.7931120730848082"/>
    <n v="623314.48298654484"/>
    <x v="2"/>
    <n v="1.9862464042587105E-6"/>
    <n v="1327761.2697522142"/>
    <n v="0.46944770659176355"/>
  </r>
  <r>
    <x v="0"/>
    <n v="1000"/>
    <n v="25"/>
    <x v="0"/>
    <n v="19.899987443679041"/>
    <n v="1.2241659939646057"/>
    <n v="21.108967384447428"/>
    <n v="25.927290949105409"/>
    <m/>
    <n v="0.99999999919405835"/>
    <n v="0.36"/>
    <n v="132.13908145030334"/>
    <n v="48.739825125111892"/>
    <n v="5.7288550390279624"/>
    <m/>
    <m/>
    <m/>
    <m/>
    <m/>
    <m/>
    <m/>
    <m/>
    <m/>
    <m/>
    <m/>
    <n v="0.2209584892719241"/>
    <m/>
    <m/>
    <m/>
    <m/>
    <m/>
    <m/>
    <m/>
    <m/>
    <m/>
    <m/>
    <m/>
    <n v="3134.4087440282688"/>
    <n v="5.7992699105998961E-2"/>
    <n v="0.24720325059054715"/>
    <n v="319.49949122376142"/>
    <n v="269.98122451428389"/>
    <x v="7"/>
    <n v="19.525354503836514"/>
    <n v="5.3287291164862003"/>
    <n v="0.4"/>
    <n v="0"/>
    <n v="0.5"/>
    <x v="0"/>
    <n v="0.99999999900000003"/>
    <n v="0.36"/>
    <n v="269.98122451428389"/>
    <n v="0.99999999900000003"/>
    <n v="27.125479792721773"/>
    <n v="203.54973841641169"/>
    <n v="90551.84216178536"/>
    <n v="35.209039098022238"/>
    <n v="336701.05619595468"/>
    <x v="3"/>
    <n v="7.8839828129591633E-6"/>
    <n v="2105518.4216178535"/>
    <n v="0.1599136121246747"/>
  </r>
  <r>
    <x v="1"/>
    <n v="1000"/>
    <n v="25"/>
    <x v="0"/>
    <n v="19.89833913883075"/>
    <n v="1.2276358453274734"/>
    <n v="21.109266229651983"/>
    <n v="25.927935753181597"/>
    <m/>
    <n v="0.99999999919420224"/>
    <n v="0.36"/>
    <n v="132.1717634387422"/>
    <n v="48.751879956913115"/>
    <n v="5.7310420355838154"/>
    <m/>
    <m/>
    <m/>
    <m/>
    <m/>
    <m/>
    <m/>
    <m/>
    <m/>
    <m/>
    <m/>
    <n v="0.22103734327868982"/>
    <m/>
    <m/>
    <m/>
    <m/>
    <m/>
    <m/>
    <m/>
    <m/>
    <m/>
    <m/>
    <m/>
    <n v="3125.4730512271612"/>
    <n v="5.8156253844722713E-2"/>
    <n v="0.21978906185159433"/>
    <n v="309.4661992221138"/>
    <n v="259.95203343525367"/>
    <x v="7"/>
    <n v="19.525354503836514"/>
    <n v="5.3287291164862003"/>
    <n v="0.4"/>
    <n v="0"/>
    <n v="0.5"/>
    <x v="0"/>
    <n v="0.99999999900000003"/>
    <n v="0.36"/>
    <n v="259.95203343525367"/>
    <n v="0.99999999900000003"/>
    <n v="27.142927046448662"/>
    <n v="203.63003238971936"/>
    <n v="90589.568315031516"/>
    <n v="35.213634873279162"/>
    <n v="336764.6621202103"/>
    <x v="3"/>
    <n v="7.881836811544767E-6"/>
    <n v="2105895.6831503152"/>
    <n v="0.15991516807538497"/>
  </r>
  <r>
    <x v="2"/>
    <n v="1000"/>
    <n v="25"/>
    <x v="0"/>
    <n v="19.896173864951422"/>
    <n v="1.2322149718900639"/>
    <n v="21.109672867636839"/>
    <n v="25.928250660956873"/>
    <m/>
    <n v="0.99999999919435556"/>
    <n v="0.36"/>
    <n v="132.21495109700061"/>
    <n v="48.767809830860877"/>
    <n v="5.7333810427058154"/>
    <m/>
    <m/>
    <m/>
    <m/>
    <m/>
    <m/>
    <m/>
    <m/>
    <m/>
    <m/>
    <m/>
    <n v="0.22112486945905771"/>
    <m/>
    <m/>
    <m/>
    <m/>
    <m/>
    <m/>
    <m/>
    <m/>
    <m/>
    <m/>
    <m/>
    <n v="3113.760409053576"/>
    <n v="5.8372054347614645E-2"/>
    <n v="0.19237987010717086"/>
    <n v="296.57871245121606"/>
    <n v="247.06988770066889"/>
    <x v="7"/>
    <n v="19.525354503836514"/>
    <n v="5.3287291164862003"/>
    <n v="0.4"/>
    <n v="0"/>
    <n v="0.5"/>
    <x v="0"/>
    <n v="0.99999999900000003"/>
    <n v="0.36"/>
    <n v="247.06988770066889"/>
    <n v="0.99999999900000003"/>
    <n v="27.165964405466958"/>
    <n v="203.73618319031033"/>
    <n v="90639.918832828451"/>
    <n v="35.220423505843073"/>
    <n v="336850.18621369108"/>
    <x v="3"/>
    <n v="7.8789858444496298E-6"/>
    <n v="2106399.1883282848"/>
    <n v="0.15991754463266181"/>
  </r>
  <r>
    <x v="3"/>
    <n v="1000"/>
    <n v="25"/>
    <x v="0"/>
    <n v="19.893345290356322"/>
    <n v="1.2385618680412089"/>
    <n v="21.110420854093022"/>
    <n v="25.927826841853996"/>
    <m/>
    <n v="0.99999999919449312"/>
    <n v="0.36"/>
    <n v="132.27607661087151"/>
    <n v="48.790356126960809"/>
    <n v="5.7355842413777935"/>
    <m/>
    <m/>
    <m/>
    <m/>
    <m/>
    <m/>
    <m/>
    <m/>
    <m/>
    <m/>
    <m/>
    <n v="0.22121345828024147"/>
    <m/>
    <m/>
    <m/>
    <m/>
    <m/>
    <m/>
    <m/>
    <m/>
    <m/>
    <m/>
    <m/>
    <n v="3097.7102078126031"/>
    <n v="5.8670638382894616E-2"/>
    <n v="0.16498033312477065"/>
    <n v="279.41989864142494"/>
    <n v="229.91808712370891"/>
    <x v="7"/>
    <n v="19.525354503836514"/>
    <n v="5.3287291164862003"/>
    <n v="0.4"/>
    <n v="0"/>
    <n v="0.5"/>
    <x v="0"/>
    <n v="0.99999999900000003"/>
    <n v="0.36"/>
    <n v="229.91808712370891"/>
    <n v="0.99999999900000003"/>
    <n v="27.198070172011835"/>
    <n v="203.8865134246754"/>
    <n v="90712.093472966721"/>
    <n v="35.231338461763016"/>
    <n v="336978.22691356915"/>
    <x v="3"/>
    <n v="7.8749951123890541E-6"/>
    <n v="2107120.9347296674"/>
    <n v="0.15992353422125802"/>
  </r>
  <r>
    <x v="4"/>
    <n v="1000"/>
    <n v="25"/>
    <x v="0"/>
    <n v="19.889644476981033"/>
    <n v="1.2480339201187352"/>
    <n v="21.112090792780528"/>
    <n v="25.925301258134727"/>
    <m/>
    <n v="0.99999999919451588"/>
    <n v="0.36"/>
    <n v="132.37107651228658"/>
    <n v="48.825397074204069"/>
    <n v="5.7364421075344971"/>
    <m/>
    <m/>
    <m/>
    <m/>
    <m/>
    <m/>
    <m/>
    <m/>
    <m/>
    <m/>
    <m/>
    <n v="0.22126809831127967"/>
    <m/>
    <m/>
    <m/>
    <m/>
    <m/>
    <m/>
    <m/>
    <m/>
    <m/>
    <m/>
    <m/>
    <n v="3074.1825791014453"/>
    <n v="5.9114652943114084E-2"/>
    <n v="0.1376008585441548"/>
    <n v="255.45406702096531"/>
    <n v="205.96152533419647"/>
    <x v="7"/>
    <n v="19.525354503836514"/>
    <n v="5.3287291164862003"/>
    <n v="0.4"/>
    <n v="0"/>
    <n v="0.5"/>
    <x v="0"/>
    <n v="0.99999999900000003"/>
    <n v="0.36"/>
    <n v="205.96152533419647"/>
    <n v="0.99999999900000003"/>
    <n v="27.24650774194799"/>
    <n v="204.12036306897161"/>
    <n v="90826.411028077695"/>
    <n v="35.251379227079532"/>
    <n v="337196.5397062439"/>
    <x v="3"/>
    <n v="7.8689444305266239E-6"/>
    <n v="2108264.1102807769"/>
    <n v="0.15994036898030595"/>
  </r>
  <r>
    <x v="5"/>
    <n v="1000"/>
    <n v="25"/>
    <x v="0"/>
    <n v="19.884194520688876"/>
    <n v="1.2640664891688012"/>
    <n v="21.115805374417135"/>
    <n v="25.91427987711317"/>
    <m/>
    <n v="0.99999999919398064"/>
    <n v="0.36"/>
    <n v="132.53949517474024"/>
    <n v="48.887518711994353"/>
    <n v="5.7302965553208551"/>
    <m/>
    <m/>
    <m/>
    <m/>
    <m/>
    <m/>
    <m/>
    <m/>
    <m/>
    <m/>
    <m/>
    <n v="0.22112505469934771"/>
    <m/>
    <m/>
    <m/>
    <m/>
    <m/>
    <m/>
    <m/>
    <m/>
    <m/>
    <m/>
    <m/>
    <n v="3035.3550431462718"/>
    <n v="5.9863522454146195E-2"/>
    <n v="0.11027521675097447"/>
    <n v="219.68573622855141"/>
    <n v="170.20676548584541"/>
    <x v="7"/>
    <n v="19.525354503836514"/>
    <n v="5.3287291164862003"/>
    <n v="0.4"/>
    <n v="0"/>
    <n v="0.5"/>
    <x v="0"/>
    <n v="0.99999999900000003"/>
    <n v="0.36"/>
    <n v="170.20676548584541"/>
    <n v="0.99999999900000003"/>
    <n v="27.329335549354994"/>
    <n v="204.5355677523799"/>
    <n v="91035.077632660978"/>
    <n v="35.295475905165063"/>
    <n v="337620.66948522581"/>
    <x v="3"/>
    <n v="7.8583612370202194E-6"/>
    <n v="2110350.7763266098"/>
    <n v="0.15998319960481003"/>
  </r>
  <r>
    <x v="6"/>
    <n v="1000"/>
    <n v="25"/>
    <x v="0"/>
    <n v="19.879182237246621"/>
    <n v="1.3009806876215619"/>
    <n v="21.132499826677417"/>
    <n v="25.859979661286108"/>
    <m/>
    <n v="0.99999999918952653"/>
    <n v="0.36"/>
    <n v="133.00190423996926"/>
    <n v="49.05807943277555"/>
    <n v="5.6793838032483102"/>
    <m/>
    <m/>
    <m/>
    <m/>
    <m/>
    <m/>
    <m/>
    <m/>
    <m/>
    <m/>
    <m/>
    <n v="0.21962058275516272"/>
    <m/>
    <m/>
    <m/>
    <m/>
    <m/>
    <m/>
    <m/>
    <m/>
    <m/>
    <m/>
    <m/>
    <n v="2951.3107460671795"/>
    <n v="6.1563028429756299E-2"/>
    <n v="8.3206215193316294E-2"/>
    <n v="161.08536855016743"/>
    <n v="111.61884444302164"/>
    <x v="7"/>
    <n v="19.525354503836514"/>
    <n v="5.3287291164862003"/>
    <n v="0.4"/>
    <n v="0"/>
    <n v="0.5"/>
    <x v="0"/>
    <n v="0.99999999900000003"/>
    <n v="0.36"/>
    <n v="111.61884444302164"/>
    <n v="0.99999999900000003"/>
    <n v="27.527703000389366"/>
    <n v="205.67971042022828"/>
    <n v="91633.141787517874"/>
    <n v="35.451187827778277"/>
    <n v="339047.36668220797"/>
    <x v="3"/>
    <n v="7.8317384253810275E-6"/>
    <n v="2116331.4178751786"/>
    <n v="0.16020523242177989"/>
  </r>
  <r>
    <x v="7"/>
    <n v="1000"/>
    <n v="25"/>
    <x v="0"/>
    <n v="20.845965216979067"/>
    <n v="1.7362468653176804"/>
    <n v="22.449496902007407"/>
    <n v="25.987148394551454"/>
    <m/>
    <n v="0.99999999903452685"/>
    <n v="0.36"/>
    <n v="150.74503145723841"/>
    <n v="55.602675537505988"/>
    <n v="4.7734790503939344"/>
    <m/>
    <m/>
    <m/>
    <m/>
    <m/>
    <m/>
    <m/>
    <m/>
    <m/>
    <m/>
    <m/>
    <n v="0.18368614277797238"/>
    <m/>
    <m/>
    <m/>
    <m/>
    <m/>
    <m/>
    <m/>
    <m/>
    <m/>
    <m/>
    <m/>
    <n v="2410.0489174996769"/>
    <n v="7.7340123607065214E-2"/>
    <n v="6.4177302691832444E-2"/>
    <n v="75.181655466613449"/>
    <n v="23.309392302711004"/>
    <x v="7"/>
    <n v="19.525354503836514"/>
    <n v="5.3287291164862003"/>
    <n v="0.4"/>
    <n v="0"/>
    <n v="0.5"/>
    <x v="0"/>
    <n v="0.99999999900000003"/>
    <n v="0.36"/>
    <n v="23.309392302711004"/>
    <n v="0.99999999900000003"/>
    <n v="30.896672671149307"/>
    <n v="254.96253193401844"/>
    <n v="115880.18366244214"/>
    <n v="39.200769013781553"/>
    <n v="427526.05724769417"/>
    <x v="3"/>
    <n v="7.2099150722128744E-6"/>
    <n v="2358801.8366244212"/>
    <n v="0.18124712750754346"/>
  </r>
  <r>
    <x v="8"/>
    <n v="1000"/>
    <n v="25"/>
    <x v="0"/>
    <n v="14.063279803491895"/>
    <n v="1.0790079184825729"/>
    <n v="14.997311733165061"/>
    <n v="18.451766821633033"/>
    <m/>
    <n v="0.99999999916365134"/>
    <n v="0.36"/>
    <n v="98.406017927140837"/>
    <n v="36.297301694437195"/>
    <n v="4.1912230331876046"/>
    <m/>
    <m/>
    <m/>
    <m/>
    <m/>
    <m/>
    <m/>
    <m/>
    <m/>
    <m/>
    <m/>
    <n v="0.22714480806649764"/>
    <m/>
    <m/>
    <m/>
    <m/>
    <m/>
    <m/>
    <m/>
    <m/>
    <m/>
    <m/>
    <m/>
    <n v="2150.8620148309069"/>
    <n v="7.1946755370594473E-2"/>
    <n v="4.5401293226387286E-2"/>
    <n v="90.244951099359866"/>
    <n v="55.250498237103997"/>
    <x v="7"/>
    <n v="19.525354503836514"/>
    <n v="5.3287291164862003"/>
    <n v="0.4"/>
    <n v="0"/>
    <n v="0.5"/>
    <x v="0"/>
    <n v="0.99999999900000003"/>
    <n v="0.36"/>
    <n v="55.250498237103997"/>
    <n v="0.99999999900000003"/>
    <n v="20.677375728514839"/>
    <n v="133.37935086704397"/>
    <n v="54641.179441712869"/>
    <n v="24.431837305707869"/>
    <n v="631959.96355519607"/>
    <x v="3"/>
    <n v="5.5889878265166544E-6"/>
    <n v="1746411.7944171287"/>
    <n v="0.36186194205480332"/>
  </r>
  <r>
    <x v="9"/>
    <n v="1000"/>
    <n v="25"/>
    <x v="0"/>
    <n v="4.4300257815805928"/>
    <n v="0.49878407782911399"/>
    <n v="4.7914129665334029"/>
    <n v="6.0735712443335279"/>
    <m/>
    <n v="0.99999999929886429"/>
    <n v="0.36"/>
    <n v="31.263568940565257"/>
    <n v="11.531644281356037"/>
    <n v="1.5875478911029441"/>
    <m/>
    <m/>
    <m/>
    <m/>
    <m/>
    <m/>
    <m/>
    <m/>
    <m/>
    <m/>
    <m/>
    <n v="0.26138623014986151"/>
    <m/>
    <m/>
    <m/>
    <m/>
    <m/>
    <m/>
    <m/>
    <m/>
    <m/>
    <m/>
    <m/>
    <n v="1059.1831256250618"/>
    <n v="0.10409958008482523"/>
    <n v="3.585116849792528E-2"/>
    <n v="276.43287604874132"/>
    <n v="265.40918007359039"/>
    <x v="7"/>
    <n v="19.525354503836514"/>
    <n v="5.3287291164862003"/>
    <n v="0.4"/>
    <n v="0"/>
    <n v="0.5"/>
    <x v="0"/>
    <n v="0.99999999900000003"/>
    <n v="0.36"/>
    <n v="265.40918007359039"/>
    <n v="0.99999999900000003"/>
    <n v="7.8899893821446803"/>
    <n v="35.938206896448641"/>
    <n v="12610.664925706009"/>
    <n v="8.8598515188525973"/>
    <n v="896699.04091131"/>
    <x v="3"/>
    <n v="1.6047309519220513E-6"/>
    <n v="1326106.6492570601"/>
    <n v="0.67618923516723028"/>
  </r>
  <r>
    <x v="0"/>
    <n v="100"/>
    <n v="25"/>
    <x v="0"/>
    <n v="3.1671614050791597"/>
    <n v="0.75747499639402149"/>
    <n v="3.762769964441163"/>
    <n v="1.8703183180941791"/>
    <m/>
    <n v="0.30364878379847815"/>
    <n v="0.18"/>
    <n v="18.818077626061392"/>
    <n v="9.3699971582048445"/>
    <n v="0.62211819240433197"/>
    <m/>
    <m/>
    <m/>
    <m/>
    <m/>
    <m/>
    <m/>
    <m/>
    <m/>
    <m/>
    <m/>
    <n v="0.33262690440751241"/>
    <m/>
    <m/>
    <m/>
    <m/>
    <m/>
    <m/>
    <m/>
    <m/>
    <m/>
    <m/>
    <m/>
    <n v="687.40295496680676"/>
    <n v="0.20130781407109477"/>
    <n v="0.20076965034870745"/>
    <n v="384.22489953248282"/>
    <n v="376.34385876464057"/>
    <x v="8"/>
    <n v="9.762677251918257"/>
    <n v="2.6643645582431001"/>
    <n v="0.2"/>
    <n v="0"/>
    <n v="0.3"/>
    <x v="0"/>
    <n v="0.19717667771383751"/>
    <n v="0.18"/>
    <n v="376.34385876464057"/>
    <n v="0.19717667771383751"/>
    <n v="8.9889077020220718"/>
    <n v="69.931391014732199"/>
    <n v="25545.247757087054"/>
    <n v="16.817033451264859"/>
    <n v="17838.81644229246"/>
    <x v="0"/>
    <n v="1.9440679361297675E-6"/>
    <n v="1455452.4775708704"/>
    <n v="1.2256543389218172E-2"/>
  </r>
  <r>
    <x v="0"/>
    <n v="200"/>
    <n v="25"/>
    <x v="0"/>
    <n v="5.8602490753147318"/>
    <n v="1.3567596566783684"/>
    <n v="6.8586457060031139"/>
    <n v="3.4566626995734571"/>
    <m/>
    <n v="0.30173748170407388"/>
    <n v="0.18"/>
    <n v="34.847849422800792"/>
    <n v="17.351626268614503"/>
    <n v="0.97433068032638914"/>
    <m/>
    <m/>
    <m/>
    <m/>
    <m/>
    <m/>
    <m/>
    <m/>
    <m/>
    <m/>
    <m/>
    <n v="0.28187033708745113"/>
    <m/>
    <m/>
    <m/>
    <m/>
    <m/>
    <m/>
    <m/>
    <m/>
    <m/>
    <m/>
    <m/>
    <n v="846.53365897640856"/>
    <n v="0.19781742851811807"/>
    <n v="0.22496795153374319"/>
    <n v="373.95073815909399"/>
    <n v="359.36831881321399"/>
    <x v="8"/>
    <n v="9.762677251918257"/>
    <n v="2.6643645582431001"/>
    <n v="0.2"/>
    <n v="0"/>
    <n v="0.3"/>
    <x v="0"/>
    <n v="0.20600407747574837"/>
    <n v="0.18"/>
    <n v="359.36831881321399"/>
    <n v="0.20600407747574837"/>
    <n v="16.155933098390335"/>
    <n v="101.89021041411569"/>
    <n v="41061.643634833054"/>
    <n v="26.116510525563299"/>
    <n v="49704.991760918667"/>
    <x v="0"/>
    <n v="3.3156165027275018E-6"/>
    <n v="1610616.4363483305"/>
    <n v="3.086084969653749E-2"/>
  </r>
  <r>
    <x v="0"/>
    <n v="300"/>
    <n v="25"/>
    <x v="0"/>
    <n v="8.173640059369605"/>
    <n v="1.8821779898160969"/>
    <n v="9.5107876918138441"/>
    <n v="4.8535388575441507"/>
    <m/>
    <n v="0.30173351952141247"/>
    <n v="0.18"/>
    <n v="49.002805349471096"/>
    <n v="24.399737103471089"/>
    <n v="1.2299349120765188"/>
    <m/>
    <m/>
    <m/>
    <m/>
    <m/>
    <m/>
    <m/>
    <m/>
    <m/>
    <m/>
    <m/>
    <n v="0.25340992380533972"/>
    <m/>
    <m/>
    <m/>
    <m/>
    <m/>
    <m/>
    <m/>
    <m/>
    <m/>
    <m/>
    <m/>
    <n v="960.33705688645534"/>
    <n v="0.19789927509749072"/>
    <n v="0.23835854107571769"/>
    <n v="365.70863363032106"/>
    <n v="345.369600848196"/>
    <x v="8"/>
    <n v="9.762677251918257"/>
    <n v="2.6643645582431001"/>
    <n v="0.2"/>
    <n v="0"/>
    <n v="0.3"/>
    <x v="0"/>
    <n v="0.21194872351396707"/>
    <n v="0.18"/>
    <n v="345.369600848196"/>
    <n v="0.21194872351396707"/>
    <n v="22.338651427262835"/>
    <n v="124.88200187217893"/>
    <n v="53572.804555902323"/>
    <n v="33.541453142297193"/>
    <n v="86162.244691957327"/>
    <x v="0"/>
    <n v="4.2642814418458995E-6"/>
    <n v="1735728.0455590233"/>
    <n v="4.9640405887552037E-2"/>
  </r>
  <r>
    <x v="0"/>
    <n v="400"/>
    <n v="25"/>
    <x v="0"/>
    <n v="10.187264096477502"/>
    <n v="2.3550693390763264"/>
    <n v="11.822265606669269"/>
    <n v="6.1020145014804728"/>
    <m/>
    <n v="0.30237375293876939"/>
    <n v="0.18"/>
    <n v="61.682194823908027"/>
    <n v="30.713126053398192"/>
    <n v="1.4304620496758087"/>
    <m/>
    <m/>
    <m/>
    <m/>
    <m/>
    <m/>
    <m/>
    <m/>
    <m/>
    <m/>
    <m/>
    <n v="0.23442455755042035"/>
    <m/>
    <m/>
    <m/>
    <m/>
    <m/>
    <m/>
    <m/>
    <m/>
    <m/>
    <m/>
    <m/>
    <n v="1048.6995025913973"/>
    <n v="0.19920626193238006"/>
    <n v="0.24737196427481811"/>
    <n v="358.81803289090612"/>
    <n v="333.46847775349306"/>
    <x v="8"/>
    <n v="9.762677251918257"/>
    <n v="2.6643645582431001"/>
    <n v="0.2"/>
    <n v="0"/>
    <n v="0.3"/>
    <x v="0"/>
    <n v="0.21633447563450797"/>
    <n v="0.18"/>
    <n v="333.46847775349306"/>
    <n v="0.21633447563450797"/>
    <n v="27.800971588924988"/>
    <n v="143.16558655164852"/>
    <n v="64224.544440249963"/>
    <n v="39.821149709792735"/>
    <n v="124262.88048452477"/>
    <x v="0"/>
    <n v="4.9508934002775279E-6"/>
    <n v="1842245.4444024996"/>
    <n v="6.7451859285138457E-2"/>
  </r>
  <r>
    <x v="0"/>
    <n v="600"/>
    <n v="25"/>
    <x v="0"/>
    <n v="13.518981541072334"/>
    <n v="3.1800638516721298"/>
    <n v="15.662254092072153"/>
    <n v="8.2423619688174199"/>
    <m/>
    <n v="0.30399807900175196"/>
    <n v="0.18"/>
    <n v="83.479124444607891"/>
    <n v="41.566369018062034"/>
    <n v="1.7319311561207291"/>
    <m/>
    <m/>
    <m/>
    <m/>
    <m/>
    <m/>
    <m/>
    <m/>
    <m/>
    <m/>
    <m/>
    <n v="0.21012558811090645"/>
    <m/>
    <m/>
    <m/>
    <m/>
    <m/>
    <m/>
    <m/>
    <m/>
    <m/>
    <m/>
    <m/>
    <n v="1180.1074645113051"/>
    <n v="0.20303998600570525"/>
    <n v="0.2588952807607342"/>
    <n v="347.78204723798615"/>
    <n v="314.14188645094146"/>
    <x v="8"/>
    <n v="9.762677251918257"/>
    <n v="2.6643645582431001"/>
    <n v="0.2"/>
    <n v="0"/>
    <n v="0.3"/>
    <x v="0"/>
    <n v="0.2224104918756733"/>
    <n v="0.18"/>
    <n v="314.14188645094146"/>
    <n v="0.2224104918756733"/>
    <n v="37.086362214916861"/>
    <n v="171.12239809119143"/>
    <n v="81677.762400711217"/>
    <n v="50.173851974310217"/>
    <n v="200336.68663848171"/>
    <x v="0"/>
    <n v="5.8553896670300169E-6"/>
    <n v="2016777.6240071121"/>
    <n v="9.9335040340459091E-2"/>
  </r>
  <r>
    <x v="0"/>
    <n v="800"/>
    <n v="25"/>
    <x v="0"/>
    <n v="16.110804772646063"/>
    <n v="3.8627298070391713"/>
    <n v="18.665438221122546"/>
    <n v="9.988400522403003"/>
    <m/>
    <n v="0.30663187473197978"/>
    <n v="0.18"/>
    <n v="101.31988003319388"/>
    <n v="50.449732796611066"/>
    <n v="1.9417522891295587"/>
    <m/>
    <m/>
    <m/>
    <m/>
    <m/>
    <m/>
    <m/>
    <m/>
    <m/>
    <m/>
    <m/>
    <n v="0.19440072359677596"/>
    <m/>
    <m/>
    <m/>
    <m/>
    <m/>
    <m/>
    <m/>
    <m/>
    <m/>
    <m/>
    <m/>
    <n v="1270.3563777274574"/>
    <n v="0.20694557295032881"/>
    <n v="0.26660157789974642"/>
    <n v="339.56973210899594"/>
    <n v="299.48023316267836"/>
    <x v="8"/>
    <n v="9.762677251918257"/>
    <n v="2.6643645582431001"/>
    <n v="0.2"/>
    <n v="0"/>
    <n v="0.3"/>
    <x v="0"/>
    <n v="0.22718342181407383"/>
    <n v="0.18"/>
    <n v="299.48023316267836"/>
    <n v="0.22718342181407383"/>
    <n v="44.54571479431187"/>
    <n v="191.22877219786852"/>
    <n v="94965.612875886989"/>
    <n v="58.07864578489076"/>
    <n v="270810.44951062737"/>
    <x v="0"/>
    <n v="6.4038617126051938E-6"/>
    <n v="2149656.1287588701"/>
    <n v="0.12597849762463315"/>
  </r>
  <r>
    <x v="0"/>
    <n v="1000"/>
    <n v="25"/>
    <x v="0"/>
    <n v="18.164435293255931"/>
    <n v="4.4306136926067303"/>
    <n v="21.056646393860458"/>
    <n v="11.41973163871854"/>
    <m/>
    <n v="0.30633846243077872"/>
    <n v="0.18"/>
    <n v="115.9883648860053"/>
    <n v="57.753542681828371"/>
    <n v="2.1276904465066604"/>
    <m/>
    <m/>
    <m/>
    <m/>
    <m/>
    <m/>
    <m/>
    <m/>
    <m/>
    <m/>
    <m/>
    <n v="0.18631702686363813"/>
    <m/>
    <m/>
    <m/>
    <m/>
    <m/>
    <m/>
    <m/>
    <m/>
    <m/>
    <m/>
    <m/>
    <n v="1351.8171524412562"/>
    <n v="0.2104140236642135"/>
    <n v="0.27180771797197634"/>
    <n v="333.17174571500323"/>
    <n v="287.97192918792541"/>
    <x v="8"/>
    <n v="9.762677251918257"/>
    <n v="2.6643645582431001"/>
    <n v="0.2"/>
    <n v="0"/>
    <n v="0.3"/>
    <x v="0"/>
    <n v="0.22931165867968578"/>
    <n v="0.18"/>
    <n v="287.97192918792541"/>
    <n v="0.22931165867968578"/>
    <n v="50.637358752074611"/>
    <n v="206.18834629806602"/>
    <n v="105461.83778714068"/>
    <n v="64.57335542239754"/>
    <n v="334366.93586922606"/>
    <x v="0"/>
    <n v="6.7557742542120849E-6"/>
    <n v="2254618.3778714067"/>
    <n v="0.1483031182354253"/>
  </r>
  <r>
    <x v="0"/>
    <n v="1300"/>
    <n v="25"/>
    <x v="0"/>
    <n v="20.415744429005716"/>
    <n v="5.0818326116677452"/>
    <n v="23.688486463592522"/>
    <n v="13.076252912904749"/>
    <m/>
    <n v="0.31097053881551845"/>
    <n v="0.18"/>
    <n v="133.02471222052486"/>
    <n v="66.236371230136868"/>
    <n v="2.282726618284352"/>
    <m/>
    <m/>
    <m/>
    <m/>
    <m/>
    <m/>
    <m/>
    <m/>
    <m/>
    <m/>
    <m/>
    <n v="0.17457039363559301"/>
    <m/>
    <m/>
    <m/>
    <m/>
    <m/>
    <m/>
    <m/>
    <m/>
    <m/>
    <m/>
    <m/>
    <n v="1417.0237684116171"/>
    <n v="0.21452753511619038"/>
    <n v="0.27762222286957045"/>
    <n v="326.46213902480986"/>
    <n v="275.66045926944156"/>
    <x v="8"/>
    <n v="9.762677251918257"/>
    <n v="2.6643645582431001"/>
    <n v="0.2"/>
    <n v="0"/>
    <n v="0.3"/>
    <x v="0"/>
    <n v="0.2344483388512022"/>
    <n v="0.18"/>
    <n v="275.66045926944156"/>
    <n v="0.2344483388512022"/>
    <n v="57.441909139142993"/>
    <n v="221.43763929157842"/>
    <n v="116381.30723707039"/>
    <n v="71.292652209595488"/>
    <n v="411231.91620920965"/>
    <x v="0"/>
    <n v="7.0877507516700309E-6"/>
    <n v="2363813.0723707038"/>
    <n v="0.17396972756258555"/>
  </r>
  <r>
    <x v="0"/>
    <n v="1600"/>
    <n v="25"/>
    <x v="0"/>
    <n v="21.992486378167822"/>
    <n v="5.5574686899546668"/>
    <n v="25.53900328847115"/>
    <n v="14.300105247308137"/>
    <m/>
    <n v="0.31738910887821509"/>
    <n v="0.18"/>
    <n v="145.65855597409569"/>
    <n v="72.527081812827717"/>
    <n v="2.3555345677805981"/>
    <m/>
    <m/>
    <m/>
    <m/>
    <m/>
    <m/>
    <m/>
    <m/>
    <m/>
    <m/>
    <m/>
    <n v="0.16472148470543641"/>
    <m/>
    <m/>
    <m/>
    <m/>
    <m/>
    <m/>
    <m/>
    <m/>
    <m/>
    <m/>
    <m/>
    <n v="1444.9629926060629"/>
    <n v="0.21760710968949312"/>
    <n v="0.28166915733062836"/>
    <n v="321.92085712688578"/>
    <n v="267.19570871576394"/>
    <x v="8"/>
    <n v="9.762677251918257"/>
    <n v="2.6643645582431001"/>
    <n v="0.2"/>
    <n v="0"/>
    <n v="0.3"/>
    <x v="0"/>
    <n v="0.23988496252639627"/>
    <n v="0.18"/>
    <n v="267.19570871576394"/>
    <n v="0.23988496252639627"/>
    <n v="62.277343694315853"/>
    <n v="231.37044679887799"/>
    <n v="123615.25991875638"/>
    <n v="75.742579331519408"/>
    <n v="469599.58169469354"/>
    <x v="0"/>
    <n v="7.2931854305962788E-6"/>
    <n v="2436152.5991875636"/>
    <n v="0.19276279402665542"/>
  </r>
  <r>
    <x v="0"/>
    <n v="1900"/>
    <n v="25"/>
    <x v="0"/>
    <n v="23.170618065089567"/>
    <n v="5.9505231627135675"/>
    <n v="26.938960982329458"/>
    <n v="15.156079424638625"/>
    <m/>
    <n v="0.31568670407725496"/>
    <n v="0.18"/>
    <n v="154.54113346300181"/>
    <n v="76.949941973278911"/>
    <n v="2.4496203294825332"/>
    <m/>
    <m/>
    <m/>
    <m/>
    <m/>
    <m/>
    <m/>
    <m/>
    <m/>
    <m/>
    <m/>
    <n v="0.16162625312587664"/>
    <m/>
    <m/>
    <m/>
    <m/>
    <m/>
    <m/>
    <m/>
    <m/>
    <m/>
    <m/>
    <m/>
    <n v="1485.13592370994"/>
    <n v="0.22088911174476245"/>
    <n v="0.28250852178707725"/>
    <n v="317.98258714987389"/>
    <n v="260.32575896867337"/>
    <x v="8"/>
    <n v="9.762677251918257"/>
    <n v="2.6643645582431001"/>
    <n v="0.2"/>
    <n v="0"/>
    <n v="0.3"/>
    <x v="0"/>
    <n v="0.23953620700171518"/>
    <n v="0.18"/>
    <n v="260.32575896867337"/>
    <n v="0.23953620700171518"/>
    <n v="66.218096308691642"/>
    <n v="236.82793196795552"/>
    <n v="129319.68894705843"/>
    <n v="80.404602385287888"/>
    <n v="517099.18776341283"/>
    <x v="0"/>
    <n v="7.4169601004391917E-6"/>
    <n v="2493196.8894705842"/>
    <n v="0.20740407223643528"/>
  </r>
  <r>
    <x v="0"/>
    <n v="1000"/>
    <n v="25"/>
    <x v="1"/>
    <n v="14.061284069685978"/>
    <n v="7.5351093033608301"/>
    <n v="18.58838475571909"/>
    <n v="11.897311839392454"/>
    <m/>
    <n v="0.36881576827498469"/>
    <n v="0.18"/>
    <n v="121.62431086891887"/>
    <n v="60.559822839295698"/>
    <n v="1.2115436765048582"/>
    <m/>
    <m/>
    <m/>
    <m/>
    <m/>
    <m/>
    <m/>
    <m/>
    <m/>
    <m/>
    <m/>
    <n v="0.10183339672524937"/>
    <m/>
    <m/>
    <m/>
    <m/>
    <m/>
    <m/>
    <m/>
    <m/>
    <m/>
    <m/>
    <m/>
    <n v="718.12183503071037"/>
    <n v="0.40536654488187857"/>
    <n v="0.26701774179217636"/>
    <n v="147.33951393900233"/>
    <n v="112.34999677828117"/>
    <x v="8"/>
    <n v="9.762677251918257"/>
    <n v="2.6643645582431001"/>
    <n v="0.2"/>
    <n v="0"/>
    <n v="0.3"/>
    <x v="0"/>
    <n v="0.23357178353535638"/>
    <n v="0.18"/>
    <n v="112.34999677828117"/>
    <n v="0.23357178353535638"/>
    <n v="67.735109874435594"/>
    <n v="222.92271599597566"/>
    <n v="123754.91362940965"/>
    <n v="80.895697745102879"/>
    <n v="272141.80048999091"/>
    <x v="1"/>
    <n v="4.9423888878368257E-6"/>
    <n v="2437549.1362940967"/>
    <n v="0.11164566754282498"/>
  </r>
  <r>
    <x v="0"/>
    <n v="1000"/>
    <n v="25"/>
    <x v="2"/>
    <n v="16.454718183195581"/>
    <n v="5.4678312889640912"/>
    <n v="19.890485598582998"/>
    <n v="11.623166874511112"/>
    <m/>
    <n v="0.32954092487909481"/>
    <n v="0.18"/>
    <n v="118.25489047395"/>
    <n v="58.882103140556012"/>
    <n v="1.7246828762344979"/>
    <m/>
    <m/>
    <m/>
    <m/>
    <m/>
    <m/>
    <m/>
    <m/>
    <m/>
    <m/>
    <m/>
    <n v="0.1483832155947637"/>
    <m/>
    <m/>
    <m/>
    <m/>
    <m/>
    <m/>
    <m/>
    <m/>
    <m/>
    <m/>
    <m/>
    <n v="1061.8282869320315"/>
    <n v="0.27489682249656189"/>
    <n v="0.2762345042761708"/>
    <n v="240.43206794056164"/>
    <n v="199.48684881478175"/>
    <x v="8"/>
    <n v="9.762677251918257"/>
    <n v="2.6643645582431001"/>
    <n v="0.2"/>
    <n v="0"/>
    <n v="0.3"/>
    <x v="0"/>
    <n v="0.23213571687903423"/>
    <n v="0.18"/>
    <n v="199.48684881478175"/>
    <n v="0.23213571687903423"/>
    <n v="56.102393572666102"/>
    <n v="212.76154008325508"/>
    <n v="110498.15894875889"/>
    <n v="67.979168278894036"/>
    <n v="306083.0053806674"/>
    <x v="1"/>
    <n v="6.047214059510581E-6"/>
    <n v="2304981.589487589"/>
    <n v="0.13279195234210589"/>
  </r>
  <r>
    <x v="0"/>
    <n v="1000"/>
    <n v="25"/>
    <x v="0"/>
    <n v="18.148290393993644"/>
    <n v="4.4237203392328945"/>
    <n v="21.036160172244593"/>
    <n v="11.412795687865991"/>
    <m/>
    <n v="0.30650714471306317"/>
    <n v="0.18"/>
    <n v="115.91848896964646"/>
    <n v="57.718749694429782"/>
    <n v="2.1273315730374769"/>
    <m/>
    <m/>
    <m/>
    <m/>
    <m/>
    <m/>
    <m/>
    <m/>
    <m/>
    <m/>
    <m/>
    <n v="0.18639881333363759"/>
    <m/>
    <m/>
    <m/>
    <m/>
    <m/>
    <m/>
    <m/>
    <m/>
    <m/>
    <m/>
    <m/>
    <n v="1351.7932835219651"/>
    <n v="0.21029124626411685"/>
    <n v="0.27203540383762159"/>
    <n v="333.28702757812221"/>
    <n v="288.12749700322593"/>
    <x v="8"/>
    <n v="9.762677251918257"/>
    <n v="2.6643645582431001"/>
    <n v="0.2"/>
    <n v="0"/>
    <n v="0.3"/>
    <x v="0"/>
    <n v="0.22945836426757826"/>
    <n v="0.18"/>
    <n v="288.12749700322593"/>
    <n v="0.22945836426757826"/>
    <n v="50.570679467266601"/>
    <n v="205.98887313218341"/>
    <n v="105272.27196620626"/>
    <n v="64.414970321617901"/>
    <n v="333617.60666278593"/>
    <x v="1"/>
    <n v="6.7567805885462225E-6"/>
    <n v="2252722.7196620628"/>
    <n v="0.14809528210060083"/>
  </r>
  <r>
    <x v="0"/>
    <n v="1000"/>
    <n v="25"/>
    <x v="3"/>
    <n v="19.246462229322081"/>
    <n v="3.6827020022512178"/>
    <n v="21.74490038884711"/>
    <n v="11.290861943032905"/>
    <m/>
    <n v="0.30436985720154497"/>
    <n v="0.18"/>
    <n v="114.57607152253252"/>
    <n v="57.050326069310806"/>
    <n v="2.3459811729867486"/>
    <m/>
    <m/>
    <m/>
    <m/>
    <m/>
    <m/>
    <m/>
    <m/>
    <m/>
    <m/>
    <m/>
    <n v="0.20777697795112537"/>
    <m/>
    <m/>
    <m/>
    <m/>
    <m/>
    <m/>
    <m/>
    <m/>
    <m/>
    <m/>
    <m/>
    <n v="1553.5380209372656"/>
    <n v="0.16935934110510176"/>
    <n v="0.26895375232218421"/>
    <n v="428.43951027585433"/>
    <n v="380.54743444389277"/>
    <x v="8"/>
    <n v="9.762677251918257"/>
    <n v="2.6643645582431001"/>
    <n v="0.2"/>
    <n v="0"/>
    <n v="0.3"/>
    <x v="0"/>
    <n v="0.23591843175093841"/>
    <n v="0.18"/>
    <n v="380.54743444389277"/>
    <n v="0.23591843175093841"/>
    <n v="46.370746067005115"/>
    <n v="202.19236627080039"/>
    <n v="101163.41472056754"/>
    <n v="60.642497088967467"/>
    <n v="348776.07722838811"/>
    <x v="1"/>
    <n v="7.2533759777369156E-6"/>
    <n v="2211634.1472056755"/>
    <n v="0.15770062045255306"/>
  </r>
  <r>
    <x v="0"/>
    <n v="1000"/>
    <n v="25"/>
    <x v="4"/>
    <n v="20.015398020410281"/>
    <n v="3.1462329676945053"/>
    <n v="22.231737028046883"/>
    <n v="11.204095054239586"/>
    <m/>
    <n v="0.30298121593499078"/>
    <n v="0.18"/>
    <n v="113.63311596721374"/>
    <n v="56.580804630977802"/>
    <n v="2.5341403685131283"/>
    <m/>
    <m/>
    <m/>
    <m/>
    <m/>
    <m/>
    <m/>
    <m/>
    <m/>
    <m/>
    <m/>
    <n v="0.22617983480550885"/>
    <m/>
    <m/>
    <m/>
    <m/>
    <m/>
    <m/>
    <m/>
    <m/>
    <m/>
    <m/>
    <m/>
    <n v="1742.2456504853585"/>
    <n v="0.14151988950414957"/>
    <n v="0.26680406382682126"/>
    <n v="524.98091021056564"/>
    <n v="475.17546622879428"/>
    <x v="8"/>
    <n v="9.762677251918257"/>
    <n v="2.6643645582431001"/>
    <n v="0.2"/>
    <n v="0"/>
    <n v="0.3"/>
    <x v="0"/>
    <n v="0.24111381875899818"/>
    <n v="0.18"/>
    <n v="475.17546622879428"/>
    <n v="0.24111381875899818"/>
    <n v="43.291226291471204"/>
    <n v="199.56527105069463"/>
    <n v="98127.685624702921"/>
    <n v="57.723738465044661"/>
    <n v="358245.15839597164"/>
    <x v="1"/>
    <n v="7.6157294294148375E-6"/>
    <n v="2181276.8562470293"/>
    <n v="0.16423644590093264"/>
  </r>
  <r>
    <x v="0"/>
    <n v="1000"/>
    <n v="25"/>
    <x v="5"/>
    <n v="20.577687525579897"/>
    <n v="2.7451240972025737"/>
    <n v="22.58290996049098"/>
    <n v="11.139706978448693"/>
    <m/>
    <n v="0.30267987858029333"/>
    <n v="0.18"/>
    <n v="112.93877356247549"/>
    <n v="56.235073973016839"/>
    <n v="2.6820852797432053"/>
    <m/>
    <m/>
    <m/>
    <m/>
    <m/>
    <m/>
    <m/>
    <m/>
    <m/>
    <m/>
    <m/>
    <n v="0.2407680278244366"/>
    <m/>
    <m/>
    <m/>
    <m/>
    <m/>
    <m/>
    <m/>
    <m/>
    <m/>
    <m/>
    <m/>
    <n v="1912.2543472890061"/>
    <n v="0.12155758943400982"/>
    <n v="0.26523261242807028"/>
    <n v="622.41645046134568"/>
    <n v="571.21170741740343"/>
    <x v="8"/>
    <n v="9.762677251918257"/>
    <n v="2.6643645582431001"/>
    <n v="0.2"/>
    <n v="0"/>
    <n v="0.3"/>
    <x v="0"/>
    <n v="0.2457390564083462"/>
    <n v="0.18"/>
    <n v="571.21170741740343"/>
    <n v="0.2457390564083462"/>
    <n v="40.964749248125209"/>
    <n v="197.65120508184938"/>
    <n v="95801.718724285602"/>
    <n v="55.412949442069042"/>
    <n v="364436.76926572254"/>
    <x v="1"/>
    <n v="7.8903823757016457E-6"/>
    <n v="2158017.1872428562"/>
    <n v="0.16887574919240436"/>
  </r>
  <r>
    <x v="0"/>
    <n v="1000"/>
    <n v="25"/>
    <x v="6"/>
    <n v="21.012259059411463"/>
    <n v="2.4362586152397667"/>
    <n v="22.855045826856355"/>
    <n v="11.091756834551246"/>
    <m/>
    <n v="0.30244950950584198"/>
    <n v="0.18"/>
    <n v="112.42332509945443"/>
    <n v="55.978419136657813"/>
    <n v="2.8056149764062788"/>
    <m/>
    <m/>
    <m/>
    <m/>
    <m/>
    <m/>
    <m/>
    <m/>
    <m/>
    <m/>
    <m/>
    <n v="0.25294595060601049"/>
    <m/>
    <m/>
    <m/>
    <m/>
    <m/>
    <m/>
    <m/>
    <m/>
    <m/>
    <m/>
    <m/>
    <n v="2070.9080342389075"/>
    <n v="0.10659609408338985"/>
    <n v="0.26392863180060083"/>
    <n v="720.38658740410438"/>
    <n v="668.10054603576725"/>
    <x v="8"/>
    <n v="9.762677251918257"/>
    <n v="2.6643645582431001"/>
    <n v="0.2"/>
    <n v="0"/>
    <n v="0.3"/>
    <x v="0"/>
    <n v="0.24950754114194026"/>
    <n v="0.18"/>
    <n v="668.10054603576725"/>
    <n v="0.24950754114194026"/>
    <n v="39.17124244960948"/>
    <n v="196.24126067602649"/>
    <n v="94034.59214886275"/>
    <n v="53.621723253977521"/>
    <n v="369008.79849658208"/>
    <x v="1"/>
    <n v="8.1049458043816237E-6"/>
    <n v="2140345.9214886278"/>
    <n v="0.17240614930129308"/>
  </r>
  <r>
    <x v="0"/>
    <n v="1000"/>
    <n v="25"/>
    <x v="7"/>
    <n v="21.354952347303964"/>
    <n v="2.1908049336242028"/>
    <n v="23.068637110203209"/>
    <n v="11.053933375189615"/>
    <m/>
    <n v="0.30217974418450844"/>
    <n v="0.18"/>
    <n v="112.01820311981581"/>
    <n v="55.776698648870948"/>
    <n v="2.9108928840901154"/>
    <m/>
    <m/>
    <m/>
    <m/>
    <m/>
    <m/>
    <m/>
    <m/>
    <m/>
    <m/>
    <m/>
    <n v="0.26333548297147963"/>
    <m/>
    <m/>
    <m/>
    <m/>
    <m/>
    <m/>
    <m/>
    <m/>
    <m/>
    <m/>
    <m/>
    <n v="2221.0749664905416"/>
    <n v="9.496897988200674E-2"/>
    <n v="0.26288624327314192"/>
    <n v="818.7673265766291"/>
    <n v="765.62852444548275"/>
    <x v="8"/>
    <n v="9.762677251918257"/>
    <n v="2.6643645582431001"/>
    <n v="0.2"/>
    <n v="0"/>
    <n v="0.3"/>
    <x v="0"/>
    <n v="0.25259247072702323"/>
    <n v="0.18"/>
    <n v="765.62852444548275"/>
    <n v="0.25259247072702323"/>
    <n v="37.741429956859299"/>
    <n v="195.13956966988553"/>
    <n v="92625.016554790258"/>
    <n v="52.17334876497204"/>
    <n v="372385.28177329473"/>
    <x v="1"/>
    <n v="8.2770959972778578E-6"/>
    <n v="2126250.1655479027"/>
    <n v="0.17513709713331715"/>
  </r>
  <r>
    <x v="0"/>
    <n v="1000"/>
    <n v="25"/>
    <x v="8"/>
    <n v="21.634890268073228"/>
    <n v="1.9914887525976224"/>
    <n v="23.243824062472278"/>
    <n v="11.023960155479884"/>
    <m/>
    <n v="0.3017373046480783"/>
    <n v="0.18"/>
    <n v="111.69766318890764"/>
    <n v="55.617093704020412"/>
    <n v="3.0033548843747653"/>
    <m/>
    <m/>
    <m/>
    <m/>
    <m/>
    <m/>
    <m/>
    <m/>
    <m/>
    <m/>
    <m/>
    <n v="0.27243883704367639"/>
    <m/>
    <m/>
    <m/>
    <m/>
    <m/>
    <m/>
    <m/>
    <m/>
    <m/>
    <m/>
    <m/>
    <n v="2365.2611129731222"/>
    <n v="8.567818906411917E-2"/>
    <n v="0.26198384603864838"/>
    <n v="917.41899130345007"/>
    <n v="863.58367078573815"/>
    <x v="8"/>
    <n v="9.762677251918257"/>
    <n v="2.6643645582431001"/>
    <n v="0.2"/>
    <n v="0"/>
    <n v="0.3"/>
    <x v="0"/>
    <n v="0.2550522458267977"/>
    <n v="0.18"/>
    <n v="863.58367078573815"/>
    <n v="0.2550522458267977"/>
    <n v="36.581480842408062"/>
    <n v="194.27188272636607"/>
    <n v="91498.175275013404"/>
    <n v="51.003884513728721"/>
    <n v="375088.63279432221"/>
    <x v="1"/>
    <n v="8.4181696030292439E-6"/>
    <n v="2114981.7527501341"/>
    <n v="0.17734840137821062"/>
  </r>
  <r>
    <x v="0"/>
    <n v="1000"/>
    <n v="25"/>
    <x v="9"/>
    <n v="21.863434609291719"/>
    <n v="1.8258860368807048"/>
    <n v="23.38525575667029"/>
    <n v="10.998678695601836"/>
    <m/>
    <n v="0.30123548331574829"/>
    <n v="0.18"/>
    <n v="111.42823520794036"/>
    <n v="55.482938692750395"/>
    <n v="3.0846455169515856"/>
    <m/>
    <m/>
    <m/>
    <m/>
    <m/>
    <m/>
    <m/>
    <m/>
    <m/>
    <m/>
    <m/>
    <n v="0.28045600770073204"/>
    <m/>
    <m/>
    <m/>
    <m/>
    <m/>
    <m/>
    <m/>
    <m/>
    <m/>
    <m/>
    <m/>
    <n v="2504.240590886764"/>
    <n v="7.8078514765009502E-2"/>
    <n v="0.2612801197259948"/>
    <n v="1016.3218593430684"/>
    <n v="961.91783241097119"/>
    <x v="8"/>
    <n v="9.762677251918257"/>
    <n v="2.6643645582431001"/>
    <n v="0.2"/>
    <n v="0"/>
    <n v="0.3"/>
    <x v="0"/>
    <n v="0.2570845450456391"/>
    <n v="0.18"/>
    <n v="961.91783241097119"/>
    <n v="0.2570845450456391"/>
    <n v="35.613097483494826"/>
    <n v="193.54525732302386"/>
    <n v="90543.95304303689"/>
    <n v="50.005994252263264"/>
    <n v="377112.22508816584"/>
    <x v="1"/>
    <n v="8.5359503607692868E-6"/>
    <n v="2105439.5304303691"/>
    <n v="0.17911330134999462"/>
  </r>
  <r>
    <x v="0"/>
    <n v="1000"/>
    <n v="25"/>
    <x v="0"/>
    <n v="18.160433461875694"/>
    <n v="4.4289021792846466"/>
    <n v="21.051566571922692"/>
    <n v="11.418006099398486"/>
    <m/>
    <n v="0.30637906152585059"/>
    <n v="0.18"/>
    <n v="115.97098116706078"/>
    <n v="57.744886888163052"/>
    <n v="2.1276138143156267"/>
    <m/>
    <m/>
    <m/>
    <m/>
    <m/>
    <m/>
    <m/>
    <m/>
    <m/>
    <m/>
    <m/>
    <n v="0.18633847239122703"/>
    <m/>
    <m/>
    <m/>
    <m/>
    <m/>
    <m/>
    <m/>
    <m/>
    <m/>
    <m/>
    <m/>
    <n v="1351.8175053145028"/>
    <n v="0.21038349636134202"/>
    <n v="0.27186413965350559"/>
    <n v="333.20033497238217"/>
    <n v="288.01059815668992"/>
    <x v="8"/>
    <n v="9.762677251918257"/>
    <n v="2.6643645582431001"/>
    <n v="0.2"/>
    <n v="0"/>
    <n v="0.3"/>
    <x v="0"/>
    <n v="0.22934732131898311"/>
    <n v="0.18"/>
    <n v="288.01059815668992"/>
    <n v="0.22934732131898311"/>
    <n v="50.620820518561644"/>
    <n v="206.13870401586144"/>
    <n v="105414.76870751687"/>
    <n v="64.534104146007323"/>
    <n v="334180.96956826735"/>
    <x v="2"/>
    <n v="6.7560263518050233E-6"/>
    <n v="2254147.6870751688"/>
    <n v="0.14825158594727136"/>
  </r>
  <r>
    <x v="0"/>
    <n v="1000"/>
    <n v="25"/>
    <x v="0"/>
    <n v="17.554065400893094"/>
    <n v="4.2363720884931846"/>
    <n v="20.313897161548951"/>
    <n v="11.028743795033176"/>
    <m/>
    <n v="0.30986472433286355"/>
    <n v="0.18"/>
    <n v="112.05552602677814"/>
    <n v="55.79528266893518"/>
    <n v="2.0609170242240964"/>
    <m/>
    <m/>
    <m/>
    <m/>
    <m/>
    <m/>
    <m/>
    <m/>
    <m/>
    <m/>
    <m/>
    <n v="0.18686779405939558"/>
    <m/>
    <m/>
    <m/>
    <m/>
    <m/>
    <m/>
    <m/>
    <m/>
    <m/>
    <m/>
    <m/>
    <n v="1322.5414713473251"/>
    <n v="0.20854551220786813"/>
    <n v="0.2732735469007011"/>
    <n v="335.76375906127612"/>
    <n v="292.08295923527749"/>
    <x v="8"/>
    <n v="9.762677251918257"/>
    <n v="2.6643645582431001"/>
    <n v="0.2"/>
    <n v="0"/>
    <n v="0.3"/>
    <x v="1"/>
    <n v="0.23158205647056801"/>
    <n v="0.18"/>
    <n v="292.08295923527749"/>
    <n v="0.23158205647056801"/>
    <n v="48.602754649889611"/>
    <n v="195.24082951516351"/>
    <n v="98834.493705638"/>
    <n v="61.4174570485429"/>
    <n v="381162.83235375641"/>
    <x v="2"/>
    <n v="6.562458405194965E-6"/>
    <n v="2188344.9370563799"/>
    <n v="0.17417858853023052"/>
  </r>
  <r>
    <x v="0"/>
    <n v="1000"/>
    <n v="25"/>
    <x v="0"/>
    <n v="15.335130745016919"/>
    <n v="3.5824455620024125"/>
    <n v="17.65346303278897"/>
    <n v="9.6278743701172456"/>
    <m/>
    <n v="0.32660568530397416"/>
    <n v="0.18"/>
    <n v="97.935501588877543"/>
    <n v="48.764565106495048"/>
    <n v="1.7850239692866392"/>
    <m/>
    <m/>
    <m/>
    <m/>
    <m/>
    <m/>
    <m/>
    <m/>
    <m/>
    <m/>
    <m/>
    <n v="0.18540166818409592"/>
    <m/>
    <m/>
    <m/>
    <m/>
    <m/>
    <m/>
    <m/>
    <m/>
    <m/>
    <m/>
    <m/>
    <n v="1199.1579212654999"/>
    <n v="0.20293160358103643"/>
    <n v="0.27783657284849111"/>
    <n v="344.80521197121368"/>
    <n v="306.64593662217942"/>
    <x v="8"/>
    <n v="9.762677251918257"/>
    <n v="2.6643645582431001"/>
    <n v="0.2"/>
    <n v="0"/>
    <n v="0.3"/>
    <x v="2"/>
    <n v="0.24187381152375115"/>
    <n v="0.18"/>
    <n v="306.64593662217942"/>
    <n v="0.24187381152375115"/>
    <n v="41.576317976376423"/>
    <n v="159.96882810908662"/>
    <n v="77725.06718436048"/>
    <n v="50.874974599251651"/>
    <n v="501959.05816888128"/>
    <x v="2"/>
    <n v="5.8910067436941109E-6"/>
    <n v="1977250.6718436047"/>
    <n v="0.25386718301167682"/>
  </r>
  <r>
    <x v="0"/>
    <n v="1000"/>
    <n v="25"/>
    <x v="0"/>
    <n v="13.297420475961593"/>
    <n v="3.0336625084163442"/>
    <n v="15.249920975251566"/>
    <n v="8.3316831448812056"/>
    <m/>
    <n v="0.3375468891520243"/>
    <n v="0.18"/>
    <n v="84.834267429788426"/>
    <n v="42.241129010683039"/>
    <n v="1.5726359139923529"/>
    <m/>
    <m/>
    <m/>
    <m/>
    <m/>
    <m/>
    <m/>
    <m/>
    <m/>
    <m/>
    <m/>
    <n v="0.18875368717766761"/>
    <m/>
    <m/>
    <m/>
    <m/>
    <m/>
    <m/>
    <m/>
    <m/>
    <m/>
    <m/>
    <m/>
    <n v="1105.8489223990441"/>
    <n v="0.19892971992048636"/>
    <n v="0.28065294537467311"/>
    <n v="352.61970096836336"/>
    <n v="319.53096540286697"/>
    <x v="8"/>
    <n v="9.762677251918257"/>
    <n v="2.6643645582431001"/>
    <n v="0.2"/>
    <n v="0"/>
    <n v="0.3"/>
    <x v="3"/>
    <n v="0.24842743383638094"/>
    <n v="0.18"/>
    <n v="319.53096540286697"/>
    <n v="0.24842743383638094"/>
    <n v="35.549023390135886"/>
    <n v="131.6423273373232"/>
    <n v="61606.33483196274"/>
    <n v="42.625370695397159"/>
    <n v="573843.07255837868"/>
    <x v="2"/>
    <n v="5.2519402635498088E-6"/>
    <n v="1816063.3483196273"/>
    <n v="0.31598185883182212"/>
  </r>
  <r>
    <x v="0"/>
    <n v="1000"/>
    <n v="25"/>
    <x v="0"/>
    <n v="12.155395666597336"/>
    <n v="2.7450362123323107"/>
    <n v="13.916528360716867"/>
    <n v="7.5888598018321183"/>
    <m/>
    <n v="0.34035110446310812"/>
    <n v="0.18"/>
    <n v="77.312160595059112"/>
    <n v="38.49568162409583"/>
    <n v="1.4685881779013927"/>
    <m/>
    <m/>
    <m/>
    <m/>
    <m/>
    <m/>
    <m/>
    <m/>
    <m/>
    <m/>
    <m/>
    <n v="0.19351894965128269"/>
    <m/>
    <m/>
    <m/>
    <m/>
    <m/>
    <m/>
    <m/>
    <m/>
    <m/>
    <m/>
    <m/>
    <n v="1060.7978941065082"/>
    <n v="0.19725007136700209"/>
    <n v="0.28105464303488031"/>
    <n v="356.75077438557457"/>
    <n v="326.5038051558119"/>
    <x v="8"/>
    <n v="9.762677251918257"/>
    <n v="2.6643645582431001"/>
    <n v="0.2"/>
    <n v="0"/>
    <n v="0.3"/>
    <x v="4"/>
    <n v="0.24982780819091338"/>
    <n v="0.18"/>
    <n v="326.5038051558119"/>
    <n v="0.24982780819091338"/>
    <n v="32.324968241791275"/>
    <n v="116.84674232835073"/>
    <n v="53740.237004777089"/>
    <n v="38.599092852999902"/>
    <n v="601980.26619754639"/>
    <x v="2"/>
    <n v="4.8758996661744088E-6"/>
    <n v="1737402.3700477709"/>
    <n v="0.34648293140120129"/>
  </r>
  <r>
    <x v="0"/>
    <n v="1000"/>
    <n v="25"/>
    <x v="0"/>
    <n v="10.774581735090662"/>
    <n v="2.4114962742842496"/>
    <n v="12.315589952196355"/>
    <n v="6.6893868339551243"/>
    <m/>
    <n v="0.34334719786034451"/>
    <n v="0.18"/>
    <n v="68.19086506911556"/>
    <n v="33.953957710762936"/>
    <n v="1.3365738659736319"/>
    <m/>
    <m/>
    <m/>
    <m/>
    <m/>
    <m/>
    <m/>
    <m/>
    <m/>
    <m/>
    <m/>
    <n v="0.19980513896867552"/>
    <m/>
    <m/>
    <m/>
    <m/>
    <m/>
    <m/>
    <m/>
    <m/>
    <m/>
    <m/>
    <m/>
    <n v="1003.086920943529"/>
    <n v="0.19580842522726122"/>
    <n v="0.28066844581058892"/>
    <n v="361.61099726058279"/>
    <n v="334.79998795671315"/>
    <x v="8"/>
    <n v="9.762677251918257"/>
    <n v="2.6643645582431001"/>
    <n v="0.2"/>
    <n v="0"/>
    <n v="0.3"/>
    <x v="5"/>
    <n v="0.25103553553467589"/>
    <n v="0.18"/>
    <n v="334.79998795671315"/>
    <n v="0.25103553553467589"/>
    <n v="28.535366421438624"/>
    <n v="100.07225871690484"/>
    <n v="44958.238503474531"/>
    <n v="34.031773268522542"/>
    <n v="632569.21753731219"/>
    <x v="2"/>
    <n v="4.3918872151595828E-6"/>
    <n v="1649582.3850347453"/>
    <n v="0.38347234019717563"/>
  </r>
  <r>
    <x v="0"/>
    <n v="1000"/>
    <n v="25"/>
    <x v="0"/>
    <n v="8.9244643642403716"/>
    <n v="1.9790064603578461"/>
    <n v="10.183084939912675"/>
    <n v="5.5122108716011269"/>
    <m/>
    <n v="0.34816563720933696"/>
    <n v="0.18"/>
    <n v="56.233273332854061"/>
    <n v="27.999970124242687"/>
    <n v="1.1572065940394154"/>
    <m/>
    <m/>
    <m/>
    <m/>
    <m/>
    <m/>
    <m/>
    <m/>
    <m/>
    <m/>
    <m/>
    <n v="0.20993510970368276"/>
    <m/>
    <m/>
    <m/>
    <m/>
    <m/>
    <m/>
    <m/>
    <m/>
    <m/>
    <m/>
    <m/>
    <n v="924.60906554402129"/>
    <n v="0.19434252704709512"/>
    <n v="0.28075850200408103"/>
    <n v="368.21302186563651"/>
    <n v="346.00576852431362"/>
    <x v="8"/>
    <n v="9.762677251918257"/>
    <n v="2.6643645582431001"/>
    <n v="0.2"/>
    <n v="0"/>
    <n v="0.3"/>
    <x v="6"/>
    <n v="0.25326805652350798"/>
    <n v="0.18"/>
    <n v="346.00576852431362"/>
    <n v="0.25326805652350798"/>
    <n v="23.55128380181565"/>
    <n v="79.69313015223662"/>
    <n v="34576.093921254069"/>
    <n v="27.953808045115821"/>
    <n v="651590.58886641392"/>
    <x v="2"/>
    <n v="3.7230813303864624E-6"/>
    <n v="1545760.9392125406"/>
    <n v="0.42153386874839438"/>
  </r>
  <r>
    <x v="0"/>
    <n v="1000"/>
    <n v="25"/>
    <x v="0"/>
    <n v="7.7447896466815251"/>
    <n v="1.7142502631390739"/>
    <n v="8.8314157002659588"/>
    <n v="4.7680503964699588"/>
    <m/>
    <n v="0.35272949946178334"/>
    <n v="0.18"/>
    <n v="48.663539997447771"/>
    <n v="24.230808297484366"/>
    <n v="1.0299683448402375"/>
    <m/>
    <m/>
    <m/>
    <m/>
    <m/>
    <m/>
    <m/>
    <m/>
    <m/>
    <m/>
    <m/>
    <n v="0.21601456763183077"/>
    <m/>
    <m/>
    <m/>
    <m/>
    <m/>
    <m/>
    <m/>
    <m/>
    <m/>
    <m/>
    <m/>
    <n v="868.08512111120513"/>
    <n v="0.19410820657977285"/>
    <n v="0.28033157498967221"/>
    <n v="372.37275306227332"/>
    <n v="353.10094869108639"/>
    <x v="8"/>
    <n v="9.762677251918257"/>
    <n v="2.6643645582431001"/>
    <n v="0.2"/>
    <n v="0"/>
    <n v="0.3"/>
    <x v="7"/>
    <n v="0.25556342239284829"/>
    <n v="0.18"/>
    <n v="353.10094869108639"/>
    <n v="0.25556342239284829"/>
    <n v="20.443797560568875"/>
    <n v="67.584871090096883"/>
    <n v="28622.033053499523"/>
    <n v="24.215497715861687"/>
    <n v="654447.77993586648"/>
    <x v="2"/>
    <n v="3.2752611328783175E-6"/>
    <n v="1486220.3305349953"/>
    <n v="0.44034371384240495"/>
  </r>
  <r>
    <x v="0"/>
    <n v="1000"/>
    <n v="25"/>
    <x v="0"/>
    <n v="6.2909277941749471"/>
    <n v="1.3947371847179064"/>
    <n v="7.1712865834869026"/>
    <n v="3.863667943553859"/>
    <m/>
    <n v="0.35991145724412982"/>
    <n v="0.18"/>
    <n v="39.453695951501118"/>
    <n v="19.64499383477234"/>
    <n v="0.86686588530195108"/>
    <m/>
    <m/>
    <m/>
    <m/>
    <m/>
    <m/>
    <m/>
    <m/>
    <m/>
    <m/>
    <m/>
    <n v="0.22436345409760938"/>
    <m/>
    <m/>
    <m/>
    <m/>
    <m/>
    <m/>
    <m/>
    <m/>
    <m/>
    <m/>
    <m/>
    <n v="795.315322195607"/>
    <n v="0.19448911551373838"/>
    <n v="0.28005050131041814"/>
    <n v="377.53645230150164"/>
    <n v="361.8823795446321"/>
    <x v="8"/>
    <n v="9.762677251918257"/>
    <n v="2.6643645582431001"/>
    <n v="0.2"/>
    <n v="0"/>
    <n v="0.3"/>
    <x v="8"/>
    <n v="0.25969346307743763"/>
    <n v="0.18"/>
    <n v="361.8823795446321"/>
    <n v="0.25969346307743763"/>
    <n v="16.654521706247429"/>
    <n v="53.554522214346235"/>
    <n v="21953.700380506001"/>
    <n v="19.6415565668547"/>
    <n v="650059.19002951984"/>
    <x v="2"/>
    <n v="2.6931087410505822E-6"/>
    <n v="1419537.0038050599"/>
    <n v="0.4579374741813988"/>
  </r>
  <r>
    <x v="0"/>
    <n v="1000"/>
    <n v="25"/>
    <x v="0"/>
    <n v="4.2987663660851769"/>
    <n v="0.96596961107532486"/>
    <n v="4.9043891046145021"/>
    <n v="2.638663775566751"/>
    <m/>
    <n v="0.37392728801220487"/>
    <n v="0.18"/>
    <n v="26.96233164795882"/>
    <n v="13.425227376577006"/>
    <n v="0.62637971758275146"/>
    <m/>
    <m/>
    <m/>
    <m/>
    <m/>
    <m/>
    <m/>
    <m/>
    <m/>
    <m/>
    <m/>
    <n v="0.23738519601581795"/>
    <m/>
    <m/>
    <m/>
    <m/>
    <m/>
    <m/>
    <m/>
    <m/>
    <m/>
    <m/>
    <m/>
    <n v="687.12139516448337"/>
    <n v="0.19696023102376839"/>
    <n v="0.2796564095473808"/>
    <n v="384.62840035369595"/>
    <n v="373.93153637310763"/>
    <x v="8"/>
    <n v="9.762677251918257"/>
    <n v="2.6643645582431001"/>
    <n v="0.2"/>
    <n v="0"/>
    <n v="0.3"/>
    <x v="9"/>
    <n v="0.26956897403846053"/>
    <n v="0.18"/>
    <n v="373.93153637310763"/>
    <n v="0.26956897403846053"/>
    <n v="11.510095545470312"/>
    <n v="35.574814350516398"/>
    <n v="13882.219961791243"/>
    <n v="13.480358846148778"/>
    <n v="615302.64380787953"/>
    <x v="2"/>
    <n v="1.8529011469274162E-6"/>
    <n v="1338822.1996179125"/>
    <n v="0.45958503226453912"/>
  </r>
  <r>
    <x v="0"/>
    <n v="1000"/>
    <n v="25"/>
    <x v="0"/>
    <n v="18.162897700122379"/>
    <n v="4.4299548174166068"/>
    <n v="21.054693844545852"/>
    <n v="11.41906720352666"/>
    <m/>
    <n v="0.30635403646765397"/>
    <n v="0.18"/>
    <n v="115.98167101330466"/>
    <n v="57.750209633180745"/>
    <n v="2.1276611938024423"/>
    <m/>
    <m/>
    <m/>
    <m/>
    <m/>
    <m/>
    <m/>
    <m/>
    <m/>
    <m/>
    <m/>
    <n v="0.1863253062514017"/>
    <m/>
    <m/>
    <m/>
    <m/>
    <m/>
    <m/>
    <m/>
    <m/>
    <m/>
    <m/>
    <m/>
    <n v="1351.8174826676582"/>
    <n v="0.21040224332514679"/>
    <n v="0.2718293849546185"/>
    <n v="333.18272892698985"/>
    <n v="287.98688576643741"/>
    <x v="8"/>
    <n v="9.762677251918257"/>
    <n v="2.6643645582431001"/>
    <n v="0.2"/>
    <n v="0"/>
    <n v="0.3"/>
    <x v="0"/>
    <n v="0.22932535153987185"/>
    <n v="0.18"/>
    <n v="287.98688576643741"/>
    <n v="0.22932535153987185"/>
    <n v="50.630995409396988"/>
    <n v="206.16922939761363"/>
    <n v="105443.72828919967"/>
    <n v="64.558264888454588"/>
    <n v="334295.42792006495"/>
    <x v="3"/>
    <n v="6.7558719182887052E-6"/>
    <n v="2254437.2828919967"/>
    <n v="0.14828331240655765"/>
  </r>
  <r>
    <x v="1"/>
    <n v="1000"/>
    <n v="25"/>
    <x v="0"/>
    <n v="18.049698241539812"/>
    <n v="4.5036859060830485"/>
    <n v="20.980353965993814"/>
    <n v="11.433394081172802"/>
    <m/>
    <n v="0.30708896512532585"/>
    <n v="0.18"/>
    <n v="116.13877542725038"/>
    <n v="57.828435897386093"/>
    <n v="2.1034229556443833"/>
    <m/>
    <m/>
    <m/>
    <m/>
    <m/>
    <m/>
    <m/>
    <m/>
    <m/>
    <m/>
    <m/>
    <n v="0.18397187577991897"/>
    <m/>
    <m/>
    <m/>
    <m/>
    <m/>
    <m/>
    <m/>
    <m/>
    <m/>
    <m/>
    <m/>
    <n v="1332.1660341969177"/>
    <n v="0.21466205543447389"/>
    <n v="0.24185161871963148"/>
    <n v="325.36871021539832"/>
    <n v="280.45455637472708"/>
    <x v="8"/>
    <n v="9.762677251918257"/>
    <n v="2.6643645582431001"/>
    <n v="0.2"/>
    <n v="0"/>
    <n v="0.3"/>
    <x v="0"/>
    <n v="0.22902833356641578"/>
    <n v="0.18"/>
    <n v="280.45455637472708"/>
    <n v="0.22902833356641578"/>
    <n v="51.039601582891422"/>
    <n v="206.61835186342341"/>
    <n v="105865.20924398358"/>
    <n v="64.906756701567687"/>
    <n v="332657.2715061832"/>
    <x v="3"/>
    <n v="6.705566132117122E-6"/>
    <n v="2258652.0924398359"/>
    <n v="0.14728132438796315"/>
  </r>
  <r>
    <x v="2"/>
    <n v="1000"/>
    <n v="25"/>
    <x v="0"/>
    <n v="17.894275543459894"/>
    <n v="4.5967907351766515"/>
    <n v="20.873685469944114"/>
    <n v="11.449167555499773"/>
    <m/>
    <n v="0.3082029762518817"/>
    <n v="0.18"/>
    <n v="116.3148135621453"/>
    <n v="57.916089740487294"/>
    <n v="2.0716233518747735"/>
    <m/>
    <m/>
    <m/>
    <m/>
    <m/>
    <m/>
    <m/>
    <m/>
    <m/>
    <m/>
    <m/>
    <n v="0.18094095853105402"/>
    <m/>
    <m/>
    <m/>
    <m/>
    <m/>
    <m/>
    <m/>
    <m/>
    <m/>
    <m/>
    <m/>
    <n v="1306.8586397560771"/>
    <n v="0.22021941174669615"/>
    <n v="0.21195294743812643"/>
    <n v="315.57430193942639"/>
    <n v="271.04696381869138"/>
    <x v="8"/>
    <n v="9.762677251918257"/>
    <n v="2.6643645582431001"/>
    <n v="0.2"/>
    <n v="0"/>
    <n v="0.3"/>
    <x v="0"/>
    <n v="0.22875482495615168"/>
    <n v="0.18"/>
    <n v="271.04696381869138"/>
    <n v="0.22875482495615168"/>
    <n v="51.541139206557247"/>
    <n v="207.12272383742851"/>
    <n v="106328.64014328427"/>
    <n v="65.283099720929116"/>
    <n v="330156.19920768158"/>
    <x v="3"/>
    <n v="6.6404068962678644E-6"/>
    <n v="2263286.4014328429"/>
    <n v="0.14587468868220393"/>
  </r>
  <r>
    <x v="3"/>
    <n v="1000"/>
    <n v="25"/>
    <x v="0"/>
    <n v="17.680541212758374"/>
    <n v="4.7244226305346171"/>
    <n v="20.726636012904926"/>
    <n v="11.471698065931037"/>
    <m/>
    <n v="0.31120913288218632"/>
    <n v="0.18"/>
    <n v="116.56588241051205"/>
    <n v="58.041103274943758"/>
    <n v="2.0136568972993878"/>
    <m/>
    <m/>
    <m/>
    <m/>
    <m/>
    <m/>
    <m/>
    <m/>
    <m/>
    <m/>
    <m/>
    <n v="0.17553259209982183"/>
    <m/>
    <m/>
    <m/>
    <m/>
    <m/>
    <m/>
    <m/>
    <m/>
    <m/>
    <m/>
    <m/>
    <n v="1265.7127025732384"/>
    <n v="0.22793967277628036"/>
    <n v="0.18204793582956266"/>
    <n v="302.8797490496608"/>
    <n v="258.8842539235456"/>
    <x v="8"/>
    <n v="9.762677251918257"/>
    <n v="2.6643645582431001"/>
    <n v="0.2"/>
    <n v="0"/>
    <n v="0.3"/>
    <x v="0"/>
    <n v="0.22919111795388614"/>
    <n v="0.18"/>
    <n v="258.8842539235456"/>
    <n v="0.22919111795388614"/>
    <n v="52.212983014758152"/>
    <n v="207.84413226414958"/>
    <n v="106915.93791894351"/>
    <n v="65.709261687547894"/>
    <n v="326593.17334244575"/>
    <x v="3"/>
    <n v="6.5526201787230196E-6"/>
    <n v="2269159.3791894354"/>
    <n v="0.1439269433155056"/>
  </r>
  <r>
    <x v="4"/>
    <n v="1000"/>
    <n v="25"/>
    <x v="0"/>
    <n v="17.385248933706585"/>
    <n v="4.911879009126892"/>
    <n v="20.529885859353335"/>
    <n v="11.509052579356197"/>
    <m/>
    <n v="0.3145477454893858"/>
    <n v="0.18"/>
    <n v="116.97874017615916"/>
    <n v="58.246675606386304"/>
    <n v="1.9445450083591922"/>
    <m/>
    <m/>
    <m/>
    <m/>
    <m/>
    <m/>
    <m/>
    <m/>
    <m/>
    <m/>
    <m/>
    <n v="0.16895786989861572"/>
    <m/>
    <m/>
    <m/>
    <m/>
    <m/>
    <m/>
    <m/>
    <m/>
    <m/>
    <m/>
    <m/>
    <n v="1214.7087414779744"/>
    <n v="0.23925505688523149"/>
    <n v="0.15209784505869639"/>
    <n v="285.69694115654693"/>
    <n v="242.43623729837634"/>
    <x v="8"/>
    <n v="9.762677251918257"/>
    <n v="2.6643645582431001"/>
    <n v="0.2"/>
    <n v="0"/>
    <n v="0.3"/>
    <x v="0"/>
    <n v="0.22924968622062317"/>
    <n v="0.18"/>
    <n v="242.43623729837634"/>
    <n v="0.22924968622062317"/>
    <n v="53.225519287263552"/>
    <n v="209.0357325853108"/>
    <n v="107907.39162433281"/>
    <n v="66.443235848011227"/>
    <n v="321976.40432130569"/>
    <x v="3"/>
    <n v="6.4261667996547191E-6"/>
    <n v="2279073.9162433282"/>
    <n v="0.14127510390361972"/>
  </r>
  <r>
    <x v="5"/>
    <n v="1000"/>
    <n v="25"/>
    <x v="0"/>
    <n v="16.922103330535855"/>
    <n v="5.1993591344023287"/>
    <n v="20.217695037036513"/>
    <n v="11.569011828984632"/>
    <m/>
    <n v="0.32126456880498611"/>
    <n v="0.18"/>
    <n v="117.64389457823448"/>
    <n v="58.577872819037921"/>
    <n v="1.8333868190884122"/>
    <m/>
    <m/>
    <m/>
    <m/>
    <m/>
    <m/>
    <m/>
    <m/>
    <m/>
    <m/>
    <m/>
    <n v="0.15847393417777511"/>
    <m/>
    <m/>
    <m/>
    <m/>
    <m/>
    <m/>
    <m/>
    <m/>
    <m/>
    <m/>
    <m/>
    <n v="1136.0898658231595"/>
    <n v="0.2571687388140782"/>
    <n v="0.1221853879551533"/>
    <n v="261.5046887869529"/>
    <n v="219.39645627895192"/>
    <x v="8"/>
    <n v="9.762677251918257"/>
    <n v="2.6643645582431001"/>
    <n v="0.2"/>
    <n v="0"/>
    <n v="0.3"/>
    <x v="0"/>
    <n v="0.23020441862653002"/>
    <n v="0.18"/>
    <n v="219.39645627895192"/>
    <n v="0.23020441862653002"/>
    <n v="54.745976108539182"/>
    <n v="210.9695935603348"/>
    <n v="109356.37963148901"/>
    <n v="67.395262159462618"/>
    <n v="314411.71630698099"/>
    <x v="3"/>
    <n v="6.2323371832817455E-6"/>
    <n v="2293563.79631489"/>
    <n v="0.13708435615008918"/>
  </r>
  <r>
    <x v="6"/>
    <n v="1000"/>
    <n v="25"/>
    <x v="0"/>
    <n v="16.096977497145279"/>
    <n v="5.6823991701218652"/>
    <n v="19.644239020432202"/>
    <n v="11.644124678471096"/>
    <m/>
    <n v="0.33293244252517135"/>
    <n v="0.18"/>
    <n v="118.52297049278634"/>
    <n v="59.015586967362488"/>
    <n v="1.6635728081194738"/>
    <m/>
    <m/>
    <m/>
    <m/>
    <m/>
    <m/>
    <m/>
    <m/>
    <m/>
    <m/>
    <m/>
    <n v="0.14286800030536131"/>
    <m/>
    <m/>
    <m/>
    <m/>
    <m/>
    <m/>
    <m/>
    <m/>
    <m/>
    <m/>
    <m/>
    <n v="1017.1045893620342"/>
    <n v="0.28926542607283162"/>
    <n v="9.2179309428171208E-2"/>
    <n v="225.37320362886305"/>
    <n v="185.31818530229754"/>
    <x v="8"/>
    <n v="9.762677251918257"/>
    <n v="2.6643645582431001"/>
    <n v="0.2"/>
    <n v="0"/>
    <n v="0.3"/>
    <x v="0"/>
    <n v="0.23184125610070147"/>
    <n v="0.18"/>
    <n v="185.31818530229754"/>
    <n v="0.23184125610070147"/>
    <n v="57.229998866083307"/>
    <n v="213.55253858938261"/>
    <n v="111785.82390952461"/>
    <n v="68.872236701012895"/>
    <n v="300352.88145658461"/>
    <x v="3"/>
    <n v="5.8945477978754608E-6"/>
    <n v="2317858.2390952464"/>
    <n v="0.12958207555170606"/>
  </r>
  <r>
    <x v="7"/>
    <n v="1000"/>
    <n v="25"/>
    <x v="0"/>
    <n v="14.400107253347329"/>
    <n v="7.1673894946537082"/>
    <n v="18.730816877102399"/>
    <n v="11.819787857600877"/>
    <m/>
    <n v="0.35940705155013919"/>
    <n v="0.18"/>
    <n v="120.71709949215722"/>
    <n v="60.10809933219447"/>
    <n v="1.2890044324290351"/>
    <m/>
    <m/>
    <m/>
    <m/>
    <m/>
    <m/>
    <m/>
    <m/>
    <m/>
    <m/>
    <m/>
    <n v="0.10905478575067006"/>
    <m/>
    <m/>
    <m/>
    <m/>
    <m/>
    <m/>
    <m/>
    <m/>
    <m/>
    <m/>
    <m/>
    <n v="767.61456311035306"/>
    <n v="0.38265226453713974"/>
    <n v="5.9737845922709719E-2"/>
    <n v="158.94498653368689"/>
    <n v="123.11234689583495"/>
    <x v="8"/>
    <n v="9.762677251918257"/>
    <n v="2.6643645582431001"/>
    <n v="0.2"/>
    <n v="0"/>
    <n v="0.3"/>
    <x v="0"/>
    <n v="0.23166342380958618"/>
    <n v="0.18"/>
    <n v="123.11234689583495"/>
    <n v="0.23166342380958618"/>
    <n v="65.642418666159159"/>
    <n v="220.13897411479178"/>
    <n v="121010.60787462613"/>
    <n v="78.666976456493998"/>
    <n v="282174.69397830323"/>
    <x v="3"/>
    <n v="5.0997539759017287E-6"/>
    <n v="2410106.0787462611"/>
    <n v="0.11707978186797932"/>
  </r>
  <r>
    <x v="8"/>
    <n v="1000"/>
    <n v="25"/>
    <x v="0"/>
    <n v="10.076315393709784"/>
    <n v="4.4175872638159523"/>
    <n v="12.712597127659064"/>
    <n v="7.73733390634768"/>
    <m/>
    <n v="0.35697286933695904"/>
    <n v="0.18"/>
    <n v="79.283451984845669"/>
    <n v="39.477237502827727"/>
    <n v="1.0856033553275379"/>
    <m/>
    <m/>
    <m/>
    <m/>
    <m/>
    <m/>
    <m/>
    <m/>
    <m/>
    <m/>
    <m/>
    <n v="0.14030716115752909"/>
    <m/>
    <m/>
    <m/>
    <m/>
    <m/>
    <m/>
    <m/>
    <m/>
    <m/>
    <m/>
    <m/>
    <n v="694.4783480949144"/>
    <n v="0.34749683478952659"/>
    <n v="4.5134726937639903E-2"/>
    <n v="176.75027462486571"/>
    <n v="151.67667043114591"/>
    <x v="8"/>
    <n v="9.762677251918257"/>
    <n v="2.6643645582431001"/>
    <n v="0.2"/>
    <n v="0"/>
    <n v="0.3"/>
    <x v="0"/>
    <n v="0.23370694202950193"/>
    <n v="0.18"/>
    <n v="151.67667043114591"/>
    <n v="0.23370694202950193"/>
    <n v="42.157201043289277"/>
    <n v="120.63373926090176"/>
    <n v="62234.738869787514"/>
    <n v="50.361501555620059"/>
    <n v="658725.26938412245"/>
    <x v="3"/>
    <n v="3.7373737146211133E-6"/>
    <n v="1822347.3886978752"/>
    <n v="0.36147074562704673"/>
  </r>
  <r>
    <x v="9"/>
    <n v="1000"/>
    <n v="25"/>
    <x v="0"/>
    <n v="3.5648788360354104"/>
    <n v="0.98441614484072826"/>
    <n v="4.1662864209307111"/>
    <n v="2.3162786229964163"/>
    <m/>
    <n v="0.37775535417262079"/>
    <n v="0.18"/>
    <n v="23.703064966615365"/>
    <n v="11.802355999974457"/>
    <n v="0.56112863842002136"/>
    <m/>
    <m/>
    <m/>
    <m/>
    <m/>
    <m/>
    <m/>
    <m/>
    <m/>
    <m/>
    <m/>
    <n v="0.24225437857477025"/>
    <m/>
    <m/>
    <m/>
    <m/>
    <m/>
    <m/>
    <m/>
    <m/>
    <m/>
    <m/>
    <m/>
    <n v="583.36167533161256"/>
    <n v="0.23628143756396339"/>
    <n v="4.0357790243159115E-2"/>
    <n v="311.66813607591712"/>
    <n v="302.79735612160181"/>
    <x v="8"/>
    <n v="9.762677251918257"/>
    <n v="2.6643645582431001"/>
    <n v="0.2"/>
    <n v="0"/>
    <n v="0.3"/>
    <x v="0"/>
    <n v="0.26415310030364875"/>
    <n v="0.18"/>
    <n v="302.79735612160181"/>
    <n v="0.26415310030364875"/>
    <n v="10.911376112991697"/>
    <n v="31.057836202053014"/>
    <n v="12352.987959698319"/>
    <n v="12.621968787921666"/>
    <n v="854110.54255532508"/>
    <x v="3"/>
    <n v="1.2540021777547635E-6"/>
    <n v="1323529.8795969831"/>
    <n v="0.64532773738013616"/>
  </r>
  <r>
    <x v="0"/>
    <n v="100"/>
    <n v="25"/>
    <x v="0"/>
    <n v="3.1240159610773941"/>
    <n v="0.59358907896000457"/>
    <n v="3.6309160951500097"/>
    <n v="2.9827561769121909"/>
    <m/>
    <n v="0.53404166340810688"/>
    <n v="0.27"/>
    <n v="20.015487004549254"/>
    <n v="8.7204403961729113"/>
    <n v="0.91208741170054219"/>
    <m/>
    <m/>
    <m/>
    <m/>
    <m/>
    <m/>
    <m/>
    <m/>
    <m/>
    <m/>
    <m/>
    <n v="0.30578678162180639"/>
    <m/>
    <m/>
    <m/>
    <m/>
    <m/>
    <m/>
    <m/>
    <m/>
    <m/>
    <m/>
    <m/>
    <n v="831.92113948188864"/>
    <n v="0.16348190467769008"/>
    <n v="0.19108429504926153"/>
    <n v="383.65111083424193"/>
    <n v="375.87743363161769"/>
    <x v="9"/>
    <n v="14.644015877877388"/>
    <n v="3.9965468373646496"/>
    <n v="0.3"/>
    <n v="0"/>
    <n v="0.4"/>
    <x v="0"/>
    <n v="0.40618260727780908"/>
    <n v="0.27"/>
    <n v="375.87743363161769"/>
    <n v="0.40618260727780908"/>
    <n v="7.6582667354839957"/>
    <n v="70.156975017622869"/>
    <n v="24888.219889837652"/>
    <n v="13.885262819422493"/>
    <n v="17208.744339647077"/>
    <x v="0"/>
    <n v="1.9253696628374878E-6"/>
    <n v="1448882.1988983764"/>
    <n v="1.1877255689062467E-2"/>
  </r>
  <r>
    <x v="0"/>
    <n v="200"/>
    <n v="25"/>
    <x v="0"/>
    <n v="5.8608167778059608"/>
    <n v="1.0120085402478325"/>
    <n v="6.6749314794654895"/>
    <n v="5.5124768950139318"/>
    <m/>
    <n v="0.54549452455403435"/>
    <n v="0.27"/>
    <n v="37.070207736195307"/>
    <n v="16.150920382989657"/>
    <n v="1.4068101697454001"/>
    <m/>
    <m/>
    <m/>
    <m/>
    <m/>
    <m/>
    <m/>
    <m/>
    <m/>
    <m/>
    <m/>
    <n v="0.25520472857090215"/>
    <m/>
    <m/>
    <m/>
    <m/>
    <m/>
    <m/>
    <m/>
    <m/>
    <m/>
    <m/>
    <m/>
    <n v="1061.5931374133088"/>
    <n v="0.15161332267771405"/>
    <n v="0.21524847520625517"/>
    <n v="372.77185461039846"/>
    <n v="358.18805254060902"/>
    <x v="9"/>
    <n v="14.644015877877388"/>
    <n v="3.9965468373646496"/>
    <n v="0.3"/>
    <n v="0"/>
    <n v="0.4"/>
    <x v="0"/>
    <n v="0.43455858241765383"/>
    <n v="0.27"/>
    <n v="358.18805254060902"/>
    <n v="0.43455858241765383"/>
    <n v="13.402761868333947"/>
    <n v="102.16994774597572"/>
    <n v="39547.391389435368"/>
    <n v="21.074224868269514"/>
    <n v="48315.322823337177"/>
    <x v="0"/>
    <n v="3.351714232423674E-6"/>
    <n v="1595473.9138943537"/>
    <n v="3.0282740697029308E-2"/>
  </r>
  <r>
    <x v="0"/>
    <n v="300"/>
    <n v="25"/>
    <x v="0"/>
    <n v="8.2412898980008968"/>
    <n v="1.3649829034244285"/>
    <n v="9.3033152705967801"/>
    <n v="7.7400482074419061"/>
    <m/>
    <n v="0.55631081222193635"/>
    <n v="0.27"/>
    <n v="52.134161241772247"/>
    <n v="22.714053653054297"/>
    <n v="1.762792970305247"/>
    <m/>
    <m/>
    <m/>
    <m/>
    <m/>
    <m/>
    <m/>
    <m/>
    <m/>
    <m/>
    <m/>
    <n v="0.22774961125052887"/>
    <m/>
    <m/>
    <m/>
    <m/>
    <m/>
    <m/>
    <m/>
    <m/>
    <m/>
    <m/>
    <m/>
    <n v="1224.8494143729424"/>
    <n v="0.14672005233859703"/>
    <n v="0.22867190475322488"/>
    <n v="363.96019919064992"/>
    <n v="343.45292922032019"/>
    <x v="9"/>
    <n v="14.644015877877388"/>
    <n v="3.9965468373646496"/>
    <n v="0.3"/>
    <n v="0"/>
    <n v="0.4"/>
    <x v="0"/>
    <n v="0.45406971643264626"/>
    <n v="0.27"/>
    <n v="343.45292922032019"/>
    <n v="0.45406971643264626"/>
    <n v="18.227350983304625"/>
    <n v="125.20298001197744"/>
    <n v="51152.581287019173"/>
    <n v="26.61058834148967"/>
    <n v="84079.649154527258"/>
    <x v="0"/>
    <n v="4.3678479498201355E-6"/>
    <n v="1711525.8128701919"/>
    <n v="4.9125551319338559E-2"/>
  </r>
  <r>
    <x v="0"/>
    <n v="400"/>
    <n v="25"/>
    <x v="0"/>
    <n v="10.334448030490984"/>
    <n v="1.6754421121007916"/>
    <n v="11.608938925521699"/>
    <n v="9.7316027497433648"/>
    <m/>
    <n v="0.56660361201164211"/>
    <n v="0.27"/>
    <n v="65.635144670400379"/>
    <n v="28.596224856398507"/>
    <n v="2.0381745963724942"/>
    <m/>
    <m/>
    <m/>
    <m/>
    <m/>
    <m/>
    <m/>
    <m/>
    <m/>
    <m/>
    <m/>
    <n v="0.20943873776868291"/>
    <m/>
    <m/>
    <m/>
    <m/>
    <m/>
    <m/>
    <m/>
    <m/>
    <m/>
    <m/>
    <m/>
    <n v="1349.8787301151704"/>
    <n v="0.14432344961496973"/>
    <n v="0.23761305633803859"/>
    <n v="356.50723832368556"/>
    <n v="330.79143192892406"/>
    <x v="9"/>
    <n v="14.644015877877388"/>
    <n v="3.9965468373646496"/>
    <n v="0.3"/>
    <n v="0"/>
    <n v="0.4"/>
    <x v="0"/>
    <n v="0.4696206977339743"/>
    <n v="0.27"/>
    <n v="330.79143192892406"/>
    <n v="0.4696206977339743"/>
    <n v="22.406808796072738"/>
    <n v="143.54455410705148"/>
    <n v="60910.472932230252"/>
    <n v="31.163381485075611"/>
    <n v="121642.99361193347"/>
    <x v="0"/>
    <n v="5.1231611660374451E-6"/>
    <n v="1809104.7293223026"/>
    <n v="6.7239332052103695E-2"/>
  </r>
  <r>
    <x v="0"/>
    <n v="600"/>
    <n v="25"/>
    <x v="0"/>
    <n v="13.830561047802885"/>
    <n v="2.201872392036635"/>
    <n v="15.455979195919362"/>
    <n v="13.145290080689259"/>
    <m/>
    <n v="0.58673059894393265"/>
    <n v="0.27"/>
    <n v="88.848163859164956"/>
    <n v="38.709780934490958"/>
    <n v="2.432860008692959"/>
    <m/>
    <m/>
    <m/>
    <m/>
    <m/>
    <m/>
    <m/>
    <m/>
    <m/>
    <m/>
    <m/>
    <n v="0.18507465364091796"/>
    <m/>
    <m/>
    <m/>
    <m/>
    <m/>
    <m/>
    <m/>
    <m/>
    <m/>
    <m/>
    <m/>
    <n v="1526.5303807644755"/>
    <n v="0.14246087964572093"/>
    <n v="0.24927133049091724"/>
    <n v="344.51603792315444"/>
    <n v="310.1003764179967"/>
    <x v="9"/>
    <n v="14.644015877877388"/>
    <n v="3.9965468373646496"/>
    <n v="0.3"/>
    <n v="0"/>
    <n v="0.4"/>
    <x v="0"/>
    <n v="0.4955536112415786"/>
    <n v="0.27"/>
    <n v="310.1003764179967"/>
    <n v="0.4955536112415786"/>
    <n v="29.305771491347201"/>
    <n v="171.56935459621658"/>
    <n v="76499.50182263703"/>
    <n v="38.223426243047378"/>
    <n v="196690.58165224915"/>
    <x v="0"/>
    <n v="6.1555829351270816E-6"/>
    <n v="1964995.0182263702"/>
    <n v="0.10009724189010138"/>
  </r>
  <r>
    <x v="0"/>
    <n v="800"/>
    <n v="25"/>
    <x v="0"/>
    <n v="16.588830736046454"/>
    <n v="2.6271123166563699"/>
    <n v="18.490197542021583"/>
    <n v="15.937222475508522"/>
    <m/>
    <n v="0.60741268446193131"/>
    <n v="0.27"/>
    <n v="107.90407506509833"/>
    <n v="47.012148887283502"/>
    <n v="2.6842968916175582"/>
    <m/>
    <m/>
    <m/>
    <m/>
    <m/>
    <m/>
    <m/>
    <m/>
    <m/>
    <m/>
    <m/>
    <n v="0.16842940454289593"/>
    <m/>
    <m/>
    <m/>
    <m/>
    <m/>
    <m/>
    <m/>
    <m/>
    <m/>
    <m/>
    <m/>
    <n v="1636.2793875762784"/>
    <n v="0.1420813547657285"/>
    <n v="0.25683294368436765"/>
    <n v="335.41003541806873"/>
    <n v="294.13094176749934"/>
    <x v="9"/>
    <n v="14.644015877877388"/>
    <n v="3.9965468373646496"/>
    <n v="0.3"/>
    <n v="0"/>
    <n v="0.4"/>
    <x v="0"/>
    <n v="0.51906299084620644"/>
    <n v="0.27"/>
    <n v="294.13094176749934"/>
    <n v="0.51906299084620644"/>
    <n v="34.670252890641748"/>
    <n v="191.87980605284042"/>
    <n v="88117.873348650362"/>
    <n v="43.244453005936784"/>
    <n v="266609.63740914059"/>
    <x v="0"/>
    <n v="6.8127329657803054E-6"/>
    <n v="2081178.7334865036"/>
    <n v="0.12810511327996402"/>
  </r>
  <r>
    <x v="0"/>
    <n v="1000"/>
    <n v="25"/>
    <x v="0"/>
    <n v="18.762954135505865"/>
    <n v="2.9673240571080672"/>
    <n v="20.880560946363126"/>
    <n v="18.21780028397858"/>
    <m/>
    <n v="0.62780707278149472"/>
    <n v="0.27"/>
    <n v="123.52375212573898"/>
    <n v="53.817402378433997"/>
    <n v="2.8461234040827641"/>
    <m/>
    <m/>
    <m/>
    <m/>
    <m/>
    <m/>
    <m/>
    <m/>
    <m/>
    <m/>
    <m/>
    <n v="0.15622761034359084"/>
    <m/>
    <m/>
    <m/>
    <m/>
    <m/>
    <m/>
    <m/>
    <m/>
    <m/>
    <m/>
    <m/>
    <n v="1704.8374668316978"/>
    <n v="0.14210940332160479"/>
    <n v="0.26228940459198669"/>
    <n v="328.46468897707393"/>
    <n v="281.77576479031433"/>
    <x v="9"/>
    <n v="14.644015877877388"/>
    <n v="3.9965468373646496"/>
    <n v="0.3"/>
    <n v="0"/>
    <n v="0.4"/>
    <x v="0"/>
    <n v="0.54111602543337467"/>
    <n v="0.27"/>
    <n v="281.77576479031433"/>
    <n v="0.54111602543337467"/>
    <n v="38.815403037939994"/>
    <n v="206.82183439857823"/>
    <n v="96710.895836417301"/>
    <n v="46.756078522713288"/>
    <n v="328223.88121493673"/>
    <x v="0"/>
    <n v="7.2578359631085628E-6"/>
    <n v="2167108.9583641728"/>
    <n v="0.15145702755190227"/>
  </r>
  <r>
    <x v="0"/>
    <n v="1300"/>
    <n v="25"/>
    <x v="0"/>
    <n v="21.382741337125179"/>
    <n v="3.4526400725508335"/>
    <n v="23.796581677746282"/>
    <n v="20.821995306790523"/>
    <m/>
    <n v="0.63462734054056447"/>
    <n v="0.27"/>
    <n v="141.44807036035704"/>
    <n v="61.626752646628582"/>
    <n v="3.0339366396536462"/>
    <m/>
    <m/>
    <m/>
    <m/>
    <m/>
    <m/>
    <m/>
    <m/>
    <m/>
    <m/>
    <m/>
    <n v="0.1457082568193746"/>
    <m/>
    <m/>
    <m/>
    <m/>
    <m/>
    <m/>
    <m/>
    <m/>
    <m/>
    <m/>
    <m/>
    <n v="1782.1721236086446"/>
    <n v="0.14508974941470773"/>
    <n v="0.26208093333371224"/>
    <n v="318.41168655371752"/>
    <n v="265.20380378181937"/>
    <x v="9"/>
    <n v="14.644015877877388"/>
    <n v="3.9965468373646496"/>
    <n v="0.3"/>
    <n v="0"/>
    <n v="0.4"/>
    <x v="0"/>
    <n v="0.54936040659541008"/>
    <n v="0.27"/>
    <n v="265.20380378181937"/>
    <n v="0.54936040659541008"/>
    <n v="44.344648668794264"/>
    <n v="221.55407503170224"/>
    <n v="107491.27017943289"/>
    <n v="53.454046706572242"/>
    <n v="413092.27146154689"/>
    <x v="0"/>
    <n v="7.6831568968824786E-6"/>
    <n v="2274912.7017943291"/>
    <n v="0.18158598839231144"/>
  </r>
  <r>
    <x v="0"/>
    <n v="1600"/>
    <n v="25"/>
    <x v="0"/>
    <n v="23.228229237474096"/>
    <n v="3.7790401025424929"/>
    <n v="25.838788461621469"/>
    <n v="22.690045362934345"/>
    <m/>
    <n v="0.63216189692589464"/>
    <n v="0.27"/>
    <n v="154.37381366952593"/>
    <n v="67.258300561411701"/>
    <n v="3.2458064528559447"/>
    <m/>
    <m/>
    <m/>
    <m/>
    <m/>
    <m/>
    <m/>
    <m/>
    <m/>
    <m/>
    <m/>
    <n v="0.14304980007480192"/>
    <m/>
    <m/>
    <m/>
    <m/>
    <m/>
    <m/>
    <m/>
    <m/>
    <m/>
    <m/>
    <m/>
    <n v="1877.0433471488955"/>
    <n v="0.14625453930069235"/>
    <n v="0.26377802431422437"/>
    <n v="311.94024104978672"/>
    <n v="254.14012072092106"/>
    <x v="9"/>
    <n v="14.644015877877388"/>
    <n v="3.9965468373646496"/>
    <n v="0.3"/>
    <n v="0"/>
    <n v="0.4"/>
    <x v="0"/>
    <n v="0.54917799037731896"/>
    <n v="0.27"/>
    <n v="254.14012072092106"/>
    <n v="0.54917799037731896"/>
    <n v="48.194192764682597"/>
    <n v="230.45655790388599"/>
    <n v="114476.70515062638"/>
    <n v="57.959111246564483"/>
    <n v="478090.09606575733"/>
    <x v="0"/>
    <n v="7.9495872172503531E-6"/>
    <n v="2344767.0515062641"/>
    <n v="0.20389662834891642"/>
  </r>
  <r>
    <x v="0"/>
    <n v="1900"/>
    <n v="25"/>
    <x v="0"/>
    <n v="24.526798991872869"/>
    <n v="4.0517774786378133"/>
    <n v="27.294640679395521"/>
    <n v="23.982634422861981"/>
    <m/>
    <n v="0.63422097419000434"/>
    <n v="0.27"/>
    <n v="163.37633487857556"/>
    <n v="71.180560839213427"/>
    <n v="3.3208142894415467"/>
    <m/>
    <m/>
    <m/>
    <m/>
    <m/>
    <m/>
    <m/>
    <m/>
    <m/>
    <m/>
    <m/>
    <n v="0.13846745236110952"/>
    <m/>
    <m/>
    <m/>
    <m/>
    <m/>
    <m/>
    <m/>
    <m/>
    <m/>
    <m/>
    <m/>
    <n v="1906.2226288710619"/>
    <n v="0.14844589918695886"/>
    <n v="0.26329558343568127"/>
    <n v="306.84690311995166"/>
    <n v="245.81548415028959"/>
    <x v="9"/>
    <n v="14.644015877877388"/>
    <n v="3.9965468373646496"/>
    <n v="0.3"/>
    <n v="0"/>
    <n v="0.4"/>
    <x v="0"/>
    <n v="0.55164084388784806"/>
    <n v="0.27"/>
    <n v="245.81548415028959"/>
    <n v="0.55164084388784806"/>
    <n v="51.105176438944156"/>
    <n v="235.17891775023489"/>
    <n v="118937.72153004911"/>
    <n v="61.602261531262421"/>
    <n v="525967.39466389036"/>
    <x v="0"/>
    <n v="8.128808696590549E-6"/>
    <n v="2389377.2153004911"/>
    <n v="0.22012740026808367"/>
  </r>
  <r>
    <x v="0"/>
    <n v="1000"/>
    <n v="25"/>
    <x v="1"/>
    <n v="17.280884356269109"/>
    <n v="5.65343652762086"/>
    <n v="20.799931116597293"/>
    <n v="18.798374006144883"/>
    <m/>
    <n v="0.99884133149110588"/>
    <n v="0.27"/>
    <n v="129.34824920377122"/>
    <n v="56.355046333593265"/>
    <n v="1.1045622790854281"/>
    <m/>
    <m/>
    <m/>
    <m/>
    <m/>
    <m/>
    <m/>
    <m/>
    <m/>
    <m/>
    <m/>
    <n v="5.8758394674154515E-2"/>
    <m/>
    <m/>
    <m/>
    <m/>
    <m/>
    <m/>
    <m/>
    <m/>
    <m/>
    <m/>
    <m/>
    <n v="627.46119929234396"/>
    <n v="0.27180073318174136"/>
    <n v="0.2112088484923576"/>
    <n v="118.18105879738083"/>
    <n v="75.180059749629848"/>
    <x v="9"/>
    <n v="14.644015877877388"/>
    <n v="3.9965468373646496"/>
    <n v="0.3"/>
    <n v="0"/>
    <n v="0.4"/>
    <x v="0"/>
    <n v="0.99786480552934176"/>
    <n v="0.27"/>
    <n v="75.180059749629848"/>
    <n v="0.99786480552934176"/>
    <n v="49.356093811241735"/>
    <n v="223.12406023501012"/>
    <n v="108404.49490048135"/>
    <n v="53.807338372090427"/>
    <n v="320607.33822892461"/>
    <x v="1"/>
    <n v="6.3771802564184665E-6"/>
    <n v="2284044.9490048136"/>
    <n v="0.14036822627707793"/>
  </r>
  <r>
    <x v="0"/>
    <n v="1000"/>
    <n v="25"/>
    <x v="2"/>
    <n v="18.11405945059435"/>
    <n v="3.7124259699522262"/>
    <n v="20.623787172870642"/>
    <n v="18.390530743764323"/>
    <m/>
    <n v="0.67189375999525391"/>
    <n v="0.27"/>
    <n v="125.00944621317116"/>
    <n v="54.464696482916899"/>
    <n v="2.2703765509843628"/>
    <m/>
    <m/>
    <m/>
    <m/>
    <m/>
    <m/>
    <m/>
    <m/>
    <m/>
    <m/>
    <m/>
    <n v="0.12345356328305965"/>
    <m/>
    <m/>
    <m/>
    <m/>
    <m/>
    <m/>
    <m/>
    <m/>
    <m/>
    <m/>
    <m/>
    <n v="1318.3584176950708"/>
    <n v="0.18000699574885548"/>
    <n v="0.25244108356275435"/>
    <n v="228.24440778439546"/>
    <n v="183.1701422028888"/>
    <x v="9"/>
    <n v="14.644015877877388"/>
    <n v="3.9965468373646496"/>
    <n v="0.3"/>
    <n v="0"/>
    <n v="0.4"/>
    <x v="0"/>
    <n v="0.56798894059772043"/>
    <n v="0.27"/>
    <n v="183.1701422028888"/>
    <n v="0.56798894059772043"/>
    <n v="42.535400180920099"/>
    <n v="210.86353451590608"/>
    <n v="100965.03461977719"/>
    <n v="50.542360404164754"/>
    <n v="323856.34649011464"/>
    <x v="1"/>
    <n v="6.890143689275776E-6"/>
    <n v="2209650.3461977718"/>
    <n v="0.14656452186989058"/>
  </r>
  <r>
    <x v="0"/>
    <n v="1000"/>
    <n v="25"/>
    <x v="0"/>
    <n v="18.763169987954683"/>
    <n v="2.9675797089143483"/>
    <n v="20.880925583854619"/>
    <n v="18.218587472251002"/>
    <m/>
    <n v="0.62800021695697172"/>
    <n v="0.27"/>
    <n v="123.52902416712243"/>
    <n v="53.819699325924717"/>
    <n v="2.8447127485787647"/>
    <m/>
    <m/>
    <m/>
    <m/>
    <m/>
    <m/>
    <m/>
    <m/>
    <m/>
    <m/>
    <m/>
    <n v="0.15614343059864483"/>
    <m/>
    <m/>
    <m/>
    <m/>
    <m/>
    <m/>
    <m/>
    <m/>
    <m/>
    <m/>
    <m/>
    <n v="1704.1296565666671"/>
    <n v="0.14211916502441427"/>
    <n v="0.26228526312038181"/>
    <n v="328.46273646970815"/>
    <n v="281.77328227728498"/>
    <x v="9"/>
    <n v="14.644015877877388"/>
    <n v="3.9965468373646496"/>
    <n v="0.3"/>
    <n v="0"/>
    <n v="0.4"/>
    <x v="0"/>
    <n v="0.54128521871195645"/>
    <n v="0.27"/>
    <n v="281.77328227728498"/>
    <n v="0.54128521871195645"/>
    <n v="38.815578294326826"/>
    <n v="206.83604233790433"/>
    <n v="96713.001126750969"/>
    <n v="46.750254239199606"/>
    <n v="328233.20135283313"/>
    <x v="1"/>
    <n v="7.2578299463058748E-6"/>
    <n v="2167130.0112675098"/>
    <n v="0.15145985688272404"/>
  </r>
  <r>
    <x v="0"/>
    <n v="1000"/>
    <n v="25"/>
    <x v="3"/>
    <n v="19.424033075794661"/>
    <n v="2.5658715585705352"/>
    <n v="21.333715985603241"/>
    <n v="18.048058432159575"/>
    <m/>
    <n v="0.58460545453861967"/>
    <n v="0.27"/>
    <n v="122.24048457585731"/>
    <n v="53.258302408568539"/>
    <n v="3.3607935561854738"/>
    <m/>
    <m/>
    <m/>
    <m/>
    <m/>
    <m/>
    <m/>
    <m/>
    <m/>
    <m/>
    <m/>
    <n v="0.18621357908487954"/>
    <m/>
    <m/>
    <m/>
    <m/>
    <m/>
    <m/>
    <m/>
    <m/>
    <m/>
    <m/>
    <m/>
    <n v="2057.4158894087732"/>
    <n v="0.12027307199093104"/>
    <n v="0.26021328603890265"/>
    <n v="425.35341537906442"/>
    <n v="377.01911131603651"/>
    <x v="9"/>
    <n v="14.644015877877388"/>
    <n v="3.9965468373646496"/>
    <n v="0.3"/>
    <n v="0"/>
    <n v="0.4"/>
    <x v="0"/>
    <n v="0.5102672265776268"/>
    <n v="0.27"/>
    <n v="377.01911131603651"/>
    <n v="0.5102672265776268"/>
    <n v="37.154487701292069"/>
    <n v="203.39124396281389"/>
    <n v="95632.202305203667"/>
    <n v="47.307608246511776"/>
    <n v="339541.21940982563"/>
    <x v="1"/>
    <n v="7.5190048633167953E-6"/>
    <n v="2156322.0230520368"/>
    <n v="0.15746313202758203"/>
  </r>
  <r>
    <x v="0"/>
    <n v="1000"/>
    <n v="25"/>
    <x v="4"/>
    <n v="19.894569964816668"/>
    <n v="2.2572657795755378"/>
    <n v="21.64338034741305"/>
    <n v="17.935987956437614"/>
    <m/>
    <n v="0.56427350480662775"/>
    <n v="0.27"/>
    <n v="121.40374036938137"/>
    <n v="52.893745804087317"/>
    <n v="3.7344645978212103"/>
    <m/>
    <m/>
    <m/>
    <m/>
    <m/>
    <m/>
    <m/>
    <m/>
    <m/>
    <m/>
    <m/>
    <n v="0.20821069945471446"/>
    <m/>
    <m/>
    <m/>
    <m/>
    <m/>
    <m/>
    <m/>
    <m/>
    <m/>
    <m/>
    <m/>
    <n v="2340.8300266952483"/>
    <n v="0.10429358738526905"/>
    <n v="0.25871549136204397"/>
    <n v="523.10251751807004"/>
    <n v="473.59772778464333"/>
    <x v="9"/>
    <n v="14.644015877877388"/>
    <n v="3.9965468373646496"/>
    <n v="0.3"/>
    <n v="0"/>
    <n v="0.4"/>
    <x v="0"/>
    <n v="0.49824552771545189"/>
    <n v="0.27"/>
    <n v="473.59772778464333"/>
    <n v="0.49824552771545189"/>
    <n v="35.687898111116489"/>
    <n v="201.18360946639731"/>
    <n v="94422.658985356262"/>
    <n v="46.887387657047981"/>
    <n v="346426.62686414231"/>
    <x v="1"/>
    <n v="7.7227826953839503E-6"/>
    <n v="2144226.5898535624"/>
    <n v="0.1615625086002693"/>
  </r>
  <r>
    <x v="0"/>
    <n v="1000"/>
    <n v="25"/>
    <x v="5"/>
    <n v="20.243732287333444"/>
    <n v="2.0153712153568524"/>
    <n v="21.865971416104465"/>
    <n v="17.851125509855347"/>
    <m/>
    <n v="0.55157741144029115"/>
    <n v="0.27"/>
    <n v="120.77890801153117"/>
    <n v="52.621515938633912"/>
    <n v="4.0358535970995604"/>
    <m/>
    <m/>
    <m/>
    <m/>
    <m/>
    <m/>
    <m/>
    <m/>
    <m/>
    <m/>
    <m/>
    <n v="0.22608398528548937"/>
    <m/>
    <m/>
    <m/>
    <m/>
    <m/>
    <m/>
    <m/>
    <m/>
    <m/>
    <m/>
    <m/>
    <n v="2588.9740159853313"/>
    <n v="9.2169297078313894E-2"/>
    <n v="0.25762249718506469"/>
    <n v="621.42094534239675"/>
    <n v="571.04721743555149"/>
    <x v="9"/>
    <n v="14.644015877877388"/>
    <n v="3.9965468373646496"/>
    <n v="0.3"/>
    <n v="0"/>
    <n v="0.4"/>
    <x v="0"/>
    <n v="0.49166184391845963"/>
    <n v="0.27"/>
    <n v="571.04721743555149"/>
    <n v="0.49166184391845963"/>
    <n v="34.472260989122113"/>
    <n v="199.54979100947938"/>
    <n v="93326.435682954325"/>
    <n v="46.271617427558219"/>
    <n v="350929.83476415445"/>
    <x v="1"/>
    <n v="7.883089920691011E-6"/>
    <n v="2133264.3568295431"/>
    <n v="0.16450367889974324"/>
  </r>
  <r>
    <x v="0"/>
    <n v="1000"/>
    <n v="25"/>
    <x v="6"/>
    <n v="20.516193065312013"/>
    <n v="1.8223937404161039"/>
    <n v="22.037347915031205"/>
    <n v="17.786201780701028"/>
    <m/>
    <n v="0.54251487322363301"/>
    <n v="0.27"/>
    <n v="120.30433010256456"/>
    <n v="52.414749629748052"/>
    <n v="4.287734396743959"/>
    <m/>
    <m/>
    <m/>
    <m/>
    <m/>
    <m/>
    <m/>
    <m/>
    <m/>
    <m/>
    <m/>
    <n v="0.2410708283651869"/>
    <m/>
    <m/>
    <m/>
    <m/>
    <m/>
    <m/>
    <m/>
    <m/>
    <m/>
    <m/>
    <m/>
    <n v="2812.9082634341789"/>
    <n v="8.2695692214991443E-2"/>
    <n v="0.25674988391946407"/>
    <n v="720.09268805843965"/>
    <n v="669.04106506220091"/>
    <x v="9"/>
    <n v="14.644015877877388"/>
    <n v="3.9965468373646496"/>
    <n v="0.3"/>
    <n v="0"/>
    <n v="0.4"/>
    <x v="0"/>
    <n v="0.48733496521983394"/>
    <n v="0.27"/>
    <n v="669.04106506220091"/>
    <n v="0.48733496521983394"/>
    <n v="33.475991395155233"/>
    <n v="198.31713174602635"/>
    <n v="92407.136610020782"/>
    <n v="45.666060058429395"/>
    <n v="354196.68297497137"/>
    <x v="1"/>
    <n v="8.0117433937455161E-6"/>
    <n v="2124071.3661002079"/>
    <n v="0.1667536640377936"/>
  </r>
  <r>
    <x v="0"/>
    <n v="1000"/>
    <n v="25"/>
    <x v="7"/>
    <n v="20.734168690898887"/>
    <n v="1.6648083835023821"/>
    <n v="22.1726972907597"/>
    <n v="17.734049654386119"/>
    <m/>
    <n v="0.53527373914741982"/>
    <n v="0.27"/>
    <n v="119.92558529325042"/>
    <n v="52.249736331084208"/>
    <n v="4.5063553774645584"/>
    <m/>
    <m/>
    <m/>
    <m/>
    <m/>
    <m/>
    <m/>
    <m/>
    <m/>
    <m/>
    <m/>
    <n v="0.25410752001306214"/>
    <m/>
    <m/>
    <m/>
    <m/>
    <m/>
    <m/>
    <m/>
    <m/>
    <m/>
    <m/>
    <m/>
    <n v="3020.6072790616995"/>
    <n v="7.5083710460259523E-2"/>
    <n v="0.25605238692875604"/>
    <n v="819.02372424800728"/>
    <n v="767.42959032941826"/>
    <x v="9"/>
    <n v="14.644015877877388"/>
    <n v="3.9965468373646496"/>
    <n v="0.3"/>
    <n v="0"/>
    <n v="0.4"/>
    <x v="0"/>
    <n v="0.48393811036814538"/>
    <n v="0.27"/>
    <n v="767.42959032941826"/>
    <n v="0.48393811036814538"/>
    <n v="32.648357427691124"/>
    <n v="197.33844881415308"/>
    <n v="91629.258597530061"/>
    <n v="45.111314429695611"/>
    <n v="356639.56129587186"/>
    <x v="1"/>
    <n v="8.117145667875901E-6"/>
    <n v="2116292.5859753005"/>
    <n v="0.16852091419651849"/>
  </r>
  <r>
    <x v="0"/>
    <n v="1000"/>
    <n v="25"/>
    <x v="8"/>
    <n v="20.914306437221136"/>
    <n v="1.5339188957245611"/>
    <n v="22.284215192972802"/>
    <n v="17.691966310707244"/>
    <m/>
    <n v="0.52915663408324476"/>
    <n v="0.27"/>
    <n v="119.62105536379489"/>
    <n v="52.117057316176201"/>
    <n v="4.6991648098908225"/>
    <m/>
    <m/>
    <m/>
    <m/>
    <m/>
    <m/>
    <m/>
    <m/>
    <m/>
    <m/>
    <m/>
    <n v="0.26561009259026624"/>
    <m/>
    <m/>
    <m/>
    <m/>
    <m/>
    <m/>
    <m/>
    <m/>
    <m/>
    <m/>
    <m/>
    <n v="3215.6696838864423"/>
    <n v="6.8834324316176657E-2"/>
    <n v="0.25545607133657477"/>
    <n v="918.12953856295076"/>
    <n v="866.0872789410322"/>
    <x v="9"/>
    <n v="14.644015877877388"/>
    <n v="3.9965468373646496"/>
    <n v="0.3"/>
    <n v="0"/>
    <n v="0.4"/>
    <x v="0"/>
    <n v="0.48102758686010327"/>
    <n v="0.27"/>
    <n v="866.0872789410322"/>
    <n v="0.48102758686010327"/>
    <n v="31.954592679431638"/>
    <n v="196.55476580033744"/>
    <n v="90979.227245178248"/>
    <n v="44.624957355417493"/>
    <n v="358597.1439995009"/>
    <x v="1"/>
    <n v="8.2050599816547073E-6"/>
    <n v="2109792.2724517826"/>
    <n v="0.16996798627135759"/>
  </r>
  <r>
    <x v="0"/>
    <n v="1000"/>
    <n v="25"/>
    <x v="9"/>
    <n v="21.064730304621083"/>
    <n v="1.4231982775214769"/>
    <n v="22.376563755953605"/>
    <n v="17.656572538582719"/>
    <m/>
    <n v="0.52370459187394225"/>
    <n v="0.27"/>
    <n v="119.36602002566303"/>
    <n v="52.00594233483244"/>
    <n v="4.8731230853316134"/>
    <m/>
    <m/>
    <m/>
    <m/>
    <m/>
    <m/>
    <m/>
    <m/>
    <m/>
    <m/>
    <m/>
    <n v="0.27599484977523142"/>
    <m/>
    <m/>
    <m/>
    <m/>
    <m/>
    <m/>
    <m/>
    <m/>
    <m/>
    <m/>
    <m/>
    <n v="3401.5255087486753"/>
    <n v="6.3602181865069191E-2"/>
    <n v="0.25496083443772216"/>
    <n v="1017.3805249301282"/>
    <n v="964.96396608286875"/>
    <x v="9"/>
    <n v="14.644015877877388"/>
    <n v="3.9965468373646496"/>
    <n v="0.3"/>
    <n v="0"/>
    <n v="0.4"/>
    <x v="0"/>
    <n v="0.47832176802163912"/>
    <n v="0.27"/>
    <n v="964.96396608286875"/>
    <n v="0.47832176802163912"/>
    <n v="31.362829648017701"/>
    <n v="195.90064948262111"/>
    <n v="90420.082189475332"/>
    <n v="44.193075546092295"/>
    <n v="360156.64987268002"/>
    <x v="1"/>
    <n v="8.2795560062802554E-6"/>
    <n v="2104200.8218947533"/>
    <n v="0.17116077806127486"/>
  </r>
  <r>
    <x v="0"/>
    <n v="1000"/>
    <n v="25"/>
    <x v="0"/>
    <n v="18.763242268830322"/>
    <n v="2.967670814145472"/>
    <n v="20.881050802152728"/>
    <n v="18.218867585499865"/>
    <m/>
    <n v="0.62806910607650024"/>
    <n v="0.27"/>
    <n v="123.53090065423929"/>
    <n v="53.82051688255239"/>
    <n v="2.8442105655225056"/>
    <m/>
    <m/>
    <m/>
    <m/>
    <m/>
    <m/>
    <m/>
    <m/>
    <m/>
    <m/>
    <m/>
    <n v="0.15611346600851153"/>
    <m/>
    <m/>
    <m/>
    <m/>
    <m/>
    <m/>
    <m/>
    <m/>
    <m/>
    <m/>
    <m/>
    <n v="1703.8774514093477"/>
    <n v="0.14212267583006505"/>
    <n v="0.26228387124307551"/>
    <n v="328.4620812560708"/>
    <n v="281.77216864809418"/>
    <x v="9"/>
    <n v="14.644015877877388"/>
    <n v="3.9965468373646496"/>
    <n v="0.3"/>
    <n v="0"/>
    <n v="0.4"/>
    <x v="0"/>
    <n v="0.54134558044013958"/>
    <n v="0.27"/>
    <n v="281.77216864809418"/>
    <n v="0.54134558044013958"/>
    <n v="38.815635974502491"/>
    <n v="206.84109962286732"/>
    <n v="96713.730303864679"/>
    <n v="46.748150877000811"/>
    <n v="328236.37756046734"/>
    <x v="2"/>
    <n v="7.2578270330106823E-6"/>
    <n v="2167137.3030386469"/>
    <n v="0.15146081288907326"/>
  </r>
  <r>
    <x v="0"/>
    <n v="1000"/>
    <n v="25"/>
    <x v="0"/>
    <n v="18.15141465423822"/>
    <n v="2.8598432193521037"/>
    <n v="20.184201939396388"/>
    <n v="17.619660483835812"/>
    <m/>
    <n v="0.63096046134417427"/>
    <n v="0.27"/>
    <n v="119.51125339944528"/>
    <n v="52.069218286065365"/>
    <n v="2.7643206883809928"/>
    <m/>
    <m/>
    <m/>
    <m/>
    <m/>
    <m/>
    <m/>
    <m/>
    <m/>
    <m/>
    <m/>
    <n v="0.1568884196671648"/>
    <m/>
    <m/>
    <m/>
    <m/>
    <m/>
    <m/>
    <m/>
    <m/>
    <m/>
    <m/>
    <m/>
    <n v="1667.9820773865681"/>
    <n v="0.14168720804215398"/>
    <n v="0.26302211594503494"/>
    <n v="330.98901744813196"/>
    <n v="285.82173319607244"/>
    <x v="9"/>
    <n v="14.644015877877388"/>
    <n v="3.9965468373646496"/>
    <n v="0.3"/>
    <n v="0"/>
    <n v="0.4"/>
    <x v="1"/>
    <n v="0.5437613543757851"/>
    <n v="0.27"/>
    <n v="285.82173319607244"/>
    <n v="0.5437613543757851"/>
    <n v="37.494223305984974"/>
    <n v="196.27290040314884"/>
    <n v="91025.817100436383"/>
    <n v="44.873369789698117"/>
    <n v="375062.45931340684"/>
    <x v="2"/>
    <n v="7.0330247000203691E-6"/>
    <n v="2110258.1710043638"/>
    <n v="0.17773297337116731"/>
  </r>
  <r>
    <x v="0"/>
    <n v="1000"/>
    <n v="25"/>
    <x v="0"/>
    <n v="15.920924478978186"/>
    <n v="2.4845342710795411"/>
    <n v="17.662817630874706"/>
    <n v="15.375108677308548"/>
    <m/>
    <n v="0.62695509011223005"/>
    <n v="0.27"/>
    <n v="104.42165302347219"/>
    <n v="45.494911068317762"/>
    <n v="2.5375405584028865"/>
    <m/>
    <m/>
    <m/>
    <m/>
    <m/>
    <m/>
    <m/>
    <m/>
    <m/>
    <m/>
    <m/>
    <n v="0.16504212176060465"/>
    <m/>
    <m/>
    <m/>
    <m/>
    <m/>
    <m/>
    <m/>
    <m/>
    <m/>
    <m/>
    <m/>
    <n v="1568.8436768919541"/>
    <n v="0.14066466194705884"/>
    <n v="0.26398627241373501"/>
    <n v="339.69033187443188"/>
    <n v="300.07339769051003"/>
    <x v="9"/>
    <n v="14.644015877877388"/>
    <n v="3.9965468373646496"/>
    <n v="0.3"/>
    <n v="0"/>
    <n v="0.4"/>
    <x v="2"/>
    <n v="0.53883553099896953"/>
    <n v="0.27"/>
    <n v="300.07339769051003"/>
    <n v="0.53883553099896953"/>
    <n v="32.896796540759304"/>
    <n v="160.66933670443026"/>
    <n v="72730.85811523837"/>
    <n v="39.181069838269437"/>
    <n v="500011.8222433686"/>
    <x v="2"/>
    <n v="6.2629233152127177E-6"/>
    <n v="1927308.5811523837"/>
    <n v="0.25943527006163153"/>
  </r>
  <r>
    <x v="0"/>
    <n v="1000"/>
    <n v="25"/>
    <x v="0"/>
    <n v="13.814825033275461"/>
    <n v="2.1465381314555212"/>
    <n v="15.302912525284986"/>
    <n v="13.287770667927798"/>
    <m/>
    <n v="0.62315280896322645"/>
    <n v="0.27"/>
    <n v="90.344445284670343"/>
    <n v="39.361687779628163"/>
    <n v="2.3101361792434254"/>
    <m/>
    <m/>
    <m/>
    <m/>
    <m/>
    <m/>
    <m/>
    <m/>
    <m/>
    <m/>
    <m/>
    <n v="0.17385430836937274"/>
    <m/>
    <m/>
    <m/>
    <m/>
    <m/>
    <m/>
    <m/>
    <m/>
    <m/>
    <m/>
    <m/>
    <n v="1468.4974647440195"/>
    <n v="0.14026990796090605"/>
    <n v="0.2646802367188234"/>
    <n v="347.80560420931124"/>
    <n v="313.42937512230674"/>
    <x v="9"/>
    <n v="14.644015877877388"/>
    <n v="3.9965468373646496"/>
    <n v="0.3"/>
    <n v="0"/>
    <n v="0.4"/>
    <x v="3"/>
    <n v="0.5337483794433574"/>
    <n v="0.27"/>
    <n v="313.42937512230674"/>
    <n v="0.5337483794433574"/>
    <n v="28.635315670889696"/>
    <n v="131.96930701197681"/>
    <n v="58162.951125950603"/>
    <n v="33.958063500729104"/>
    <n v="574855.26601451088"/>
    <x v="2"/>
    <n v="5.5486300667468596E-6"/>
    <n v="1781629.511259506"/>
    <n v="0.3226570184101421"/>
  </r>
  <r>
    <x v="0"/>
    <n v="1000"/>
    <n v="25"/>
    <x v="0"/>
    <n v="12.640244900095475"/>
    <n v="1.9660713360832716"/>
    <n v="13.99484145432584"/>
    <n v="12.134771202214528"/>
    <m/>
    <n v="0.62220677911823108"/>
    <n v="0.27"/>
    <n v="82.552047786330775"/>
    <n v="35.966659823920047"/>
    <n v="2.1676383075320658"/>
    <m/>
    <m/>
    <m/>
    <m/>
    <m/>
    <m/>
    <m/>
    <m/>
    <m/>
    <m/>
    <m/>
    <n v="0.17863034015313645"/>
    <m/>
    <m/>
    <m/>
    <m/>
    <m/>
    <m/>
    <m/>
    <m/>
    <m/>
    <m/>
    <m/>
    <n v="1404.6254950105697"/>
    <n v="0.14048543118547113"/>
    <n v="0.26477168785908145"/>
    <n v="352.25983184870222"/>
    <n v="320.8063412445382"/>
    <x v="9"/>
    <n v="14.644015877877388"/>
    <n v="3.9965468373646496"/>
    <n v="0.3"/>
    <n v="0"/>
    <n v="0.4"/>
    <x v="4"/>
    <n v="0.53167669777876003"/>
    <n v="0.27"/>
    <n v="320.8063412445382"/>
    <n v="0.53167669777876003"/>
    <n v="26.292971069751761"/>
    <n v="117.51835658824727"/>
    <n v="50945.619144370656"/>
    <n v="31.105997887244715"/>
    <n v="605370.1258940727"/>
    <x v="2"/>
    <n v="5.1385166518917135E-6"/>
    <n v="1709456.1914437066"/>
    <n v="0.35413023681104838"/>
  </r>
  <r>
    <x v="0"/>
    <n v="1000"/>
    <n v="25"/>
    <x v="0"/>
    <n v="11.157448399311926"/>
    <n v="1.7413729668012059"/>
    <n v="12.348401430887268"/>
    <n v="10.692193343781247"/>
    <m/>
    <n v="0.62046151794028748"/>
    <n v="0.27"/>
    <n v="72.787369138324962"/>
    <n v="31.712339251137429"/>
    <n v="1.9872149277329374"/>
    <m/>
    <m/>
    <m/>
    <m/>
    <m/>
    <m/>
    <m/>
    <m/>
    <m/>
    <m/>
    <m/>
    <n v="0.18585662116638901"/>
    <m/>
    <m/>
    <m/>
    <m/>
    <m/>
    <m/>
    <m/>
    <m/>
    <m/>
    <m/>
    <m/>
    <n v="1323.7391293933463"/>
    <n v="0.14102011313346843"/>
    <n v="0.26499345168084104"/>
    <n v="357.89538070265223"/>
    <n v="330.1316655268771"/>
    <x v="9"/>
    <n v="14.644015877877388"/>
    <n v="3.9965468373646496"/>
    <n v="0.3"/>
    <n v="0"/>
    <n v="0.4"/>
    <x v="5"/>
    <n v="0.52840750702578609"/>
    <n v="0.27"/>
    <n v="330.1316655268771"/>
    <n v="0.52840750702578609"/>
    <n v="23.346342319373122"/>
    <n v="100.58211015008095"/>
    <n v="42629.879897464947"/>
    <n v="27.524509119814908"/>
    <n v="632333.96859570337"/>
    <x v="2"/>
    <n v="4.6092630948819877E-6"/>
    <n v="1626298.7989746495"/>
    <n v="0.38881782916791052"/>
  </r>
  <r>
    <x v="0"/>
    <n v="1000"/>
    <n v="25"/>
    <x v="0"/>
    <n v="9.2529800483509295"/>
    <n v="1.4604826156363968"/>
    <n v="10.242058294518387"/>
    <n v="8.856919492823069"/>
    <m/>
    <n v="0.61986572502853254"/>
    <n v="0.27"/>
    <n v="60.342231364026006"/>
    <n v="26.290183789305939"/>
    <n v="1.7349957752143048"/>
    <m/>
    <m/>
    <m/>
    <m/>
    <m/>
    <m/>
    <m/>
    <m/>
    <m/>
    <m/>
    <m/>
    <n v="0.19589155988379539"/>
    <m/>
    <m/>
    <m/>
    <m/>
    <m/>
    <m/>
    <m/>
    <m/>
    <m/>
    <m/>
    <m/>
    <n v="1209.5639982486678"/>
    <n v="0.14259659275890435"/>
    <n v="0.26505866796864985"/>
    <n v="365.09082264970357"/>
    <n v="342.06611064151457"/>
    <x v="9"/>
    <n v="14.644015877877388"/>
    <n v="3.9965468373646496"/>
    <n v="0.3"/>
    <n v="0"/>
    <n v="0.4"/>
    <x v="6"/>
    <n v="0.52521944592857372"/>
    <n v="0.27"/>
    <n v="342.06611064151457"/>
    <n v="0.52521944592857372"/>
    <n v="19.584140130543744"/>
    <n v="80.572329574207075"/>
    <n v="33078.268918464921"/>
    <n v="22.962445765496405"/>
    <n v="657497.05228479963"/>
    <x v="2"/>
    <n v="3.8882104426971512E-6"/>
    <n v="1530782.6891846491"/>
    <n v="0.42951691113975599"/>
  </r>
  <r>
    <x v="0"/>
    <n v="1000"/>
    <n v="25"/>
    <x v="0"/>
    <n v="7.9859720015124163"/>
    <n v="1.2748838859072231"/>
    <n v="8.8436666871418197"/>
    <n v="7.6461432332761534"/>
    <m/>
    <n v="0.61842659069763184"/>
    <n v="0.27"/>
    <n v="52.119244784764795"/>
    <n v="22.707554781743998"/>
    <n v="1.565939205558462"/>
    <m/>
    <m/>
    <m/>
    <m/>
    <m/>
    <m/>
    <m/>
    <m/>
    <m/>
    <m/>
    <m/>
    <n v="0.20480118639989195"/>
    <m/>
    <m/>
    <m/>
    <m/>
    <m/>
    <m/>
    <m/>
    <m/>
    <m/>
    <m/>
    <m/>
    <n v="1132.9946289674183"/>
    <n v="0.14415783984270128"/>
    <n v="0.2652881642733535"/>
    <n v="369.89699098191335"/>
    <n v="350.02502618818812"/>
    <x v="9"/>
    <n v="14.644015877877388"/>
    <n v="3.9965468373646496"/>
    <n v="0.3"/>
    <n v="0"/>
    <n v="0.4"/>
    <x v="7"/>
    <n v="0.52196556974459263"/>
    <n v="0.27"/>
    <n v="350.02502618818812"/>
    <n v="0.52196556974459263"/>
    <n v="17.075942380567245"/>
    <n v="68.163491040702212"/>
    <n v="27344.410563822592"/>
    <n v="19.937606029614646"/>
    <n v="654803.29639732966"/>
    <x v="2"/>
    <n v="3.4087896184035918E-6"/>
    <n v="1473444.105638226"/>
    <n v="0.44440321413732892"/>
  </r>
  <r>
    <x v="0"/>
    <n v="1000"/>
    <n v="25"/>
    <x v="0"/>
    <n v="6.478417203492695"/>
    <n v="1.057436735021148"/>
    <n v="7.1834370642901693"/>
    <n v="6.2111508685602308"/>
    <m/>
    <n v="0.61849864289063605"/>
    <n v="0.27"/>
    <n v="42.361637854778508"/>
    <n v="18.456315247932544"/>
    <n v="1.3436567795767198"/>
    <m/>
    <m/>
    <m/>
    <m/>
    <m/>
    <m/>
    <m/>
    <m/>
    <m/>
    <m/>
    <m/>
    <n v="0.21632976046002642"/>
    <m/>
    <m/>
    <m/>
    <m/>
    <m/>
    <m/>
    <m/>
    <m/>
    <m/>
    <m/>
    <m/>
    <n v="1031.2730807126691"/>
    <n v="0.14720484436034223"/>
    <n v="0.2651319286624636"/>
    <n v="375.56530729371229"/>
    <n v="359.44469092430944"/>
    <x v="9"/>
    <n v="14.644015877877388"/>
    <n v="3.9965468373646496"/>
    <n v="0.3"/>
    <n v="0"/>
    <n v="0.4"/>
    <x v="8"/>
    <n v="0.51932281046035378"/>
    <n v="0.27"/>
    <n v="359.44469092430944"/>
    <n v="0.51932281046035378"/>
    <n v="14.091044774628688"/>
    <n v="54.148830265598818"/>
    <n v="21095.639606471024"/>
    <n v="16.371767049161086"/>
    <n v="653347.61970654852"/>
    <x v="2"/>
    <n v="2.7906068100744876E-6"/>
    <n v="1410956.3960647103"/>
    <n v="0.4630530195892632"/>
  </r>
  <r>
    <x v="0"/>
    <n v="1000"/>
    <n v="25"/>
    <x v="0"/>
    <n v="4.4073666961863962"/>
    <n v="0.75777804790852121"/>
    <n v="4.9049566344434918"/>
    <n v="4.2503122241825722"/>
    <m/>
    <n v="0.62341755249149"/>
    <n v="0.27"/>
    <n v="29.009204660534714"/>
    <n v="12.638865101062843"/>
    <n v="1.0000696828968039"/>
    <m/>
    <m/>
    <m/>
    <m/>
    <m/>
    <m/>
    <m/>
    <m/>
    <m/>
    <m/>
    <m/>
    <n v="0.23529322792024746"/>
    <m/>
    <m/>
    <m/>
    <m/>
    <m/>
    <m/>
    <m/>
    <m/>
    <m/>
    <m/>
    <m/>
    <n v="872.41034009915347"/>
    <n v="0.15449230327282953"/>
    <n v="0.26458914866551175"/>
    <n v="383.34260222531611"/>
    <n v="372.37549865075164"/>
    <x v="9"/>
    <n v="14.644015877877388"/>
    <n v="3.9965468373646496"/>
    <n v="0.3"/>
    <n v="0"/>
    <n v="0.4"/>
    <x v="9"/>
    <n v="0.51994500329204563"/>
    <n v="0.27"/>
    <n v="372.37549865075164"/>
    <n v="0.51994500329204563"/>
    <n v="9.9396508727652417"/>
    <n v="36.034846748070883"/>
    <n v="13442.364237615859"/>
    <n v="11.445518973062944"/>
    <n v="620580.24093989795"/>
    <x v="2"/>
    <n v="1.9062682375665019E-6"/>
    <n v="1334423.6423761586"/>
    <n v="0.46505489054049864"/>
  </r>
  <r>
    <x v="0"/>
    <n v="1000"/>
    <n v="25"/>
    <x v="0"/>
    <n v="18.763326894319878"/>
    <n v="2.967770383912272"/>
    <n v="20.881193410262703"/>
    <n v="18.219174263458768"/>
    <m/>
    <n v="0.62814403024633314"/>
    <n v="0.27"/>
    <n v="123.53295459334161"/>
    <n v="53.821411752285755"/>
    <n v="2.843663859387771"/>
    <m/>
    <m/>
    <m/>
    <m/>
    <m/>
    <m/>
    <m/>
    <m/>
    <m/>
    <m/>
    <m/>
    <n v="0.15608083101170819"/>
    <m/>
    <m/>
    <m/>
    <m/>
    <m/>
    <m/>
    <m/>
    <m/>
    <m/>
    <m/>
    <m/>
    <n v="1703.6031189440898"/>
    <n v="0.14212647359770492"/>
    <n v="0.26228226588842762"/>
    <n v="328.46132074251022"/>
    <n v="281.77118925020511"/>
    <x v="9"/>
    <n v="14.644015877877388"/>
    <n v="3.9965468373646496"/>
    <n v="0.3"/>
    <n v="0"/>
    <n v="0.4"/>
    <x v="0"/>
    <n v="0.5414112266614578"/>
    <n v="0.27"/>
    <n v="281.77118925020511"/>
    <n v="0.5414112266614578"/>
    <n v="38.815707251901152"/>
    <n v="206.84663529237449"/>
    <n v="96714.559034502599"/>
    <n v="46.745894302301245"/>
    <n v="328240.03922571178"/>
    <x v="3"/>
    <n v="7.2578245497667793E-6"/>
    <n v="2167145.590345026"/>
    <n v="0.15146192331889133"/>
  </r>
  <r>
    <x v="1"/>
    <n v="1000"/>
    <n v="25"/>
    <x v="0"/>
    <n v="18.698048164750627"/>
    <n v="3.0130091052194272"/>
    <n v="20.83937986712505"/>
    <n v="18.237828870279227"/>
    <m/>
    <n v="0.63385722907665043"/>
    <n v="0.27"/>
    <n v="123.67628855015447"/>
    <n v="53.883860156706305"/>
    <n v="2.786542097489118"/>
    <m/>
    <m/>
    <m/>
    <m/>
    <m/>
    <m/>
    <m/>
    <m/>
    <m/>
    <m/>
    <m/>
    <n v="0.15278913500664157"/>
    <m/>
    <m/>
    <m/>
    <m/>
    <m/>
    <m/>
    <m/>
    <m/>
    <m/>
    <m/>
    <m/>
    <n v="1666.5225664628128"/>
    <n v="0.14458247435532229"/>
    <n v="0.23308186716847229"/>
    <n v="319.77905277704156"/>
    <n v="273.25151771825387"/>
    <x v="9"/>
    <n v="14.644015877877388"/>
    <n v="3.9965468373646496"/>
    <n v="0.3"/>
    <n v="0"/>
    <n v="0.4"/>
    <x v="0"/>
    <n v="0.54572218230499148"/>
    <n v="0.27"/>
    <n v="273.25151771825387"/>
    <n v="0.54572218230499148"/>
    <n v="38.997405566708331"/>
    <n v="207.23329572229164"/>
    <n v="96855.276535107274"/>
    <n v="46.697564183591837"/>
    <n v="327194.84429723118"/>
    <x v="3"/>
    <n v="7.2307823297986843E-6"/>
    <n v="2168552.7653510729"/>
    <n v="0.15088166150490726"/>
  </r>
  <r>
    <x v="2"/>
    <n v="1000"/>
    <n v="25"/>
    <x v="0"/>
    <n v="18.623242269422331"/>
    <n v="3.0742581720261115"/>
    <n v="20.796500986584288"/>
    <n v="18.246487684029265"/>
    <m/>
    <n v="0.63574377102950508"/>
    <n v="0.27"/>
    <n v="123.76020353383761"/>
    <n v="53.920420626775723"/>
    <n v="2.7458834726866144"/>
    <m/>
    <m/>
    <m/>
    <m/>
    <m/>
    <m/>
    <m/>
    <m/>
    <m/>
    <m/>
    <m/>
    <n v="0.15048833069884587"/>
    <m/>
    <m/>
    <m/>
    <m/>
    <m/>
    <m/>
    <m/>
    <m/>
    <m/>
    <m/>
    <m/>
    <n v="1635.1254774136041"/>
    <n v="0.14782574116719438"/>
    <n v="0.20358838799099746"/>
    <n v="308.52502712362042"/>
    <n v="262.18374107029894"/>
    <x v="9"/>
    <n v="14.644015877877388"/>
    <n v="3.9965468373646496"/>
    <n v="0.3"/>
    <n v="0"/>
    <n v="0.4"/>
    <x v="0"/>
    <n v="0.5462740586584911"/>
    <n v="0.27"/>
    <n v="262.18374107029894"/>
    <n v="0.5462740586584911"/>
    <n v="39.305499123267509"/>
    <n v="207.45999117736835"/>
    <n v="97212.024976292261"/>
    <n v="46.991861282192176"/>
    <n v="326435.40527763206"/>
    <x v="3"/>
    <n v="7.1926333038435472E-6"/>
    <n v="2172120.2497629225"/>
    <n v="0.1502842235890306"/>
  </r>
  <r>
    <x v="3"/>
    <n v="1000"/>
    <n v="25"/>
    <x v="0"/>
    <n v="18.551943032912504"/>
    <n v="3.1750975612529997"/>
    <n v="20.779219041369238"/>
    <n v="18.286567105641119"/>
    <m/>
    <n v="0.63988245657053755"/>
    <n v="0.27"/>
    <n v="124.06796098603768"/>
    <n v="54.054505823792347"/>
    <n v="2.675007981259391"/>
    <m/>
    <m/>
    <m/>
    <m/>
    <m/>
    <m/>
    <m/>
    <m/>
    <m/>
    <m/>
    <m/>
    <n v="0.14628267655738364"/>
    <m/>
    <m/>
    <m/>
    <m/>
    <m/>
    <m/>
    <m/>
    <m/>
    <m/>
    <m/>
    <m/>
    <n v="1584.5344816818304"/>
    <n v="0.15280158291472432"/>
    <n v="0.17369844818953126"/>
    <n v="293.19453785407723"/>
    <n v="247.03049105213353"/>
    <x v="9"/>
    <n v="14.644015877877388"/>
    <n v="3.9965468373646496"/>
    <n v="0.3"/>
    <n v="0"/>
    <n v="0.4"/>
    <x v="0"/>
    <n v="0.54819725023280708"/>
    <n v="0.27"/>
    <n v="247.03049105213353"/>
    <n v="0.54819725023280708"/>
    <n v="39.849534809851654"/>
    <n v="208.29345714669662"/>
    <n v="97985.415182992176"/>
    <n v="47.597433985397487"/>
    <n v="326670.94348121242"/>
    <x v="3"/>
    <n v="7.1406392886472773E-6"/>
    <n v="2179854.1518299216"/>
    <n v="0.1498590826395344"/>
  </r>
  <r>
    <x v="4"/>
    <n v="1000"/>
    <n v="25"/>
    <x v="0"/>
    <n v="18.414716155450414"/>
    <n v="3.3338214873690077"/>
    <n v="20.725239826093986"/>
    <n v="18.309635907391453"/>
    <m/>
    <n v="0.6479737628350396"/>
    <n v="0.27"/>
    <n v="124.28763557222497"/>
    <n v="54.150214668396771"/>
    <n v="2.5492317143621861"/>
    <m/>
    <m/>
    <m/>
    <m/>
    <m/>
    <m/>
    <m/>
    <m/>
    <m/>
    <m/>
    <m/>
    <n v="0.13922896813765051"/>
    <m/>
    <m/>
    <m/>
    <m/>
    <m/>
    <m/>
    <m/>
    <m/>
    <m/>
    <m/>
    <m/>
    <n v="1500.359561360294"/>
    <n v="0.16085804146746616"/>
    <n v="0.14337898798299795"/>
    <n v="271.56614498050402"/>
    <n v="225.7437041792036"/>
    <x v="9"/>
    <n v="14.644015877877388"/>
    <n v="3.9965468373646496"/>
    <n v="0.3"/>
    <n v="0"/>
    <n v="0.4"/>
    <x v="0"/>
    <n v="0.55254233095798821"/>
    <n v="0.27"/>
    <n v="225.7437041792036"/>
    <n v="0.55254233095798821"/>
    <n v="40.658521609325149"/>
    <n v="208.89037070093914"/>
    <n v="98811.48867321352"/>
    <n v="48.55480008268875"/>
    <n v="325603.70524354174"/>
    <x v="3"/>
    <n v="7.065239561010817E-6"/>
    <n v="2188114.886732135"/>
    <n v="0.14880558019045256"/>
  </r>
  <r>
    <x v="5"/>
    <n v="1000"/>
    <n v="25"/>
    <x v="0"/>
    <n v="18.169996822761444"/>
    <n v="3.6212088894737819"/>
    <n v="20.630470075523903"/>
    <n v="18.3400881438487"/>
    <m/>
    <n v="0.66694339242229883"/>
    <n v="0.27"/>
    <n v="124.6211045103661"/>
    <n v="54.295501965097266"/>
    <n v="2.319130988681934"/>
    <m/>
    <m/>
    <m/>
    <m/>
    <m/>
    <m/>
    <m/>
    <m/>
    <m/>
    <m/>
    <m/>
    <n v="0.12645146361849821"/>
    <m/>
    <m/>
    <m/>
    <m/>
    <m/>
    <m/>
    <m/>
    <m/>
    <m/>
    <m/>
    <m/>
    <n v="1352.8831009918679"/>
    <n v="0.17552721175122438"/>
    <n v="0.11252940258826308"/>
    <n v="238.53111804703929"/>
    <n v="193.31760665090096"/>
    <x v="9"/>
    <n v="14.644015877877388"/>
    <n v="3.9965468373646496"/>
    <n v="0.3"/>
    <n v="0"/>
    <n v="0.4"/>
    <x v="0"/>
    <n v="0.56472476491203794"/>
    <n v="0.27"/>
    <n v="193.31760665090096"/>
    <n v="0.56472476491203794"/>
    <n v="42.061457903970258"/>
    <n v="209.79968952228813"/>
    <n v="100244.39425053928"/>
    <n v="50.147833687937776"/>
    <n v="323516.62512357743"/>
    <x v="3"/>
    <n v="6.9335327354763879E-6"/>
    <n v="2202443.9425053927"/>
    <n v="0.14688983400665387"/>
  </r>
  <r>
    <x v="6"/>
    <n v="1000"/>
    <n v="25"/>
    <x v="0"/>
    <n v="17.721882317962038"/>
    <n v="4.433398331886476"/>
    <n v="20.610298861596764"/>
    <n v="18.570271026151175"/>
    <m/>
    <n v="0.75261520535943549"/>
    <n v="0.27"/>
    <n v="126.60563585222022"/>
    <n v="55.160131802834542"/>
    <n v="1.7433090761437597"/>
    <m/>
    <m/>
    <m/>
    <m/>
    <m/>
    <m/>
    <m/>
    <m/>
    <m/>
    <m/>
    <m/>
    <n v="9.3876339967724931E-2"/>
    <m/>
    <m/>
    <m/>
    <m/>
    <m/>
    <m/>
    <m/>
    <m/>
    <m/>
    <m/>
    <m/>
    <n v="1003.4887281402354"/>
    <n v="0.21510597015879482"/>
    <n v="7.9091731205177956E-2"/>
    <n v="175.93255264588484"/>
    <n v="131.83419006835641"/>
    <x v="9"/>
    <n v="14.644015877877388"/>
    <n v="3.9965468373646496"/>
    <n v="0.3"/>
    <n v="0"/>
    <n v="0.4"/>
    <x v="0"/>
    <n v="0.63877228231584615"/>
    <n v="0.27"/>
    <n v="131.83419006835641"/>
    <n v="0.63877228231584615"/>
    <n v="45.716181849443174"/>
    <n v="215.29268450314163"/>
    <n v="104771.63088114771"/>
    <n v="53.394266573454118"/>
    <n v="323232.85143660853"/>
    <x v="3"/>
    <n v="6.634456547141301E-6"/>
    <n v="2247716.3088114769"/>
    <n v="0.14380500340255309"/>
  </r>
  <r>
    <x v="7"/>
    <n v="1000"/>
    <n v="25"/>
    <x v="0"/>
    <n v="17.232715129360539"/>
    <n v="5.673514007614795"/>
    <n v="20.793240201639236"/>
    <n v="18.835248493903535"/>
    <m/>
    <n v="0.99999999931658057"/>
    <n v="0.27"/>
    <n v="133.06457585741194"/>
    <n v="57.974192800947108"/>
    <n v="1.1682725232015621"/>
    <m/>
    <m/>
    <m/>
    <m/>
    <m/>
    <m/>
    <m/>
    <m/>
    <m/>
    <m/>
    <m/>
    <n v="6.2025861967241927E-2"/>
    <m/>
    <m/>
    <m/>
    <m/>
    <m/>
    <m/>
    <m/>
    <m/>
    <m/>
    <m/>
    <m/>
    <n v="623.96544468365221"/>
    <n v="0.27285377135053357"/>
    <n v="5.4312264080171424E-2"/>
    <n v="82.710426066514515"/>
    <n v="39.829183082869903"/>
    <x v="9"/>
    <n v="14.644015877877388"/>
    <n v="3.9965468373646496"/>
    <n v="0.3"/>
    <n v="0"/>
    <n v="0.4"/>
    <x v="0"/>
    <n v="0.99999999900000003"/>
    <n v="0.27"/>
    <n v="39.829183082869903"/>
    <n v="0.99999999900000003"/>
    <n v="49.445424942606785"/>
    <n v="234.21519791219782"/>
    <n v="114192.77617621915"/>
    <n v="55.292029476321794"/>
    <n v="336258.13464324764"/>
    <x v="3"/>
    <n v="6.1758810355343587E-6"/>
    <n v="2341927.7617621915"/>
    <n v="0.14358177059664259"/>
  </r>
  <r>
    <x v="8"/>
    <n v="1000"/>
    <n v="25"/>
    <x v="0"/>
    <n v="11.685026012514566"/>
    <n v="3.9721903244991612"/>
    <n v="14.095436622125415"/>
    <n v="12.8286169607288"/>
    <m/>
    <n v="0.99999999937934092"/>
    <n v="0.27"/>
    <n v="89.547410831220844"/>
    <n v="39.014432104888748"/>
    <n v="0.88900168050810535"/>
    <m/>
    <m/>
    <m/>
    <m/>
    <m/>
    <m/>
    <m/>
    <m/>
    <m/>
    <m/>
    <m/>
    <n v="6.9298326018271003E-2"/>
    <m/>
    <m/>
    <m/>
    <m/>
    <m/>
    <m/>
    <m/>
    <m/>
    <m/>
    <m/>
    <m/>
    <n v="511.64211088521483"/>
    <n v="0.28180683089050734"/>
    <n v="3.8465141342770286E-2"/>
    <n v="96.217780447313373"/>
    <n v="67.141270631161177"/>
    <x v="9"/>
    <n v="14.644015877877388"/>
    <n v="3.9965468373646496"/>
    <n v="0.3"/>
    <n v="0"/>
    <n v="0.4"/>
    <x v="0"/>
    <n v="0.99999999900000003"/>
    <n v="0.27"/>
    <n v="67.141270631161177"/>
    <n v="0.99999999900000003"/>
    <n v="35.689500239482499"/>
    <n v="130.44885829940367"/>
    <n v="60813.371920371115"/>
    <n v="39.27732064510424"/>
    <n v="675281.6914253307"/>
    <x v="3"/>
    <n v="4.3783297099038775E-6"/>
    <n v="1808133.719203711"/>
    <n v="0.37346888908344672"/>
  </r>
  <r>
    <x v="9"/>
    <n v="1000"/>
    <n v="25"/>
    <x v="0"/>
    <n v="3.8812420158595797"/>
    <n v="0.82033023053906673"/>
    <n v="4.4017307569728548"/>
    <n v="3.8797032411546795"/>
    <m/>
    <n v="0.63884323172629531"/>
    <n v="0.27"/>
    <n v="26.532226933088364"/>
    <n v="11.55968393350323"/>
    <n v="0.87534841922587692"/>
    <m/>
    <m/>
    <m/>
    <m/>
    <m/>
    <m/>
    <m/>
    <m/>
    <m/>
    <m/>
    <m/>
    <n v="0.22562251925365179"/>
    <m/>
    <m/>
    <m/>
    <m/>
    <m/>
    <m/>
    <m/>
    <m/>
    <m/>
    <m/>
    <m/>
    <n v="724.03935218934555"/>
    <n v="0.18636538121727869"/>
    <n v="3.7327964977460916E-2"/>
    <n v="296.02320892116347"/>
    <n v="286.36514257640687"/>
    <x v="9"/>
    <n v="14.644015877877388"/>
    <n v="3.9965468373646496"/>
    <n v="0.3"/>
    <n v="0"/>
    <n v="0.4"/>
    <x v="0"/>
    <n v="0.52393201381553267"/>
    <n v="0.27"/>
    <n v="286.36514257640687"/>
    <n v="0.52393201381553267"/>
    <n v="9.8616988339394354"/>
    <n v="32.793591254344669"/>
    <n v="12487.376057078545"/>
    <n v="11.335859083151899"/>
    <n v="874620.51428960683"/>
    <x v="3"/>
    <n v="1.3790383341998966E-6"/>
    <n v="1324873.7605707855"/>
    <n v="0.66015385036594021"/>
  </r>
  <r>
    <x v="0"/>
    <n v="100"/>
    <n v="25"/>
    <x v="0"/>
    <n v="3.4794085896375071"/>
    <n v="1.0316914211790666"/>
    <n v="4.2860053135319047"/>
    <n v="0"/>
    <m/>
    <n v="9.8629136311921962E-4"/>
    <n v="1E-8"/>
    <n v="18.250294358045984"/>
    <n v="10.950176529659551"/>
    <n v="-3.7041054427853605E-3"/>
    <m/>
    <m/>
    <m/>
    <m/>
    <m/>
    <m/>
    <m/>
    <m/>
    <m/>
    <m/>
    <m/>
    <s v="-"/>
    <m/>
    <m/>
    <m/>
    <m/>
    <m/>
    <m/>
    <m/>
    <m/>
    <m/>
    <m/>
    <m/>
    <n v="371.38963366019681"/>
    <n v="0.24071165239151232"/>
    <n v="0.19222943133723699"/>
    <n v="381.89970929304047"/>
    <n v="373.24168638158949"/>
    <x v="0"/>
    <n v="0"/>
    <n v="0"/>
    <n v="0"/>
    <n v="0"/>
    <n v="0"/>
    <x v="0"/>
    <n v="9.9035550111793691E-4"/>
    <n v="1E-8"/>
    <n v="373.24168638158949"/>
    <n v="9.9035550111793691E-4"/>
    <n v="11.468374921493346"/>
    <n v="90.019978991979301"/>
    <n v="34983.920551741896"/>
    <n v="26.280426329966378"/>
    <n v="25315.875826476637"/>
    <x v="0"/>
    <n v="2.0014305482183544E-6"/>
    <n v="1549839.2055174189"/>
    <n v="1.6334517630185286E-2"/>
  </r>
  <r>
    <x v="0"/>
    <n v="200"/>
    <n v="25"/>
    <x v="0"/>
    <n v="6.0307308414746883"/>
    <n v="1.8188256613276517"/>
    <n v="7.2788481948688872"/>
    <n v="0"/>
    <m/>
    <n v="3.4119631856480978E-4"/>
    <n v="1E-8"/>
    <n v="32.278651444002548"/>
    <n v="19.367190715767823"/>
    <n v="-2.1680305841312061E-3"/>
    <m/>
    <m/>
    <m/>
    <m/>
    <m/>
    <m/>
    <m/>
    <m/>
    <m/>
    <m/>
    <m/>
    <s v="-"/>
    <m/>
    <m/>
    <m/>
    <m/>
    <m/>
    <m/>
    <m/>
    <m/>
    <m/>
    <m/>
    <m/>
    <n v="358.4641689811159"/>
    <n v="0.24987822422369035"/>
    <n v="0.23700851241687992"/>
    <n v="374.55479223097655"/>
    <n v="359.54818427318145"/>
    <x v="0"/>
    <n v="0"/>
    <n v="0"/>
    <n v="0"/>
    <n v="0"/>
    <n v="0"/>
    <x v="0"/>
    <n v="3.4166832441916194E-4"/>
    <n v="1E-8"/>
    <n v="359.54818427318145"/>
    <n v="3.4166832441916194E-4"/>
    <n v="19.941044474844492"/>
    <n v="101.42012479096861"/>
    <n v="42950.548440503291"/>
    <n v="34.061684301180797"/>
    <n v="52998.483470902589"/>
    <x v="0"/>
    <n v="3.3696784854761213E-6"/>
    <n v="1629505.4844050328"/>
    <n v="3.2524274375335081E-2"/>
  </r>
  <r>
    <x v="0"/>
    <n v="300"/>
    <n v="25"/>
    <x v="0"/>
    <n v="8.2810428498982329"/>
    <n v="2.5943744496242762"/>
    <n v="9.9993543646188119"/>
    <n v="0"/>
    <m/>
    <n v="2.7427374762226581E-4"/>
    <n v="1E-8"/>
    <n v="45.332459131149406"/>
    <n v="27.199475267138165"/>
    <n v="-2.38014698125316E-3"/>
    <m/>
    <m/>
    <m/>
    <m/>
    <m/>
    <m/>
    <m/>
    <m/>
    <m/>
    <m/>
    <m/>
    <s v="-"/>
    <m/>
    <m/>
    <m/>
    <m/>
    <m/>
    <m/>
    <m/>
    <m/>
    <m/>
    <m/>
    <m/>
    <n v="345.08782443182776"/>
    <n v="0.25945419624331684"/>
    <n v="0.25006242758068115"/>
    <n v="366.88409798298704"/>
    <n v="346.27789792245431"/>
    <x v="0"/>
    <n v="0"/>
    <n v="0"/>
    <n v="0"/>
    <n v="0"/>
    <n v="0"/>
    <x v="0"/>
    <n v="2.7463594488966192E-4"/>
    <n v="1E-8"/>
    <n v="346.27789792245431"/>
    <n v="2.7463594488966192E-4"/>
    <n v="28.060721810369358"/>
    <n v="123.97079228728452"/>
    <n v="56635.241057785468"/>
    <n v="44.478923676092094"/>
    <n v="90904.01274236232"/>
    <x v="0"/>
    <n v="4.2359092658605266E-6"/>
    <n v="1766352.4105778546"/>
    <n v="5.1464256055575829E-2"/>
  </r>
  <r>
    <x v="0"/>
    <n v="400"/>
    <n v="25"/>
    <x v="0"/>
    <n v="10.201411490436939"/>
    <n v="3.308744773287565"/>
    <n v="12.344180972171117"/>
    <n v="0"/>
    <m/>
    <n v="2.3381570925848231E-4"/>
    <n v="1E-8"/>
    <n v="56.991701440641165"/>
    <n v="34.195020598423419"/>
    <n v="-2.4918156756848515E-3"/>
    <m/>
    <m/>
    <m/>
    <m/>
    <m/>
    <m/>
    <m/>
    <m/>
    <m/>
    <m/>
    <m/>
    <s v="-"/>
    <m/>
    <m/>
    <m/>
    <m/>
    <m/>
    <m/>
    <m/>
    <m/>
    <m/>
    <m/>
    <m/>
    <n v="333.93899552642847"/>
    <n v="0.26804085104931974"/>
    <n v="0.25871985867675429"/>
    <n v="360.56966194008851"/>
    <n v="335.18490336427078"/>
    <x v="0"/>
    <n v="0"/>
    <n v="0"/>
    <n v="0"/>
    <n v="0"/>
    <n v="0"/>
    <x v="0"/>
    <n v="2.3411175171270725E-4"/>
    <n v="1E-8"/>
    <n v="335.18490336427078"/>
    <n v="2.3411175171270725E-4"/>
    <n v="35.378810867950385"/>
    <n v="141.8351828233842"/>
    <n v="68495.939780092769"/>
    <n v="53.523655212773647"/>
    <n v="130072.79008118673"/>
    <x v="0"/>
    <n v="4.8325304558653449E-6"/>
    <n v="1884959.3978009277"/>
    <n v="6.9005619024438969E-2"/>
  </r>
  <r>
    <x v="0"/>
    <n v="600"/>
    <n v="25"/>
    <x v="0"/>
    <n v="13.303206673833284"/>
    <n v="4.5788341201723117"/>
    <n v="16.186876841094946"/>
    <n v="0"/>
    <m/>
    <n v="1.8656561804515761E-4"/>
    <n v="1E-8"/>
    <n v="76.941428630488659"/>
    <n v="46.164856819233187"/>
    <n v="-2.5838955979526953E-3"/>
    <m/>
    <m/>
    <m/>
    <m/>
    <m/>
    <m/>
    <m/>
    <m/>
    <m/>
    <m/>
    <m/>
    <s v="-"/>
    <m/>
    <m/>
    <m/>
    <m/>
    <m/>
    <m/>
    <m/>
    <m/>
    <m/>
    <m/>
    <m/>
    <n v="316.31759302852453"/>
    <n v="0.28287322904364426"/>
    <n v="0.26991129271538639"/>
    <n v="350.71267104092186"/>
    <n v="317.60954082750084"/>
    <x v="0"/>
    <n v="0"/>
    <n v="0"/>
    <n v="0"/>
    <n v="0"/>
    <n v="0"/>
    <x v="0"/>
    <n v="1.8678616765241917E-4"/>
    <n v="1E-8"/>
    <n v="317.60954082750084"/>
    <n v="1.8678616765241917E-4"/>
    <n v="48.063542118061015"/>
    <n v="168.98037494659829"/>
    <n v="88232.55235677633"/>
    <n v="68.720867923605041"/>
    <n v="206967.45392740821"/>
    <x v="0"/>
    <n v="5.5688648817900591E-6"/>
    <n v="2082325.5235677632"/>
    <n v="9.9392458856672639E-2"/>
  </r>
  <r>
    <x v="0"/>
    <n v="800"/>
    <n v="25"/>
    <x v="0"/>
    <n v="15.670898540360346"/>
    <n v="5.6579718123361715"/>
    <n v="19.173671447575078"/>
    <n v="0"/>
    <m/>
    <n v="1.5953689714370955E-4"/>
    <n v="1E-8"/>
    <n v="93.231596982190467"/>
    <n v="55.938957754233492"/>
    <n v="-2.5980043112342234E-3"/>
    <m/>
    <m/>
    <m/>
    <m/>
    <m/>
    <m/>
    <m/>
    <m/>
    <m/>
    <m/>
    <m/>
    <s v="-"/>
    <m/>
    <m/>
    <m/>
    <m/>
    <m/>
    <m/>
    <m/>
    <m/>
    <m/>
    <m/>
    <m/>
    <n v="303.16072522483819"/>
    <n v="0.29509068348262241"/>
    <n v="0.27713798771295145"/>
    <n v="343.45452722060014"/>
    <n v="304.45972738045526"/>
    <x v="0"/>
    <n v="0"/>
    <n v="0"/>
    <n v="0"/>
    <n v="0"/>
    <n v="0"/>
    <x v="0"/>
    <n v="1.597151209593273E-4"/>
    <n v="1E-8"/>
    <n v="304.45972738045526"/>
    <n v="1.597151209593273E-4"/>
    <n v="58.563015816531497"/>
    <n v="188.58037225079707"/>
    <n v="103806.89586970372"/>
    <n v="80.93442816786164"/>
    <n v="277686.29442186694"/>
    <x v="0"/>
    <n v="5.9775928257314204E-6"/>
    <n v="2238068.9586970373"/>
    <n v="0.12407405649535071"/>
  </r>
  <r>
    <x v="0"/>
    <n v="1000"/>
    <n v="25"/>
    <x v="0"/>
    <n v="17.484541843011016"/>
    <n v="6.5567479286242429"/>
    <n v="21.496366019314056"/>
    <n v="0"/>
    <m/>
    <n v="1.4159981620213305E-4"/>
    <n v="1E-8"/>
    <n v="106.43486946655531"/>
    <n v="63.860921183237124"/>
    <n v="-2.5698209401810619E-3"/>
    <m/>
    <m/>
    <m/>
    <m/>
    <m/>
    <m/>
    <m/>
    <m/>
    <m/>
    <m/>
    <m/>
    <s v="-"/>
    <m/>
    <m/>
    <m/>
    <m/>
    <m/>
    <m/>
    <m/>
    <m/>
    <m/>
    <m/>
    <m/>
    <n v="293.26702750048486"/>
    <n v="0.3050165745565151"/>
    <n v="0.28228059713142267"/>
    <n v="338.05971072510289"/>
    <n v="294.55193797057541"/>
    <x v="0"/>
    <n v="0"/>
    <n v="0"/>
    <n v="0"/>
    <n v="0"/>
    <n v="0"/>
    <x v="0"/>
    <n v="1.4174982617976616E-4"/>
    <n v="1E-8"/>
    <n v="294.55193797057541"/>
    <n v="1.4174982617976616E-4"/>
    <n v="67.142758587631164"/>
    <n v="202.69057435797913"/>
    <n v="115894.23127057934"/>
    <n v="90.68951043838922"/>
    <n v="339263.89257929497"/>
    <x v="0"/>
    <n v="6.2213841993258691E-6"/>
    <n v="2358942.3127057934"/>
    <n v="0.14382034302065946"/>
  </r>
  <r>
    <x v="0"/>
    <n v="1300"/>
    <n v="25"/>
    <x v="0"/>
    <n v="19.472445574897947"/>
    <n v="7.6217715527510883"/>
    <n v="24.08087953524274"/>
    <n v="0"/>
    <m/>
    <n v="1.2428130001267121E-4"/>
    <n v="1E-8"/>
    <n v="121.73609907865762"/>
    <n v="73.041658879092765"/>
    <n v="-2.5092645349307002E-3"/>
    <m/>
    <m/>
    <m/>
    <m/>
    <m/>
    <m/>
    <m/>
    <m/>
    <m/>
    <m/>
    <m/>
    <s v="-"/>
    <m/>
    <m/>
    <m/>
    <m/>
    <m/>
    <m/>
    <m/>
    <m/>
    <m/>
    <m/>
    <m/>
    <n v="282.60374171500433"/>
    <n v="0.31650719159142454"/>
    <n v="0.28768276146902261"/>
    <n v="332.31278274908135"/>
    <n v="283.85837398246963"/>
    <x v="0"/>
    <n v="0"/>
    <n v="0"/>
    <n v="0"/>
    <n v="0"/>
    <n v="0"/>
    <x v="0"/>
    <n v="1.2440445088802933E-4"/>
    <n v="1E-8"/>
    <n v="283.85837398246963"/>
    <n v="1.2440445088802933E-4"/>
    <n v="77.141692713374297"/>
    <n v="217.18029733087138"/>
    <n v="129258.0441873181"/>
    <n v="101.83897625682761"/>
    <n v="414703.97946980695"/>
    <x v="0"/>
    <n v="6.431245608312272E-6"/>
    <n v="2492580.4418731807"/>
    <n v="0.16637536446292414"/>
  </r>
  <r>
    <x v="0"/>
    <n v="1600"/>
    <n v="25"/>
    <x v="0"/>
    <n v="20.8432630282513"/>
    <n v="8.4075369927306323"/>
    <n v="25.887161125267621"/>
    <n v="0"/>
    <m/>
    <n v="1.1326890841762038E-4"/>
    <n v="1E-8"/>
    <n v="132.90209069222095"/>
    <n v="79.741253795122816"/>
    <n v="-2.4462603164082425E-3"/>
    <m/>
    <m/>
    <m/>
    <m/>
    <m/>
    <m/>
    <m/>
    <m/>
    <m/>
    <m/>
    <m/>
    <s v="-"/>
    <m/>
    <m/>
    <m/>
    <m/>
    <m/>
    <m/>
    <m/>
    <m/>
    <m/>
    <m/>
    <m/>
    <n v="275.4079109178175"/>
    <n v="0.32477632259662137"/>
    <n v="0.29149994484579567"/>
    <n v="328.49651124538821"/>
    <n v="276.63104107602163"/>
    <x v="0"/>
    <n v="0"/>
    <n v="0"/>
    <n v="0"/>
    <n v="0"/>
    <n v="0"/>
    <x v="0"/>
    <n v="1.1337491380289069E-4"/>
    <n v="1E-8"/>
    <n v="276.63104107602163"/>
    <n v="1.1337491380289069E-4"/>
    <n v="84.418271252284981"/>
    <n v="226.309023486309"/>
    <n v="138370.75534528733"/>
    <n v="109.7428167740928"/>
    <n v="471588.51017259038"/>
    <x v="0"/>
    <n v="6.5499803491053342E-6"/>
    <n v="2583707.5534528731"/>
    <n v="0.18252395072436056"/>
  </r>
  <r>
    <x v="0"/>
    <n v="1900"/>
    <n v="25"/>
    <x v="0"/>
    <n v="21.814820946878513"/>
    <n v="8.9917351497159466"/>
    <n v="27.179884307264512"/>
    <n v="0"/>
    <m/>
    <n v="1.0570492147204075E-4"/>
    <n v="1E-8"/>
    <n v="141.14801454998153"/>
    <n v="84.688808071298183"/>
    <n v="-2.3882177665355583E-3"/>
    <m/>
    <m/>
    <m/>
    <m/>
    <m/>
    <m/>
    <m/>
    <m/>
    <m/>
    <m/>
    <m/>
    <s v="-"/>
    <m/>
    <m/>
    <m/>
    <m/>
    <m/>
    <m/>
    <m/>
    <m/>
    <m/>
    <m/>
    <m/>
    <n v="270.38061863361622"/>
    <n v="0.33082315759941178"/>
    <n v="0.29422938777320534"/>
    <n v="325.85777677757471"/>
    <n v="271.57472751688402"/>
    <x v="0"/>
    <n v="0"/>
    <n v="0"/>
    <n v="0"/>
    <n v="0"/>
    <n v="0"/>
    <x v="0"/>
    <n v="1.057992989173539E-4"/>
    <n v="1E-8"/>
    <n v="271.57472751688402"/>
    <n v="1.057992989173539E-4"/>
    <n v="89.77803179309312"/>
    <n v="232.1993251093277"/>
    <n v="144727.88164957924"/>
    <n v="115.47898910188387"/>
    <n v="514343.78545317182"/>
    <x v="0"/>
    <n v="6.6239624279320079E-6"/>
    <n v="2647278.8164957925"/>
    <n v="0.19429150501570877"/>
  </r>
  <r>
    <x v="0"/>
    <n v="1000"/>
    <n v="25"/>
    <x v="1"/>
    <n v="10.790485416168062"/>
    <n v="11.515025675634538"/>
    <n v="17.413994387952798"/>
    <n v="0"/>
    <m/>
    <n v="1.0793136923821084E-4"/>
    <n v="1E-8"/>
    <n v="111.464961558803"/>
    <n v="66.878976415111978"/>
    <n v="-1.2504123795996948E-3"/>
    <m/>
    <m/>
    <m/>
    <m/>
    <m/>
    <m/>
    <m/>
    <m/>
    <m/>
    <m/>
    <m/>
    <s v="-"/>
    <m/>
    <m/>
    <m/>
    <m/>
    <m/>
    <m/>
    <m/>
    <m/>
    <m/>
    <m/>
    <m/>
    <n v="135.24328594700873"/>
    <n v="0.66125125683977282"/>
    <n v="0.28943770391698292"/>
    <n v="162.71914380835813"/>
    <n v="135.86849213680856"/>
    <x v="0"/>
    <n v="0"/>
    <n v="0"/>
    <n v="0"/>
    <n v="0"/>
    <n v="0"/>
    <x v="0"/>
    <n v="1.0805935795334603E-4"/>
    <n v="1E-8"/>
    <n v="135.86849213680856"/>
    <n v="1.0805935795334603E-4"/>
    <n v="97.57864181622277"/>
    <n v="218.49823167900234"/>
    <n v="147990.4188118203"/>
    <n v="127.90022190798405"/>
    <n v="220101.98990282181"/>
    <x v="1"/>
    <n v="3.4854304777746328E-6"/>
    <n v="2679904.1881182031"/>
    <n v="8.2130544397325936E-2"/>
  </r>
  <r>
    <x v="0"/>
    <n v="1000"/>
    <n v="25"/>
    <x v="2"/>
    <n v="14.895308572362586"/>
    <n v="8.4948311042311389"/>
    <n v="19.929267021492201"/>
    <n v="0"/>
    <m/>
    <n v="1.2357846993814908E-4"/>
    <n v="1E-8"/>
    <n v="108.58835193319543"/>
    <n v="65.15301065317162"/>
    <n v="-1.9287859048669606E-3"/>
    <m/>
    <m/>
    <m/>
    <m/>
    <m/>
    <m/>
    <m/>
    <m/>
    <m/>
    <m/>
    <m/>
    <s v="-"/>
    <m/>
    <m/>
    <m/>
    <m/>
    <m/>
    <m/>
    <m/>
    <m/>
    <m/>
    <m/>
    <m/>
    <n v="209.81195526099941"/>
    <n v="0.4262490484507086"/>
    <n v="0.28557618299572224"/>
    <n v="247.84120854859347"/>
    <n v="210.77634821343287"/>
    <x v="0"/>
    <n v="0"/>
    <n v="0"/>
    <n v="0"/>
    <n v="0"/>
    <n v="0"/>
    <x v="0"/>
    <n v="1.2372080505545618E-4"/>
    <n v="1E-8"/>
    <n v="210.77634821343287"/>
    <n v="1.2372080505545618E-4"/>
    <n v="79.068096368380608"/>
    <n v="209.31564333704833"/>
    <n v="128563.76547009245"/>
    <n v="105.30151546857034"/>
    <n v="298046.33879344998"/>
    <x v="1"/>
    <n v="5.1009681829588971E-6"/>
    <n v="2485637.6547009246"/>
    <n v="0.11990739608799149"/>
  </r>
  <r>
    <x v="0"/>
    <n v="1000"/>
    <n v="25"/>
    <x v="0"/>
    <n v="17.487825506415142"/>
    <n v="6.5591342643231512"/>
    <n v="21.501043429893084"/>
    <n v="0"/>
    <m/>
    <n v="1.414799907983939E-4"/>
    <n v="1E-8"/>
    <n v="106.43809943367597"/>
    <n v="63.862859163494441"/>
    <n v="-2.5681416576789403E-3"/>
    <m/>
    <m/>
    <m/>
    <m/>
    <m/>
    <m/>
    <m/>
    <m/>
    <m/>
    <m/>
    <m/>
    <s v="-"/>
    <m/>
    <m/>
    <m/>
    <m/>
    <m/>
    <m/>
    <m/>
    <m/>
    <m/>
    <m/>
    <m/>
    <n v="293.22477184560705"/>
    <n v="0.30506120717862145"/>
    <n v="0.2821750101070446"/>
    <n v="338.02489632309732"/>
    <n v="294.5088426744465"/>
    <x v="0"/>
    <n v="0"/>
    <n v="0"/>
    <n v="0"/>
    <n v="0"/>
    <n v="0"/>
    <x v="0"/>
    <n v="1.4163006955142894E-4"/>
    <n v="1E-8"/>
    <n v="294.5088426744465"/>
    <n v="1.4163006955142894E-4"/>
    <n v="67.164049054273548"/>
    <n v="202.70035915881064"/>
    <n v="115946.31632069063"/>
    <n v="90.75995736773676"/>
    <n v="339437.03262370336"/>
    <x v="1"/>
    <n v="6.2209197452461316E-6"/>
    <n v="2359463.1632069061"/>
    <n v="0.14386197585825053"/>
  </r>
  <r>
    <x v="0"/>
    <n v="1000"/>
    <n v="25"/>
    <x v="3"/>
    <n v="19.211640078434101"/>
    <n v="5.2840189217663713"/>
    <n v="22.55268420165936"/>
    <n v="0"/>
    <m/>
    <n v="1.6086138127306758E-4"/>
    <n v="1E-8"/>
    <n v="105.03041176216291"/>
    <n v="63.018246567155828"/>
    <n v="-3.1926064296577943E-3"/>
    <m/>
    <m/>
    <m/>
    <m/>
    <m/>
    <m/>
    <m/>
    <m/>
    <m/>
    <m/>
    <m/>
    <s v="-"/>
    <m/>
    <m/>
    <m/>
    <m/>
    <m/>
    <m/>
    <m/>
    <m/>
    <m/>
    <m/>
    <m/>
    <n v="381.86295202049263"/>
    <n v="0.23429667504401044"/>
    <n v="0.27950187002867688"/>
    <n v="431.26471720399229"/>
    <n v="383.45925523532145"/>
    <x v="0"/>
    <n v="0"/>
    <n v="0"/>
    <n v="0"/>
    <n v="0"/>
    <n v="0"/>
    <x v="0"/>
    <n v="1.6101733668706395E-4"/>
    <n v="1E-8"/>
    <n v="383.45925523532145"/>
    <n v="1.6101733668706395E-4"/>
    <n v="59.338664630003741"/>
    <n v="198.47774244582911"/>
    <n v="107746.55588554156"/>
    <n v="81.136122490999426"/>
    <n v="362863.04527770181"/>
    <x v="1"/>
    <n v="7.0120962371234415E-6"/>
    <n v="2277465.5588554153"/>
    <n v="0.15932756649899271"/>
  </r>
  <r>
    <x v="0"/>
    <n v="1000"/>
    <n v="25"/>
    <x v="4"/>
    <n v="20.422457251259772"/>
    <n v="4.4020141209307493"/>
    <n v="23.298847958740048"/>
    <n v="0"/>
    <m/>
    <n v="1.8076713598229714E-4"/>
    <n v="1E-8"/>
    <n v="104.06819300114367"/>
    <n v="62.44091531503463"/>
    <n v="-3.8032735669090781E-3"/>
    <m/>
    <m/>
    <m/>
    <m/>
    <m/>
    <m/>
    <m/>
    <m/>
    <m/>
    <m/>
    <m/>
    <s v="-"/>
    <m/>
    <m/>
    <m/>
    <m/>
    <m/>
    <m/>
    <m/>
    <m/>
    <m/>
    <m/>
    <m/>
    <n v="473.61793088698664"/>
    <n v="0.18893698644354778"/>
    <n v="0.27724610372951819"/>
    <n v="526.33816318232573"/>
    <n v="475.51956767044129"/>
    <x v="0"/>
    <n v="0"/>
    <n v="0"/>
    <n v="0"/>
    <n v="0"/>
    <n v="0"/>
    <x v="0"/>
    <n v="1.8092792618876958E-4"/>
    <n v="1E-8"/>
    <n v="475.51956767044129"/>
    <n v="1.8092792618876958E-4"/>
    <n v="53.944537700595639"/>
    <n v="195.63853350398844"/>
    <n v="102178.51469093202"/>
    <n v="74.514925301972397"/>
    <n v="377306.63692217821"/>
    <x v="1"/>
    <n v="7.5897906286516437E-6"/>
    <n v="2221785.1469093203"/>
    <n v="0.16982138774626418"/>
  </r>
  <r>
    <x v="0"/>
    <n v="1000"/>
    <n v="25"/>
    <x v="5"/>
    <n v="21.011492411996567"/>
    <n v="3.7943701052444232"/>
    <n v="23.567256543861365"/>
    <n v="0"/>
    <m/>
    <n v="4.1154176007775795E-2"/>
    <n v="1E-8"/>
    <n v="103.99606970957132"/>
    <n v="62.397641340427796"/>
    <n v="-0.55378851064803236"/>
    <m/>
    <m/>
    <m/>
    <m/>
    <m/>
    <m/>
    <m/>
    <m/>
    <m/>
    <m/>
    <m/>
    <s v="-"/>
    <m/>
    <m/>
    <m/>
    <m/>
    <m/>
    <m/>
    <m/>
    <m/>
    <m/>
    <m/>
    <m/>
    <n v="296.48028314545581"/>
    <n v="0.16100177371866198"/>
    <n v="0.28263559650042303"/>
    <n v="625.65871860388575"/>
    <n v="573.3745384694721"/>
    <x v="0"/>
    <n v="0"/>
    <n v="0"/>
    <n v="0"/>
    <n v="0"/>
    <n v="0"/>
    <x v="0"/>
    <n v="5.0000010000000004E-2"/>
    <n v="1E-8"/>
    <n v="573.3745384694721"/>
    <n v="5.0000010000000004E-2"/>
    <n v="49.960114570536255"/>
    <n v="195.42722674161695"/>
    <n v="97725.360527929995"/>
    <n v="68.004404955417499"/>
    <n v="378926.98734181939"/>
    <x v="1"/>
    <n v="7.9506994764167904E-6"/>
    <n v="2177253.6052792999"/>
    <n v="0.1740389757183157"/>
  </r>
  <r>
    <x v="0"/>
    <n v="1000"/>
    <n v="25"/>
    <x v="6"/>
    <n v="21.981348357335822"/>
    <n v="3.2781974506978022"/>
    <n v="24.265807001333837"/>
    <n v="0"/>
    <m/>
    <n v="2.2119660243054604E-4"/>
    <n v="1E-8"/>
    <n v="102.84132158906448"/>
    <n v="61.704792473512526"/>
    <n v="-4.9941148966121274E-3"/>
    <m/>
    <m/>
    <m/>
    <m/>
    <m/>
    <m/>
    <m/>
    <m/>
    <m/>
    <m/>
    <m/>
    <s v="-"/>
    <m/>
    <m/>
    <m/>
    <m/>
    <m/>
    <m/>
    <m/>
    <m/>
    <m/>
    <m/>
    <m/>
    <n v="662.53880256364391"/>
    <n v="0.1350953401433386"/>
    <n v="0.27385405959184128"/>
    <n v="719.73334852111611"/>
    <n v="665.03586001194981"/>
    <x v="0"/>
    <n v="0"/>
    <n v="0"/>
    <n v="0"/>
    <n v="0"/>
    <n v="0"/>
    <x v="0"/>
    <n v="2.2136456279705163E-4"/>
    <n v="1E-8"/>
    <n v="665.03586001194981"/>
    <n v="2.2136456279705163E-4"/>
    <n v="47.087773944113906"/>
    <n v="192.07207551204721"/>
    <n v="95162.336777988225"/>
    <n v="66.071891947597564"/>
    <n v="393072.06219042826"/>
    <x v="1"/>
    <n v="8.3660210929714069E-6"/>
    <n v="2151623.3677798822"/>
    <n v="0.18268627682548982"/>
  </r>
  <r>
    <x v="0"/>
    <n v="1000"/>
    <n v="25"/>
    <x v="7"/>
    <n v="22.513777327458939"/>
    <n v="2.9029020754809731"/>
    <n v="24.600819439467458"/>
    <n v="0"/>
    <m/>
    <n v="2.4139924725057193E-4"/>
    <n v="1E-8"/>
    <n v="102.46192452512211"/>
    <n v="61.477154236917613"/>
    <n v="-5.5773101046949309E-3"/>
    <m/>
    <m/>
    <m/>
    <m/>
    <m/>
    <m/>
    <m/>
    <m/>
    <m/>
    <m/>
    <m/>
    <s v="-"/>
    <m/>
    <m/>
    <m/>
    <m/>
    <m/>
    <m/>
    <m/>
    <m/>
    <m/>
    <m/>
    <m/>
    <n v="758.59342199497621"/>
    <n v="0.11800021875790871"/>
    <n v="0.27257839730826228"/>
    <n v="817.4043961304908"/>
    <n v="761.38207704732372"/>
    <x v="0"/>
    <n v="0"/>
    <n v="0"/>
    <n v="0"/>
    <n v="0"/>
    <n v="0"/>
    <x v="0"/>
    <n v="2.4156979995497291E-4"/>
    <n v="1E-8"/>
    <n v="761.38207704732372"/>
    <n v="2.4156979995497291E-4"/>
    <n v="44.810076425500036"/>
    <n v="190.98107072635517"/>
    <n v="92876.104595713623"/>
    <n v="63.255358980858105"/>
    <n v="397898.38734720467"/>
    <x v="1"/>
    <n v="8.6370007920549546E-6"/>
    <n v="2128761.045957136"/>
    <n v="0.1869154774806118"/>
  </r>
  <r>
    <x v="0"/>
    <n v="1000"/>
    <n v="25"/>
    <x v="8"/>
    <n v="22.949300279968192"/>
    <n v="2.6040999007664074"/>
    <n v="24.879460366772371"/>
    <n v="0"/>
    <m/>
    <n v="2.6153766629593065E-4"/>
    <n v="1E-8"/>
    <n v="102.19339969320043"/>
    <n v="61.316039339017728"/>
    <n v="-6.1553752576681137E-3"/>
    <m/>
    <m/>
    <m/>
    <m/>
    <m/>
    <m/>
    <m/>
    <m/>
    <m/>
    <m/>
    <m/>
    <s v="-"/>
    <m/>
    <m/>
    <m/>
    <m/>
    <m/>
    <m/>
    <m/>
    <m/>
    <m/>
    <m/>
    <m/>
    <n v="855.28099825525919"/>
    <n v="0.10466866492989932"/>
    <n v="0.27147603388431935"/>
    <n v="915.46472831650658"/>
    <n v="858.35868588409335"/>
    <x v="0"/>
    <n v="0"/>
    <n v="0"/>
    <n v="0"/>
    <n v="0"/>
    <n v="0"/>
    <x v="0"/>
    <n v="2.617104748059179E-4"/>
    <n v="1E-8"/>
    <n v="858.35868588409335"/>
    <n v="2.617104748059179E-4"/>
    <n v="43.008533388910202"/>
    <n v="190.21222724034723"/>
    <n v="91112.179050090301"/>
    <n v="61.031827328042574"/>
    <n v="401843.90519402933"/>
    <x v="1"/>
    <n v="8.8577333240979501E-6"/>
    <n v="2111121.790500903"/>
    <n v="0.19034615009050918"/>
  </r>
  <r>
    <x v="0"/>
    <n v="1000"/>
    <n v="25"/>
    <x v="9"/>
    <n v="23.30169788086701"/>
    <n v="2.3594470042022277"/>
    <n v="25.103240449680012"/>
    <n v="0"/>
    <m/>
    <n v="2.8143129073301059E-4"/>
    <n v="1E-8"/>
    <n v="101.95329120716468"/>
    <n v="61.17197424851679"/>
    <n v="-6.7217833440534752E-3"/>
    <m/>
    <m/>
    <m/>
    <m/>
    <m/>
    <m/>
    <m/>
    <m/>
    <m/>
    <m/>
    <m/>
    <s v="-"/>
    <m/>
    <m/>
    <m/>
    <m/>
    <m/>
    <m/>
    <m/>
    <m/>
    <m/>
    <m/>
    <m/>
    <n v="952.52285809098601"/>
    <n v="9.3989738453559027E-2"/>
    <n v="0.27053064035863544"/>
    <n v="1013.8666960238717"/>
    <n v="955.88374976301282"/>
    <x v="0"/>
    <n v="0"/>
    <n v="0"/>
    <n v="0"/>
    <n v="0"/>
    <n v="0"/>
    <x v="0"/>
    <n v="2.8160571891731276E-4"/>
    <n v="1E-8"/>
    <n v="955.88374976301282"/>
    <n v="2.8160571891731276E-4"/>
    <n v="41.529102860924276"/>
    <n v="189.527066844849"/>
    <n v="89644.044400924977"/>
    <n v="59.20055983990477"/>
    <n v="404694.5297829294"/>
    <x v="1"/>
    <n v="9.040940883167003E-6"/>
    <n v="2096440.4440092498"/>
    <n v="0.19303888690917845"/>
  </r>
  <r>
    <x v="0"/>
    <n v="1000"/>
    <n v="25"/>
    <x v="0"/>
    <n v="17.484493958374784"/>
    <n v="6.556874418778361"/>
    <n v="21.496369129538813"/>
    <n v="0"/>
    <m/>
    <n v="1.4159096822097763E-4"/>
    <n v="1E-8"/>
    <n v="106.42934112119124"/>
    <n v="63.857604176044489"/>
    <n v="-2.5696522474064382E-3"/>
    <m/>
    <m/>
    <m/>
    <m/>
    <m/>
    <m/>
    <m/>
    <m/>
    <m/>
    <m/>
    <m/>
    <s v="-"/>
    <m/>
    <m/>
    <m/>
    <m/>
    <m/>
    <m/>
    <m/>
    <m/>
    <m/>
    <m/>
    <m/>
    <n v="293.26147217468929"/>
    <n v="0.30502241468157343"/>
    <n v="0.28225359418886026"/>
    <n v="338.05395460553234"/>
    <n v="294.54629829839251"/>
    <x v="0"/>
    <n v="0"/>
    <n v="0"/>
    <n v="0"/>
    <n v="0"/>
    <n v="0"/>
    <x v="0"/>
    <n v="1.4174103062886758E-4"/>
    <n v="1E-8"/>
    <n v="294.54629829839251"/>
    <n v="1.4174103062886758E-4"/>
    <n v="67.143642289836194"/>
    <n v="202.67382793157807"/>
    <n v="115895.83674739198"/>
    <n v="90.701356778360449"/>
    <n v="339265.73155180516"/>
    <x v="2"/>
    <n v="6.2213235500244065E-6"/>
    <n v="2358958.3674739199"/>
    <n v="0.14382014376756735"/>
  </r>
  <r>
    <x v="0"/>
    <n v="1000"/>
    <n v="25"/>
    <x v="0"/>
    <n v="16.914194497801351"/>
    <n v="6.2451530063509102"/>
    <n v="20.730996554842569"/>
    <n v="0"/>
    <m/>
    <n v="1.3718498812574761E-4"/>
    <n v="1E-8"/>
    <n v="102.60785302406913"/>
    <n v="61.564711335604827"/>
    <n v="-2.4071358949912303E-3"/>
    <m/>
    <m/>
    <m/>
    <m/>
    <m/>
    <m/>
    <m/>
    <m/>
    <m/>
    <m/>
    <m/>
    <s v="-"/>
    <m/>
    <m/>
    <m/>
    <m/>
    <m/>
    <m/>
    <m/>
    <m/>
    <m/>
    <m/>
    <m/>
    <n v="297.0340292586784"/>
    <n v="0.30124711997465942"/>
    <n v="0.28344487845713873"/>
    <n v="340.32633579456598"/>
    <n v="298.23759720617409"/>
    <x v="0"/>
    <n v="0"/>
    <n v="0"/>
    <n v="0"/>
    <n v="0"/>
    <n v="0"/>
    <x v="1"/>
    <n v="1.3731627201743165E-4"/>
    <n v="1E-8"/>
    <n v="298.23759720617409"/>
    <n v="1.3731627201743165E-4"/>
    <n v="64.208145465184231"/>
    <n v="191.40005139767325"/>
    <n v="108519.05314830311"/>
    <n v="86.290170148632498"/>
    <n v="387813.1671617495"/>
    <x v="2"/>
    <n v="6.0600792614975843E-6"/>
    <n v="2285190.5314830309"/>
    <n v="0.1697071477493251"/>
  </r>
  <r>
    <x v="0"/>
    <n v="1000"/>
    <n v="25"/>
    <x v="0"/>
    <n v="14.761627359713211"/>
    <n v="5.1542264754594624"/>
    <n v="17.902406510728422"/>
    <n v="0"/>
    <m/>
    <n v="1.2518080655104797E-4"/>
    <n v="1E-8"/>
    <n v="88.661088134099529"/>
    <n v="53.196652466707967"/>
    <n v="-1.9134320653461853E-3"/>
    <m/>
    <m/>
    <m/>
    <m/>
    <m/>
    <m/>
    <m/>
    <m/>
    <m/>
    <m/>
    <m/>
    <s v="-"/>
    <m/>
    <m/>
    <m/>
    <m/>
    <m/>
    <m/>
    <m/>
    <m/>
    <m/>
    <m/>
    <m/>
    <n v="311.09971446878325"/>
    <n v="0.28790690639108635"/>
    <n v="0.28824896783648496"/>
    <n v="348.78862023163583"/>
    <n v="312.0564305014563"/>
    <x v="0"/>
    <n v="0"/>
    <n v="0"/>
    <n v="0"/>
    <n v="0"/>
    <n v="0"/>
    <x v="2"/>
    <n v="1.2526341610124355E-4"/>
    <n v="1E-8"/>
    <n v="312.0564305014563"/>
    <n v="1.2526341610124355E-4"/>
    <n v="53.784805606969897"/>
    <n v="154.62691974024813"/>
    <n v="84277.381914008321"/>
    <n v="70.839445573943465"/>
    <n v="508483.5682066881"/>
    <x v="2"/>
    <n v="5.4930104739405707E-6"/>
    <n v="2042773.8191400832"/>
    <n v="0.24891819321472264"/>
  </r>
  <r>
    <x v="0"/>
    <n v="1000"/>
    <n v="25"/>
    <x v="0"/>
    <n v="12.773867309454866"/>
    <n v="4.2546012366480381"/>
    <n v="15.362130944000423"/>
    <n v="0"/>
    <m/>
    <n v="1.1661055127082423E-4"/>
    <n v="1E-8"/>
    <n v="76.037703793537645"/>
    <n v="45.622621921279972"/>
    <n v="-1.5402647325750338E-3"/>
    <m/>
    <m/>
    <m/>
    <m/>
    <m/>
    <m/>
    <m/>
    <m/>
    <m/>
    <m/>
    <m/>
    <s v="-"/>
    <m/>
    <m/>
    <m/>
    <m/>
    <m/>
    <m/>
    <m/>
    <m/>
    <m/>
    <m/>
    <m/>
    <n v="323.62757201587652"/>
    <n v="0.27695384528079708"/>
    <n v="0.29153285857492467"/>
    <n v="356.18378191776981"/>
    <n v="324.39770438216402"/>
    <x v="0"/>
    <n v="0"/>
    <n v="0"/>
    <n v="0"/>
    <n v="0"/>
    <n v="0"/>
    <x v="3"/>
    <n v="1.1666613826943817E-4"/>
    <n v="1E-8"/>
    <n v="324.39770438216402"/>
    <n v="1.1666613826943817E-4"/>
    <n v="44.981570556417402"/>
    <n v="125.91726242339196"/>
    <n v="65930.663221125404"/>
    <n v="58.467944065223314"/>
    <n v="575757.92319111875"/>
    <x v="2"/>
    <n v="4.9354615017859242E-6"/>
    <n v="1859306.632211254"/>
    <n v="0.3096627060951081"/>
  </r>
  <r>
    <x v="0"/>
    <n v="1000"/>
    <n v="25"/>
    <x v="0"/>
    <n v="11.678270632037213"/>
    <n v="3.7950687555331579"/>
    <n v="13.985637751158075"/>
    <n v="0"/>
    <m/>
    <n v="1.1271716622898781E-4"/>
    <n v="1E-8"/>
    <n v="69.1880347418182"/>
    <n v="41.512820522213417"/>
    <n v="-1.3602255321979286E-3"/>
    <m/>
    <m/>
    <m/>
    <m/>
    <m/>
    <m/>
    <m/>
    <m/>
    <m/>
    <m/>
    <m/>
    <s v="-"/>
    <m/>
    <m/>
    <m/>
    <m/>
    <m/>
    <m/>
    <m/>
    <m/>
    <m/>
    <m/>
    <m/>
    <n v="330.41119408558012"/>
    <n v="0.27135471567743907"/>
    <n v="0.2930636225479164"/>
    <n v="360.15107391867514"/>
    <n v="331.09130685167906"/>
    <x v="0"/>
    <n v="0"/>
    <n v="0"/>
    <n v="0"/>
    <n v="0"/>
    <n v="0"/>
    <x v="4"/>
    <n v="1.1276212985539003E-4"/>
    <n v="1E-8"/>
    <n v="331.09130685167906"/>
    <n v="1.1276212985539003E-4"/>
    <n v="40.405930432970237"/>
    <n v="111.72622087967159"/>
    <n v="57107.973056322022"/>
    <n v="52.206875662041675"/>
    <n v="601282.29967061605"/>
    <x v="2"/>
    <n v="4.604356198704136E-6"/>
    <n v="1771079.7305632201"/>
    <n v="0.33950041282410398"/>
  </r>
  <r>
    <x v="0"/>
    <n v="1000"/>
    <n v="25"/>
    <x v="0"/>
    <n v="10.318288296247152"/>
    <n v="3.2558928837218364"/>
    <n v="12.296955574777551"/>
    <n v="0"/>
    <m/>
    <n v="1.0863881034346567E-4"/>
    <n v="1E-8"/>
    <n v="60.790878609443233"/>
    <n v="36.474526881975166"/>
    <n v="-1.1574556708343585E-3"/>
    <m/>
    <m/>
    <m/>
    <m/>
    <m/>
    <m/>
    <m/>
    <m/>
    <m/>
    <m/>
    <m/>
    <s v="-"/>
    <m/>
    <m/>
    <m/>
    <m/>
    <m/>
    <m/>
    <m/>
    <m/>
    <m/>
    <m/>
    <m/>
    <n v="338.74374723601363"/>
    <n v="0.26477227342351645"/>
    <n v="0.29479261229835224"/>
    <n v="364.99814491346797"/>
    <n v="339.3224750714308"/>
    <x v="0"/>
    <n v="0"/>
    <n v="0"/>
    <n v="0"/>
    <n v="0"/>
    <n v="0"/>
    <x v="5"/>
    <n v="1.0867343656247898E-4"/>
    <n v="1E-8"/>
    <n v="339.3224750714308"/>
    <n v="1.0867343656247898E-4"/>
    <n v="34.963644517656313"/>
    <n v="95.412021750304319"/>
    <n v="47226.876141682435"/>
    <n v="44.876312917487738"/>
    <n v="623491.18776609562"/>
    <x v="2"/>
    <n v="4.1677588092453288E-6"/>
    <n v="1672268.7614168243"/>
    <n v="0.37284149662512667"/>
  </r>
  <r>
    <x v="0"/>
    <n v="1000"/>
    <n v="25"/>
    <x v="0"/>
    <n v="8.5677728319564519"/>
    <n v="2.607497787489621"/>
    <n v="10.152012513946611"/>
    <n v="0"/>
    <m/>
    <n v="1.0415487304361392E-4"/>
    <n v="1E-8"/>
    <n v="50.115287354890484"/>
    <n v="30.069172179062946"/>
    <n v="-9.2061508532417574E-4"/>
    <m/>
    <m/>
    <m/>
    <m/>
    <m/>
    <m/>
    <m/>
    <m/>
    <m/>
    <m/>
    <m/>
    <s v="-"/>
    <m/>
    <m/>
    <m/>
    <m/>
    <m/>
    <m/>
    <m/>
    <m/>
    <m/>
    <m/>
    <m/>
    <n v="349.33445684094858"/>
    <n v="0.25684540714538107"/>
    <n v="0.29661113189328464"/>
    <n v="371.11445960484389"/>
    <n v="349.79476438361064"/>
    <x v="0"/>
    <n v="0"/>
    <n v="0"/>
    <n v="0"/>
    <n v="0"/>
    <n v="0"/>
    <x v="6"/>
    <n v="1.0417942797058918E-4"/>
    <n v="1E-8"/>
    <n v="349.79476438361064"/>
    <n v="1.0417942797058918E-4"/>
    <n v="28.304741559730225"/>
    <n v="76.114198150913282"/>
    <n v="36030.377665143533"/>
    <n v="36.082117147226171"/>
    <n v="639888.05151914188"/>
    <x v="2"/>
    <n v="3.5583806566493128E-6"/>
    <n v="1560303.7766514353"/>
    <n v="0.41010478926892319"/>
  </r>
  <r>
    <x v="0"/>
    <n v="1000"/>
    <n v="25"/>
    <x v="0"/>
    <n v="7.4078983003280312"/>
    <n v="2.2024587395686273"/>
    <n v="8.7463898196504779"/>
    <n v="0"/>
    <m/>
    <n v="1.1965422599484838E-4"/>
    <n v="1E-8"/>
    <n v="43.276039978221171"/>
    <n v="25.965623784977847"/>
    <n v="-9.1384332072696681E-4"/>
    <m/>
    <m/>
    <m/>
    <m/>
    <m/>
    <m/>
    <m/>
    <m/>
    <m/>
    <m/>
    <m/>
    <s v="-"/>
    <m/>
    <m/>
    <m/>
    <m/>
    <m/>
    <m/>
    <m/>
    <m/>
    <m/>
    <m/>
    <m/>
    <n v="356.32773108540783"/>
    <n v="0.25181346646823038"/>
    <n v="0.29892429326919995"/>
    <n v="375.21814564045235"/>
    <n v="356.78465274577144"/>
    <x v="0"/>
    <n v="0"/>
    <n v="0"/>
    <n v="0"/>
    <n v="0"/>
    <n v="0"/>
    <x v="7"/>
    <n v="1.196804224543265E-4"/>
    <n v="1E-8"/>
    <n v="356.78465274577144"/>
    <n v="1.196804224543265E-4"/>
    <n v="24.079341168592816"/>
    <n v="64.468158373312818"/>
    <n v="29440.476314371852"/>
    <n v="30.436701441940627"/>
    <n v="631690.56357253401"/>
    <x v="2"/>
    <n v="3.1456210929389626E-6"/>
    <n v="1494404.7631437185"/>
    <n v="0.42270379428105698"/>
  </r>
  <r>
    <x v="0"/>
    <n v="1000"/>
    <n v="25"/>
    <x v="0"/>
    <n v="6.0517087383109045"/>
    <n v="1.762793101566303"/>
    <n v="7.12254971159369"/>
    <n v="0"/>
    <m/>
    <n v="2.4093654874305218E-2"/>
    <n v="1E-8"/>
    <n v="35.164229183050878"/>
    <n v="21.098537345730787"/>
    <n v="-0.12856341562169848"/>
    <m/>
    <m/>
    <m/>
    <m/>
    <m/>
    <m/>
    <m/>
    <m/>
    <m/>
    <m/>
    <m/>
    <s v="-"/>
    <m/>
    <m/>
    <m/>
    <m/>
    <m/>
    <m/>
    <m/>
    <m/>
    <m/>
    <m/>
    <m/>
    <n v="300.4400840506861"/>
    <n v="0.24749467156360122"/>
    <n v="0.29930226886390127"/>
    <n v="379.78061188349113"/>
    <n v="364.72179186153534"/>
    <x v="0"/>
    <n v="0"/>
    <n v="0"/>
    <n v="0"/>
    <n v="0"/>
    <n v="0"/>
    <x v="8"/>
    <n v="2.5000010000000003E-2"/>
    <n v="1E-8"/>
    <n v="364.72179186153534"/>
    <n v="2.5000010000000003E-2"/>
    <n v="19.393469023292365"/>
    <n v="51.274678330990355"/>
    <n v="22585.044508372557"/>
    <n v="24.503090668863369"/>
    <n v="631582.76507823449"/>
    <x v="2"/>
    <n v="2.5981321999534281E-6"/>
    <n v="1425850.4450837255"/>
    <n v="0.44295162038620967"/>
  </r>
  <r>
    <x v="0"/>
    <n v="1000"/>
    <n v="25"/>
    <x v="0"/>
    <n v="4.1811245312597096"/>
    <n v="1.1700394077136027"/>
    <n v="4.8925292902507396"/>
    <n v="0"/>
    <m/>
    <n v="6.8660577264251533E-5"/>
    <n v="1E-8"/>
    <n v="24.068204235681321"/>
    <n v="14.440922429090504"/>
    <n v="-2.9566581170990564E-4"/>
    <m/>
    <m/>
    <m/>
    <m/>
    <m/>
    <m/>
    <m/>
    <m/>
    <m/>
    <m/>
    <m/>
    <s v="-"/>
    <m/>
    <m/>
    <m/>
    <m/>
    <m/>
    <m/>
    <m/>
    <m/>
    <m/>
    <m/>
    <m/>
    <n v="375.53210592399222"/>
    <n v="0.23914816617350057"/>
    <n v="0.30045593098118023"/>
    <n v="386.08406724538378"/>
    <n v="375.67993882984717"/>
    <x v="0"/>
    <n v="0"/>
    <n v="0"/>
    <n v="0"/>
    <n v="0"/>
    <n v="0"/>
    <x v="9"/>
    <n v="6.8664988677537265E-5"/>
    <n v="1E-8"/>
    <n v="375.67993882984717"/>
    <n v="6.8664988677537265E-5"/>
    <n v="13.038042774605703"/>
    <n v="34.163693672063602"/>
    <n v="14146.431397201302"/>
    <n v="16.390328381627729"/>
    <n v="600265.7147311758"/>
    <x v="2"/>
    <n v="1.8090334255463743E-6"/>
    <n v="1341464.3139720131"/>
    <n v="0.44747050553571349"/>
  </r>
  <r>
    <x v="0"/>
    <n v="1000"/>
    <n v="25"/>
    <x v="0"/>
    <n v="17.483593708781971"/>
    <n v="6.5562662527722146"/>
    <n v="21.49510733157139"/>
    <n v="0"/>
    <m/>
    <n v="1.4158167869399605E-4"/>
    <n v="1E-8"/>
    <n v="106.42693674249958"/>
    <n v="63.85616154884071"/>
    <n v="-2.5693502361308984E-3"/>
    <m/>
    <m/>
    <m/>
    <m/>
    <m/>
    <m/>
    <m/>
    <m/>
    <m/>
    <m/>
    <m/>
    <s v="-"/>
    <m/>
    <m/>
    <m/>
    <m/>
    <m/>
    <m/>
    <m/>
    <m/>
    <m/>
    <m/>
    <m/>
    <n v="293.27165461908197"/>
    <n v="0.30501202676678713"/>
    <n v="0.28227458180777776"/>
    <n v="338.06174967362847"/>
    <n v="294.55632973714739"/>
    <x v="0"/>
    <n v="0"/>
    <n v="0"/>
    <n v="0"/>
    <n v="0"/>
    <n v="0"/>
    <x v="0"/>
    <n v="1.4173165401338739E-4"/>
    <n v="1E-8"/>
    <n v="294.55632973714739"/>
    <n v="1.4173165401338739E-4"/>
    <n v="67.138146596654735"/>
    <n v="202.66654501261826"/>
    <n v="115882.24276495221"/>
    <n v="90.685653548705403"/>
    <n v="339219.53366210632"/>
    <x v="3"/>
    <n v="6.2214313595468049E-6"/>
    <n v="2358822.4276495222"/>
    <n v="0.14380884702716931"/>
  </r>
  <r>
    <x v="1"/>
    <n v="1000"/>
    <n v="25"/>
    <x v="0"/>
    <n v="17.326316347779798"/>
    <n v="6.6795936581628457"/>
    <n v="21.40311088549138"/>
    <n v="0"/>
    <m/>
    <n v="1.4010516198855504E-4"/>
    <n v="1E-8"/>
    <n v="106.58867788658982"/>
    <n v="63.953206234540062"/>
    <n v="-2.5209622527742606E-3"/>
    <m/>
    <m/>
    <m/>
    <m/>
    <m/>
    <m/>
    <m/>
    <m/>
    <m/>
    <m/>
    <m/>
    <s v="-"/>
    <m/>
    <m/>
    <m/>
    <m/>
    <m/>
    <m/>
    <m/>
    <m/>
    <m/>
    <m/>
    <m/>
    <n v="286.61997336442511"/>
    <n v="0.31208517742580921"/>
    <n v="0.25108706901328059"/>
    <n v="330.99478831837666"/>
    <n v="287.88045449081221"/>
    <x v="0"/>
    <n v="0"/>
    <n v="0"/>
    <n v="0"/>
    <n v="0"/>
    <n v="0"/>
    <x v="0"/>
    <n v="1.4025469986737505E-4"/>
    <n v="1E-8"/>
    <n v="287.88045449081221"/>
    <n v="1.4025469986737505E-4"/>
    <n v="67.904723839439754"/>
    <n v="203.157015768794"/>
    <n v="116728.80927887559"/>
    <n v="91.642067683270056"/>
    <n v="337074.60581218929"/>
    <x v="3"/>
    <n v="6.1486361773698223E-6"/>
    <n v="2367288.0927887559"/>
    <n v="0.14238850220173352"/>
  </r>
  <r>
    <x v="2"/>
    <n v="1000"/>
    <n v="25"/>
    <x v="0"/>
    <n v="17.118137211371469"/>
    <n v="6.8391896774219978"/>
    <n v="21.279192963041417"/>
    <n v="0"/>
    <m/>
    <n v="1.3819995482627852E-4"/>
    <n v="1E-8"/>
    <n v="106.76010668744635"/>
    <n v="64.056063514253978"/>
    <n v="-2.458456962759854E-3"/>
    <m/>
    <m/>
    <m/>
    <m/>
    <m/>
    <m/>
    <m/>
    <m/>
    <m/>
    <m/>
    <m/>
    <s v="-"/>
    <m/>
    <m/>
    <m/>
    <m/>
    <m/>
    <m/>
    <m/>
    <m/>
    <m/>
    <m/>
    <m/>
    <n v="278.30553374916616"/>
    <n v="0.32140268145040018"/>
    <n v="0.21983242136216868"/>
    <n v="322.13097092184711"/>
    <n v="279.53476223054605"/>
    <x v="0"/>
    <n v="0"/>
    <n v="0"/>
    <n v="0"/>
    <n v="0"/>
    <n v="0"/>
    <x v="0"/>
    <n v="1.3834898209834503E-4"/>
    <n v="1E-8"/>
    <n v="279.53476223054605"/>
    <n v="1.3834898209834503E-4"/>
    <n v="68.891872371406222"/>
    <n v="203.67809344217576"/>
    <n v="117799.39288859554"/>
    <n v="92.906271741404382"/>
    <n v="334092.38807569986"/>
    <x v="3"/>
    <n v="6.0543095786391563E-6"/>
    <n v="2377993.9288859554"/>
    <n v="0.14049337301387296"/>
  </r>
  <r>
    <x v="3"/>
    <n v="1000"/>
    <n v="25"/>
    <x v="0"/>
    <n v="16.833320031013233"/>
    <n v="7.0519303556525523"/>
    <n v="21.106578708949549"/>
    <n v="0"/>
    <m/>
    <n v="1.3585674973517803E-4"/>
    <n v="1E-8"/>
    <n v="107.00002767336015"/>
    <n v="64.200016104682618"/>
    <n v="-2.3787849408752346E-3"/>
    <m/>
    <m/>
    <m/>
    <m/>
    <m/>
    <m/>
    <m/>
    <m/>
    <m/>
    <m/>
    <m/>
    <s v="-"/>
    <m/>
    <m/>
    <m/>
    <m/>
    <m/>
    <m/>
    <m/>
    <m/>
    <m/>
    <m/>
    <m/>
    <n v="267.71329507187141"/>
    <n v="0.3341105374251116"/>
    <n v="0.18869321312609022"/>
    <n v="310.7900080128228"/>
    <n v="268.90268754230902"/>
    <x v="0"/>
    <n v="0"/>
    <n v="0"/>
    <n v="0"/>
    <n v="0"/>
    <n v="0"/>
    <x v="0"/>
    <n v="1.3600479142683101E-4"/>
    <n v="1E-8"/>
    <n v="268.90268754230902"/>
    <n v="1.3600479142683101E-4"/>
    <n v="70.200304023594455"/>
    <n v="204.40949763089458"/>
    <n v="119185.2312270512"/>
    <n v="94.507902413121442"/>
    <n v="329785.28939295595"/>
    <x v="3"/>
    <n v="5.9284500989779234E-6"/>
    <n v="2391852.3122705119"/>
    <n v="0.13787861721274125"/>
  </r>
  <r>
    <x v="4"/>
    <n v="1000"/>
    <n v="25"/>
    <x v="0"/>
    <n v="16.431199408881604"/>
    <n v="7.3576383303169486"/>
    <n v="20.865857026687014"/>
    <n v="0"/>
    <m/>
    <n v="1.3280965643940406E-4"/>
    <n v="1E-8"/>
    <n v="107.35016560081607"/>
    <n v="64.410098859522193"/>
    <n v="-2.2730453308165972E-3"/>
    <m/>
    <m/>
    <m/>
    <m/>
    <m/>
    <m/>
    <m/>
    <m/>
    <m/>
    <m/>
    <m/>
    <s v="-"/>
    <m/>
    <m/>
    <m/>
    <m/>
    <m/>
    <m/>
    <m/>
    <m/>
    <m/>
    <m/>
    <m/>
    <n v="253.65390211567075"/>
    <n v="0.35261615762566934"/>
    <n v="0.15750383415777039"/>
    <n v="295.67746400114555"/>
    <n v="254.79042478107905"/>
    <x v="0"/>
    <n v="0"/>
    <n v="0"/>
    <n v="0"/>
    <n v="0"/>
    <n v="0"/>
    <x v="0"/>
    <n v="1.329566855373166E-4"/>
    <n v="1E-8"/>
    <n v="254.79042478107905"/>
    <n v="1.329566855373166E-4"/>
    <n v="72.087842662219344"/>
    <n v="205.48140644857173"/>
    <n v="121218.9079552629"/>
    <n v="96.853974610201163"/>
    <n v="323670.18787066976"/>
    <x v="3"/>
    <n v="5.7506545219855859E-6"/>
    <n v="2412189.079552629"/>
    <n v="0.13418110156219532"/>
  </r>
  <r>
    <x v="5"/>
    <n v="1000"/>
    <n v="25"/>
    <x v="0"/>
    <n v="15.809456668146826"/>
    <n v="7.8094456240416124"/>
    <n v="20.481960534377055"/>
    <n v="0"/>
    <m/>
    <n v="1.2886728599602971E-4"/>
    <n v="1E-8"/>
    <n v="107.83610018242719"/>
    <n v="64.701659606221185"/>
    <n v="-2.1268555203533828E-3"/>
    <m/>
    <m/>
    <m/>
    <m/>
    <m/>
    <m/>
    <m/>
    <m/>
    <m/>
    <m/>
    <m/>
    <s v="-"/>
    <m/>
    <m/>
    <m/>
    <m/>
    <m/>
    <m/>
    <m/>
    <m/>
    <m/>
    <m/>
    <m/>
    <n v="234.56985074781929"/>
    <n v="0.38128408708405565"/>
    <n v="0.12644818858836546"/>
    <n v="274.97284979216016"/>
    <n v="235.63327850799601"/>
    <x v="0"/>
    <n v="0"/>
    <n v="0"/>
    <n v="0"/>
    <n v="0"/>
    <n v="0"/>
    <x v="0"/>
    <n v="1.2901223527694882E-4"/>
    <n v="1E-8"/>
    <n v="235.63327850799601"/>
    <n v="1.2901223527694882E-4"/>
    <n v="74.849312386396036"/>
    <n v="206.97799596068711"/>
    <n v="124068.35757778745"/>
    <n v="100.13442572308146"/>
    <n v="313391.87430732662"/>
    <x v="3"/>
    <n v="5.4872832319531567E-6"/>
    <n v="2440683.5757778743"/>
    <n v="0.12840332004424004"/>
  </r>
  <r>
    <x v="6"/>
    <n v="1000"/>
    <n v="25"/>
    <x v="0"/>
    <n v="14.795383185242033"/>
    <n v="8.5982780856185332"/>
    <n v="19.885109006011177"/>
    <n v="0"/>
    <m/>
    <n v="1.2286168506891768E-4"/>
    <n v="1E-8"/>
    <n v="108.82326259593921"/>
    <n v="65.293957049721641"/>
    <n v="-1.9057859326581383E-3"/>
    <m/>
    <m/>
    <m/>
    <m/>
    <m/>
    <m/>
    <m/>
    <m/>
    <m/>
    <m/>
    <m/>
    <s v="-"/>
    <m/>
    <m/>
    <m/>
    <m/>
    <m/>
    <m/>
    <m/>
    <m/>
    <m/>
    <m/>
    <m/>
    <n v="206.8261715079108"/>
    <n v="0.43239783513478919"/>
    <n v="9.5205496194789449E-2"/>
    <n v="244.59528308144277"/>
    <n v="207.77906447423985"/>
    <x v="0"/>
    <n v="0"/>
    <n v="0"/>
    <n v="0"/>
    <n v="0"/>
    <n v="0"/>
    <x v="0"/>
    <n v="1.2300391524968626E-4"/>
    <n v="1E-8"/>
    <n v="207.77906447423985"/>
    <n v="1.2300391524968626E-4"/>
    <n v="79.744109639036324"/>
    <n v="210.05090253131388"/>
    <n v="129465.4869506856"/>
    <n v="106.18380865263804"/>
    <n v="296871.00100385625"/>
    <x v="3"/>
    <n v="5.0504773606458044E-6"/>
    <n v="2494654.869506856"/>
    <n v="0.11900283467369648"/>
  </r>
  <r>
    <x v="7"/>
    <n v="1000"/>
    <n v="25"/>
    <x v="0"/>
    <n v="12.814835520358541"/>
    <n v="9.9711613383816218"/>
    <n v="18.623546891777867"/>
    <n v="0"/>
    <m/>
    <n v="1.1426705878174879E-4"/>
    <n v="1E-8"/>
    <n v="109.79659663111521"/>
    <n v="65.877957466285011"/>
    <n v="-1.5499723586315873E-3"/>
    <m/>
    <m/>
    <m/>
    <m/>
    <m/>
    <m/>
    <m/>
    <m/>
    <m/>
    <m/>
    <m/>
    <s v="-"/>
    <m/>
    <m/>
    <m/>
    <m/>
    <m/>
    <m/>
    <m/>
    <m/>
    <m/>
    <m/>
    <m/>
    <n v="167.02886890700927"/>
    <n v="0.5354061391379642"/>
    <n v="6.39755721193601E-2"/>
    <n v="199.69174020906408"/>
    <n v="167.80385508632503"/>
    <x v="0"/>
    <n v="0"/>
    <n v="0"/>
    <n v="0"/>
    <n v="0"/>
    <n v="0"/>
    <x v="0"/>
    <n v="1.1440137475091376E-4"/>
    <n v="1E-8"/>
    <n v="167.80385508632503"/>
    <n v="1.1440137475091376E-4"/>
    <n v="88.040207754232711"/>
    <n v="213.12462258853327"/>
    <n v="137604.17325022287"/>
    <n v="116.1276583028732"/>
    <n v="265731.86111078283"/>
    <x v="3"/>
    <n v="4.2658122473338249E-6"/>
    <n v="2576041.7325022286"/>
    <n v="0.10315510721663083"/>
  </r>
  <r>
    <x v="8"/>
    <n v="1000"/>
    <n v="25"/>
    <x v="0"/>
    <n v="8.8218739642949568"/>
    <n v="5.5303929600764601"/>
    <n v="12.024499115241914"/>
    <n v="0"/>
    <m/>
    <n v="1.1625308005637296E-4"/>
    <n v="1E-8"/>
    <n v="67.73234642234209"/>
    <n v="40.639407537320977"/>
    <n v="-1.0732482654549718E-3"/>
    <m/>
    <m/>
    <m/>
    <m/>
    <m/>
    <m/>
    <m/>
    <m/>
    <m/>
    <m/>
    <m/>
    <s v="-"/>
    <m/>
    <m/>
    <m/>
    <m/>
    <m/>
    <m/>
    <m/>
    <m/>
    <m/>
    <m/>
    <m/>
    <n v="194.8056289342035"/>
    <n v="0.45992709609552807"/>
    <n v="4.8284652238727716E-2"/>
    <n v="217.29444957627368"/>
    <n v="195.34225306693097"/>
    <x v="0"/>
    <n v="0"/>
    <n v="0"/>
    <n v="0"/>
    <n v="0"/>
    <n v="0"/>
    <x v="0"/>
    <n v="1.1632920585250422E-4"/>
    <n v="1E-8"/>
    <n v="195.34225306693097"/>
    <n v="1.1632920585250422E-4"/>
    <n v="50.525672660677031"/>
    <n v="108.81759680210494"/>
    <n v="64671.651498973362"/>
    <n v="66.153871561386097"/>
    <n v="664632.49676874559"/>
    <x v="3"/>
    <n v="3.1892987763216272E-6"/>
    <n v="1846716.5149897337"/>
    <n v="0.35989957926619853"/>
  </r>
  <r>
    <x v="9"/>
    <n v="1000"/>
    <n v="25"/>
    <x v="0"/>
    <n v="3.2865003841095421"/>
    <n v="1.1223208837331662"/>
    <n v="3.9557443561637617"/>
    <n v="0"/>
    <m/>
    <n v="8.676996520583203E-5"/>
    <n v="1E-8"/>
    <n v="20.290388627413321"/>
    <n v="12.174233081759512"/>
    <n v="-2.9443242709896775E-4"/>
    <m/>
    <m/>
    <m/>
    <m/>
    <m/>
    <m/>
    <m/>
    <m/>
    <m/>
    <m/>
    <m/>
    <s v="-"/>
    <m/>
    <m/>
    <m/>
    <m/>
    <m/>
    <m/>
    <m/>
    <m/>
    <m/>
    <m/>
    <m/>
    <n v="316.5149937429187"/>
    <n v="0.28371926562554234"/>
    <n v="4.3726834491999628E-2"/>
    <n v="324.84019430423558"/>
    <n v="316.66220995646813"/>
    <x v="0"/>
    <n v="0"/>
    <n v="0"/>
    <n v="0"/>
    <n v="0"/>
    <n v="0"/>
    <x v="0"/>
    <n v="8.6776678312171701E-5"/>
    <n v="1E-8"/>
    <n v="316.66220995646813"/>
    <n v="8.6776678312171701E-5"/>
    <n v="11.769053746035445"/>
    <n v="28.554903953960128"/>
    <n v="11976.571355814756"/>
    <n v="14.678508121094492"/>
    <n v="804997.2473949031"/>
    <x v="3"/>
    <n v="1.1699575225493774E-6"/>
    <n v="1319765.7135581477"/>
    <n v="0.6099546602287419"/>
  </r>
  <r>
    <x v="0"/>
    <n v="100"/>
    <n v="25"/>
    <x v="0"/>
    <n v="3.3611515884279357"/>
    <n v="0.95814462703449255"/>
    <n v="4.0690278152194468"/>
    <n v="0"/>
    <m/>
    <n v="5.9339264311478172E-2"/>
    <n v="1E-8"/>
    <n v="17.467505890414493"/>
    <n v="10.480503452733668"/>
    <n v="0.22360989428883143"/>
    <m/>
    <m/>
    <m/>
    <m/>
    <m/>
    <m/>
    <m/>
    <m/>
    <m/>
    <m/>
    <m/>
    <s v="-"/>
    <m/>
    <m/>
    <m/>
    <m/>
    <m/>
    <m/>
    <m/>
    <m/>
    <m/>
    <m/>
    <m/>
    <n v="487.59826805957374"/>
    <n v="0.23547261669009231"/>
    <n v="0.21215458877897972"/>
    <n v="384.15706392318697"/>
    <n v="375.79332091515812"/>
    <x v="1"/>
    <n v="0"/>
    <n v="0"/>
    <n v="0"/>
    <n v="1"/>
    <n v="0.1"/>
    <x v="0"/>
    <n v="5.4284313617061257E-2"/>
    <n v="1E-8"/>
    <n v="375.79332091515812"/>
    <n v="5.4284313617061257E-2"/>
    <n v="10.736970755379936"/>
    <n v="70.200663156562811"/>
    <n v="26396.797461222974"/>
    <n v="21.320902153143138"/>
    <n v="19515.594892490102"/>
    <x v="0"/>
    <n v="2.059576297114341E-6"/>
    <n v="1463967.9746122297"/>
    <n v="1.3330615990871876E-2"/>
  </r>
  <r>
    <x v="0"/>
    <n v="200"/>
    <n v="25"/>
    <x v="0"/>
    <n v="6.0990897293290178"/>
    <n v="1.7900311210308575"/>
    <n v="7.3335517362243792"/>
    <n v="0"/>
    <m/>
    <n v="5.9930240036225463E-2"/>
    <n v="1E-8"/>
    <n v="32.326886094269149"/>
    <n v="19.396131505702687"/>
    <n v="0.37810976357680603"/>
    <m/>
    <m/>
    <m/>
    <m/>
    <m/>
    <m/>
    <m/>
    <m/>
    <m/>
    <m/>
    <m/>
    <s v="-"/>
    <m/>
    <m/>
    <m/>
    <m/>
    <m/>
    <m/>
    <m/>
    <m/>
    <m/>
    <m/>
    <m/>
    <n v="548.02608804095451"/>
    <n v="0.24408788339065304"/>
    <n v="0.23592266040086746"/>
    <n v="374.14792746501854"/>
    <n v="358.9712062525515"/>
    <x v="1"/>
    <n v="0"/>
    <n v="0"/>
    <n v="0"/>
    <n v="1"/>
    <n v="0.1"/>
    <x v="0"/>
    <n v="5.4777432672482716E-2"/>
    <n v="1E-8"/>
    <n v="358.9712062525515"/>
    <n v="5.4777432672482716E-2"/>
    <n v="19.786572959326982"/>
    <n v="101.94763431945115"/>
    <n v="42989.767414842478"/>
    <n v="33.830944232521865"/>
    <n v="53672.789900051488"/>
    <x v="0"/>
    <n v="3.4078338014848699E-6"/>
    <n v="1629897.6741484248"/>
    <n v="3.2930159206524416E-2"/>
  </r>
  <r>
    <x v="0"/>
    <n v="300"/>
    <n v="25"/>
    <x v="0"/>
    <n v="8.4066606599085478"/>
    <n v="2.5434783739086972"/>
    <n v="10.100480678899142"/>
    <n v="0"/>
    <m/>
    <n v="6.0625541623616309E-2"/>
    <n v="1E-8"/>
    <n v="45.430843233610588"/>
    <n v="27.25850572815575"/>
    <n v="0.49900934963652999"/>
    <m/>
    <m/>
    <m/>
    <m/>
    <m/>
    <m/>
    <m/>
    <m/>
    <m/>
    <m/>
    <m/>
    <s v="-"/>
    <m/>
    <m/>
    <m/>
    <m/>
    <m/>
    <m/>
    <m/>
    <m/>
    <m/>
    <m/>
    <m/>
    <n v="594.8087837700109"/>
    <n v="0.25181755747746376"/>
    <n v="0.24888634553615657"/>
    <n v="366.2228932575681"/>
    <n v="345.30410895174589"/>
    <x v="1"/>
    <n v="0"/>
    <n v="0"/>
    <n v="0"/>
    <n v="1"/>
    <n v="0.1"/>
    <x v="0"/>
    <n v="5.5628235104799438E-2"/>
    <n v="1E-8"/>
    <n v="345.30410895174589"/>
    <n v="5.5628235104799438E-2"/>
    <n v="27.789629509542358"/>
    <n v="124.72956152776133"/>
    <n v="56668.253148831529"/>
    <n v="44.102771286736548"/>
    <n v="92428.796496038573"/>
    <x v="0"/>
    <n v="4.298669388783433E-6"/>
    <n v="1766682.5314883152"/>
    <n v="5.231771687818372E-2"/>
  </r>
  <r>
    <x v="0"/>
    <n v="400"/>
    <n v="25"/>
    <x v="0"/>
    <n v="10.389870737363648"/>
    <n v="3.2349731376938542"/>
    <n v="12.496904779447135"/>
    <n v="0"/>
    <m/>
    <n v="6.1283854608522689E-2"/>
    <n v="1E-8"/>
    <n v="57.152500408786132"/>
    <n v="34.291499978560005"/>
    <n v="0.59845693954792578"/>
    <m/>
    <m/>
    <m/>
    <m/>
    <m/>
    <m/>
    <m/>
    <m/>
    <m/>
    <m/>
    <m/>
    <s v="-"/>
    <m/>
    <m/>
    <m/>
    <m/>
    <m/>
    <m/>
    <m/>
    <m/>
    <m/>
    <m/>
    <m/>
    <n v="633.02225750480625"/>
    <n v="0.2588619498016988"/>
    <n v="0.25747775722336014"/>
    <n v="359.64750179041482"/>
    <n v="333.79378773084329"/>
    <x v="1"/>
    <n v="0"/>
    <n v="0"/>
    <n v="0"/>
    <n v="1"/>
    <n v="0.1"/>
    <x v="0"/>
    <n v="5.6469161881523046E-2"/>
    <n v="1E-8"/>
    <n v="333.79378773084329"/>
    <n v="5.6469161881523046E-2"/>
    <n v="34.988753093694797"/>
    <n v="142.81007932618519"/>
    <n v="68520.188496473085"/>
    <n v="53.008909968439525"/>
    <n v="132744.69591246423"/>
    <x v="0"/>
    <n v="4.9180359829520265E-6"/>
    <n v="1885201.8849647308"/>
    <n v="7.0414047944232602E-2"/>
  </r>
  <r>
    <x v="0"/>
    <n v="600"/>
    <n v="25"/>
    <x v="0"/>
    <n v="13.618648748276652"/>
    <n v="4.4596063222307718"/>
    <n v="16.443948768307301"/>
    <n v="0"/>
    <m/>
    <n v="6.244780637838758E-2"/>
    <n v="1E-8"/>
    <n v="77.23704620520364"/>
    <n v="46.342227362682635"/>
    <n v="0.75411116827675384"/>
    <m/>
    <m/>
    <m/>
    <m/>
    <m/>
    <m/>
    <m/>
    <m/>
    <m/>
    <m/>
    <m/>
    <s v="-"/>
    <m/>
    <m/>
    <m/>
    <m/>
    <m/>
    <m/>
    <m/>
    <m/>
    <m/>
    <m/>
    <m/>
    <n v="692.47125914843593"/>
    <n v="0.27120045100273277"/>
    <n v="0.2686325894015168"/>
    <n v="349.30381016459148"/>
    <n v="315.41567501005926"/>
    <x v="1"/>
    <n v="0"/>
    <n v="0"/>
    <n v="0"/>
    <n v="1"/>
    <n v="0.1"/>
    <x v="0"/>
    <n v="5.7959108410105431E-2"/>
    <n v="1E-8"/>
    <n v="315.41567501005926"/>
    <n v="5.7959108410105431E-2"/>
    <n v="47.434662262287347"/>
    <n v="170.27881620853174"/>
    <n v="88190.349030008816"/>
    <n v="67.919927357573556"/>
    <n v="212502.85711637983"/>
    <x v="0"/>
    <n v="5.6923654755018104E-6"/>
    <n v="2081903.4903000882"/>
    <n v="0.10207142555188733"/>
  </r>
  <r>
    <x v="0"/>
    <n v="800"/>
    <n v="25"/>
    <x v="0"/>
    <n v="16.099878945592078"/>
    <n v="5.4948933437081005"/>
    <n v="19.521857731734364"/>
    <n v="0"/>
    <m/>
    <n v="6.3436610259066897E-2"/>
    <n v="1E-8"/>
    <n v="93.618364003742784"/>
    <n v="56.171017965359972"/>
    <n v="0.86934076356821843"/>
    <m/>
    <m/>
    <m/>
    <m/>
    <m/>
    <m/>
    <m/>
    <m/>
    <m/>
    <m/>
    <m/>
    <s v="-"/>
    <m/>
    <m/>
    <m/>
    <m/>
    <m/>
    <m/>
    <m/>
    <m/>
    <m/>
    <m/>
    <m/>
    <n v="736.23216077413963"/>
    <n v="0.28147389552868757"/>
    <n v="0.27579791921872115"/>
    <n v="341.62436398650243"/>
    <n v="301.56177899003058"/>
    <x v="1"/>
    <n v="0"/>
    <n v="0"/>
    <n v="0"/>
    <n v="1"/>
    <n v="0.1"/>
    <x v="0"/>
    <n v="5.920326735328045E-2"/>
    <n v="1E-8"/>
    <n v="301.56177899003058"/>
    <n v="5.920326735328045E-2"/>
    <n v="57.690756914498969"/>
    <n v="189.95315237668018"/>
    <n v="103607.24507850103"/>
    <n v="79.85969333861469"/>
    <n v="286312.80390093464"/>
    <x v="0"/>
    <n v="6.1298285914534322E-6"/>
    <n v="2236072.4507850101"/>
    <n v="0.12804272231895697"/>
  </r>
  <r>
    <x v="0"/>
    <n v="1000"/>
    <n v="25"/>
    <x v="0"/>
    <n v="18.012798437612094"/>
    <n v="6.354896148924281"/>
    <n v="21.923984683659931"/>
    <n v="0"/>
    <m/>
    <n v="6.41491888537363E-2"/>
    <n v="1E-8"/>
    <n v="106.91972323415973"/>
    <n v="64.151833441537136"/>
    <n v="0.95791793323237817"/>
    <m/>
    <m/>
    <m/>
    <m/>
    <m/>
    <m/>
    <m/>
    <m/>
    <m/>
    <m/>
    <m/>
    <s v="-"/>
    <m/>
    <m/>
    <m/>
    <m/>
    <m/>
    <m/>
    <m/>
    <m/>
    <m/>
    <m/>
    <m/>
    <n v="770.03538161536073"/>
    <n v="0.2898604537732879"/>
    <n v="0.28100515560063599"/>
    <n v="335.89869054498115"/>
    <n v="291.07641499917179"/>
    <x v="1"/>
    <n v="0"/>
    <n v="0"/>
    <n v="0"/>
    <n v="1"/>
    <n v="0.1"/>
    <x v="0"/>
    <n v="6.0126304059225873E-2"/>
    <n v="1E-8"/>
    <n v="291.07641499917179"/>
    <n v="6.0126304059225873E-2"/>
    <n v="66.051498239772968"/>
    <n v="204.16440946393669"/>
    <n v="115536.39926796862"/>
    <n v="89.330859170341085"/>
    <n v="351032.24443248601"/>
    <x v="0"/>
    <n v="6.395110924797846E-6"/>
    <n v="2355363.9926796863"/>
    <n v="0.14903524275800714"/>
  </r>
  <r>
    <x v="0"/>
    <n v="1300"/>
    <n v="25"/>
    <x v="0"/>
    <n v="20.114938887351105"/>
    <n v="7.3695028827594449"/>
    <n v="24.596418330262505"/>
    <n v="0"/>
    <m/>
    <n v="6.509292603589914E-2"/>
    <n v="1E-8"/>
    <n v="122.26913065589821"/>
    <n v="73.361477822949638"/>
    <n v="1.0511841960404769"/>
    <m/>
    <m/>
    <m/>
    <m/>
    <m/>
    <m/>
    <m/>
    <m/>
    <m/>
    <m/>
    <m/>
    <s v="-"/>
    <m/>
    <m/>
    <m/>
    <m/>
    <m/>
    <m/>
    <m/>
    <m/>
    <m/>
    <m/>
    <m/>
    <n v="805.29715352412006"/>
    <n v="0.29961691103994137"/>
    <n v="0.2863679571606712"/>
    <n v="329.75841610636172"/>
    <n v="279.70505550388157"/>
    <x v="1"/>
    <n v="0"/>
    <n v="0"/>
    <n v="0"/>
    <n v="1"/>
    <n v="0.1"/>
    <x v="0"/>
    <n v="6.1292418091781056E-2"/>
    <n v="1E-8"/>
    <n v="279.70505550388157"/>
    <n v="6.1292418091781056E-2"/>
    <n v="75.748113973319946"/>
    <n v="218.55250066766459"/>
    <n v="128618.65113897655"/>
    <n v="100.13869994500672"/>
    <n v="430536.03703612695"/>
    <x v="0"/>
    <n v="6.6275338978727524E-6"/>
    <n v="2486186.5113897654"/>
    <n v="0.17317125447497481"/>
  </r>
  <r>
    <x v="0"/>
    <n v="1600"/>
    <n v="25"/>
    <x v="0"/>
    <n v="21.540482343679596"/>
    <n v="8.0975946126738467"/>
    <n v="26.42599298551017"/>
    <n v="0"/>
    <m/>
    <n v="6.5480314217213662E-2"/>
    <n v="1E-8"/>
    <n v="133.30631102193499"/>
    <n v="79.983785991064863"/>
    <n v="1.1195388442419869"/>
    <m/>
    <m/>
    <m/>
    <m/>
    <m/>
    <m/>
    <m/>
    <m/>
    <m/>
    <m/>
    <m/>
    <s v="-"/>
    <m/>
    <m/>
    <m/>
    <m/>
    <m/>
    <m/>
    <m/>
    <m/>
    <m/>
    <m/>
    <m/>
    <n v="831.99653609624318"/>
    <n v="0.30642536752030086"/>
    <n v="0.29041072996548989"/>
    <n v="325.82752591049478"/>
    <n v="272.22711397524961"/>
    <x v="1"/>
    <n v="0"/>
    <n v="0"/>
    <n v="0"/>
    <n v="1"/>
    <n v="0.1"/>
    <x v="0"/>
    <n v="6.1867698552635471E-2"/>
    <n v="1E-8"/>
    <n v="272.22711397524961"/>
    <n v="6.1867698552635471E-2"/>
    <n v="82.616315588281992"/>
    <n v="227.23476110612819"/>
    <n v="137136.64615799463"/>
    <n v="107.4505730913323"/>
    <n v="489072.61134869326"/>
    <x v="0"/>
    <n v="6.763787858710455E-6"/>
    <n v="2571366.4615799463"/>
    <n v="0.19019949845973658"/>
  </r>
  <r>
    <x v="0"/>
    <n v="1900"/>
    <n v="25"/>
    <x v="0"/>
    <n v="22.553350536769067"/>
    <n v="8.6381883534305182"/>
    <n v="27.736356619031255"/>
    <n v="0"/>
    <m/>
    <n v="6.5875911938007709E-2"/>
    <n v="1E-8"/>
    <n v="141.41802794422068"/>
    <n v="84.850816106581604"/>
    <n v="1.1653275973691315"/>
    <m/>
    <m/>
    <m/>
    <m/>
    <m/>
    <m/>
    <m/>
    <m/>
    <m/>
    <m/>
    <m/>
    <s v="-"/>
    <m/>
    <m/>
    <m/>
    <m/>
    <m/>
    <m/>
    <m/>
    <m/>
    <m/>
    <m/>
    <m/>
    <n v="849.61595441660711"/>
    <n v="0.31143918691553885"/>
    <n v="0.29317836133142872"/>
    <n v="323.07293609819578"/>
    <n v="266.95215573204132"/>
    <x v="1"/>
    <n v="0"/>
    <n v="0"/>
    <n v="0"/>
    <n v="1"/>
    <n v="0.1"/>
    <x v="0"/>
    <n v="6.2387173627326903E-2"/>
    <n v="1E-8"/>
    <n v="266.95215573204132"/>
    <n v="6.2387173627326903E-2"/>
    <n v="87.665479941588075"/>
    <n v="232.7673501537798"/>
    <n v="143073.497588559"/>
    <n v="112.79741206499078"/>
    <n v="533173.90178386227"/>
    <x v="0"/>
    <n v="6.8496771277747865E-6"/>
    <n v="2630734.9758855901"/>
    <n v="0.20267108115076427"/>
  </r>
  <r>
    <x v="0"/>
    <n v="1000"/>
    <n v="25"/>
    <x v="1"/>
    <n v="12.40664848438405"/>
    <n v="10.914635983661613"/>
    <n v="18.735177691902742"/>
    <n v="0"/>
    <m/>
    <n v="9.8031827208131611E-2"/>
    <n v="1E-8"/>
    <n v="113.26795120331259"/>
    <n v="67.960770193403775"/>
    <n v="1.0409926799916533"/>
    <m/>
    <m/>
    <m/>
    <m/>
    <m/>
    <m/>
    <m/>
    <m/>
    <m/>
    <m/>
    <m/>
    <s v="-"/>
    <m/>
    <m/>
    <m/>
    <m/>
    <m/>
    <m/>
    <m/>
    <m/>
    <m/>
    <m/>
    <m/>
    <n v="646.33834425355337"/>
    <n v="0.58257445769403449"/>
    <n v="0.28662165676247542"/>
    <n v="156.71419729924494"/>
    <n v="125.84200425772639"/>
    <x v="1"/>
    <n v="0"/>
    <n v="0"/>
    <n v="0"/>
    <n v="1"/>
    <n v="0.1"/>
    <x v="0"/>
    <n v="9.1594160264681618E-2"/>
    <n v="1E-8"/>
    <n v="125.84200425772639"/>
    <n v="9.1594160264681618E-2"/>
    <n v="94.201613817880727"/>
    <n v="224.46145828768863"/>
    <n v="147643.89098697534"/>
    <n v="124.02302798746541"/>
    <n v="259079.70356077229"/>
    <x v="1"/>
    <n v="3.9852041293531115E-6"/>
    <n v="2676438.9098697533"/>
    <n v="9.6800155835942536E-2"/>
  </r>
  <r>
    <x v="0"/>
    <n v="1000"/>
    <n v="25"/>
    <x v="2"/>
    <n v="15.799449485774408"/>
    <n v="8.1291253899799916"/>
    <n v="20.650473595236299"/>
    <n v="0"/>
    <m/>
    <n v="7.8181365917461693E-2"/>
    <n v="1E-8"/>
    <n v="109.39022584972292"/>
    <n v="65.634134999346031"/>
    <n v="1.0193475131113918"/>
    <m/>
    <m/>
    <m/>
    <m/>
    <m/>
    <m/>
    <m/>
    <m/>
    <m/>
    <m/>
    <m/>
    <s v="-"/>
    <m/>
    <m/>
    <m/>
    <m/>
    <m/>
    <m/>
    <m/>
    <m/>
    <m/>
    <m/>
    <m/>
    <n v="714.69740107289056"/>
    <n v="0.39365321829012373"/>
    <n v="0.28384782645392431"/>
    <n v="244.33831083663748"/>
    <n v="205.02364451719515"/>
    <x v="1"/>
    <n v="0"/>
    <n v="0"/>
    <n v="0"/>
    <n v="1"/>
    <n v="0.1"/>
    <x v="0"/>
    <n v="7.3016610829183023E-2"/>
    <n v="1E-8"/>
    <n v="205.02364451719515"/>
    <n v="7.3016610829183023E-2"/>
    <n v="77.016229917573725"/>
    <n v="211.83595503166109"/>
    <n v="127785.35839866821"/>
    <n v="102.74861075709761"/>
    <n v="318748.59761960286"/>
    <x v="1"/>
    <n v="5.3963269438734751E-6"/>
    <n v="2477853.5839866819"/>
    <n v="0.12863899613743929"/>
  </r>
  <r>
    <x v="0"/>
    <n v="1000"/>
    <n v="25"/>
    <x v="0"/>
    <n v="18.010607025137389"/>
    <n v="6.3535691115137203"/>
    <n v="21.920997764631206"/>
    <n v="0"/>
    <m/>
    <n v="6.4110064798147945E-2"/>
    <n v="1E-8"/>
    <n v="106.91358019834213"/>
    <n v="64.148147620075235"/>
    <n v="0.95856144931100928"/>
    <m/>
    <m/>
    <m/>
    <m/>
    <m/>
    <m/>
    <m/>
    <m/>
    <m/>
    <m/>
    <m/>
    <s v="-"/>
    <m/>
    <m/>
    <m/>
    <m/>
    <m/>
    <m/>
    <m/>
    <m/>
    <m/>
    <m/>
    <m/>
    <n v="770.38089162251538"/>
    <n v="0.28983941240872668"/>
    <n v="0.28105140800809181"/>
    <n v="335.91703684110757"/>
    <n v="291.10016696701115"/>
    <x v="1"/>
    <n v="0"/>
    <n v="0"/>
    <n v="0"/>
    <n v="1"/>
    <n v="0.1"/>
    <x v="0"/>
    <n v="6.0091378860576347E-2"/>
    <n v="1E-8"/>
    <n v="291.10016696701115"/>
    <n v="6.0091378860576347E-2"/>
    <n v="66.039452098365871"/>
    <n v="204.14567254462244"/>
    <n v="115505.78399954192"/>
    <n v="89.29680095016046"/>
    <n v="350921.32412781601"/>
    <x v="1"/>
    <n v="6.3953367184654454E-6"/>
    <n v="2355057.8399954191"/>
    <n v="0.14900751827330858"/>
  </r>
  <r>
    <x v="0"/>
    <n v="1000"/>
    <n v="25"/>
    <x v="3"/>
    <n v="19.529945308210277"/>
    <n v="5.1668845246485509"/>
    <n v="22.81264957974965"/>
    <n v="0"/>
    <m/>
    <n v="5.3575116347462752E-2"/>
    <n v="1E-8"/>
    <n v="105.32229867546303"/>
    <n v="63.193378713773747"/>
    <n v="0.88893505799391215"/>
    <m/>
    <m/>
    <m/>
    <m/>
    <m/>
    <m/>
    <m/>
    <m/>
    <m/>
    <m/>
    <m/>
    <s v="-"/>
    <m/>
    <m/>
    <m/>
    <m/>
    <m/>
    <m/>
    <m/>
    <m/>
    <m/>
    <m/>
    <m/>
    <n v="825.76795141610535"/>
    <n v="0.22649208311318186"/>
    <n v="0.27859306382139287"/>
    <n v="429.89794849763018"/>
    <n v="381.30042241914936"/>
    <x v="1"/>
    <n v="0"/>
    <n v="0"/>
    <n v="0"/>
    <n v="1"/>
    <n v="0.1"/>
    <x v="0"/>
    <n v="5.0507458806481512E-2"/>
    <n v="1E-8"/>
    <n v="381.30042241914936"/>
    <n v="5.0507458806481512E-2"/>
    <n v="58.72055584846138"/>
    <n v="199.34649700731416"/>
    <n v="107553.25310772019"/>
    <n v="80.358306678725185"/>
    <n v="369754.02335817291"/>
    <x v="1"/>
    <n v="7.1176924436358018E-6"/>
    <n v="2275532.5310772019"/>
    <n v="0.16249120516116597"/>
  </r>
  <r>
    <x v="0"/>
    <n v="1000"/>
    <n v="25"/>
    <x v="4"/>
    <n v="20.618450066430189"/>
    <n v="4.3299633851792612"/>
    <n v="23.458841392165144"/>
    <n v="0"/>
    <m/>
    <n v="4.539081059537721E-2"/>
    <n v="1E-8"/>
    <n v="104.24333318014436"/>
    <n v="62.545999421617729"/>
    <n v="0.82311393131000887"/>
    <m/>
    <m/>
    <m/>
    <m/>
    <m/>
    <m/>
    <m/>
    <m/>
    <m/>
    <m/>
    <m/>
    <s v="-"/>
    <m/>
    <m/>
    <m/>
    <m/>
    <m/>
    <m/>
    <m/>
    <m/>
    <m/>
    <m/>
    <m/>
    <n v="885.724026682729"/>
    <n v="0.18457703484987095"/>
    <n v="0.27665884665665874"/>
    <n v="525.47337518536597"/>
    <n v="474.16706102772451"/>
    <x v="1"/>
    <n v="0"/>
    <n v="0"/>
    <n v="0"/>
    <n v="1"/>
    <n v="0.1"/>
    <x v="0"/>
    <n v="4.3078763235512227E-2"/>
    <n v="1E-8"/>
    <n v="474.16706102772451"/>
    <n v="4.3078763235512227E-2"/>
    <n v="53.565828723638461"/>
    <n v="196.15252719188382"/>
    <n v="102035.74689007124"/>
    <n v="74.011326066245644"/>
    <n v="381367.36688301369"/>
    <x v="1"/>
    <n v="7.656510553082412E-6"/>
    <n v="2220357.4689007122"/>
    <n v="0.17175944514548225"/>
  </r>
  <r>
    <x v="0"/>
    <n v="1000"/>
    <n v="25"/>
    <x v="5"/>
    <n v="21.437671349638197"/>
    <n v="3.7164661695338461"/>
    <n v="23.954289601450824"/>
    <n v="0"/>
    <m/>
    <n v="3.905647146981276E-2"/>
    <n v="1E-8"/>
    <n v="103.49447633635288"/>
    <n v="62.096685318837494"/>
    <n v="0.7615684444677806"/>
    <m/>
    <m/>
    <m/>
    <m/>
    <m/>
    <m/>
    <m/>
    <m/>
    <m/>
    <m/>
    <m/>
    <s v="-"/>
    <m/>
    <m/>
    <m/>
    <m/>
    <m/>
    <m/>
    <m/>
    <m/>
    <m/>
    <m/>
    <m/>
    <n v="949.47895346418818"/>
    <n v="0.15514825241608304"/>
    <n v="0.27498059168012329"/>
    <n v="622.03932932628209"/>
    <n v="568.69473123029798"/>
    <x v="1"/>
    <n v="0"/>
    <n v="0"/>
    <n v="0"/>
    <n v="1"/>
    <n v="0.1"/>
    <x v="0"/>
    <n v="3.7314633920532893E-2"/>
    <n v="1E-8"/>
    <n v="568.69473123029798"/>
    <n v="3.7314633920532893E-2"/>
    <n v="49.803942696726523"/>
    <n v="193.96338715415493"/>
    <n v="98097.341902333676"/>
    <n v="69.390679664127049"/>
    <n v="389340.73090046295"/>
    <x v="1"/>
    <n v="8.0697980747534204E-6"/>
    <n v="2180973.4190233368"/>
    <n v="0.17851695371638865"/>
  </r>
  <r>
    <x v="0"/>
    <n v="1000"/>
    <n v="25"/>
    <x v="6"/>
    <n v="22.073303007917705"/>
    <n v="3.2496681518385695"/>
    <n v="24.343820204615557"/>
    <n v="0"/>
    <m/>
    <n v="3.4059726113059928E-2"/>
    <n v="1E-8"/>
    <n v="102.95122056600844"/>
    <n v="61.770731859166034"/>
    <n v="0.70600852568143702"/>
    <m/>
    <m/>
    <m/>
    <m/>
    <m/>
    <m/>
    <m/>
    <m/>
    <m/>
    <m/>
    <m/>
    <s v="-"/>
    <m/>
    <m/>
    <m/>
    <m/>
    <m/>
    <m/>
    <m/>
    <m/>
    <m/>
    <m/>
    <m/>
    <n v="1017.3870350652892"/>
    <n v="0.13349047620810298"/>
    <n v="0.27355356007729009"/>
    <n v="719.30902671608044"/>
    <n v="664.38277222457066"/>
    <x v="1"/>
    <n v="0"/>
    <n v="0"/>
    <n v="0"/>
    <n v="1"/>
    <n v="0.1"/>
    <x v="0"/>
    <n v="3.274322951922027E-2"/>
    <n v="1E-8"/>
    <n v="664.38277222457066"/>
    <n v="3.274322951922027E-2"/>
    <n v="46.951621176593179"/>
    <n v="192.38914181937352"/>
    <n v="95157.103700829524"/>
    <n v="65.884106492053036"/>
    <n v="395068.63507543539"/>
    <x v="1"/>
    <n v="8.3952236921575842E-6"/>
    <n v="2151571.0370082953"/>
    <n v="0.18361868061989173"/>
  </r>
  <r>
    <x v="0"/>
    <n v="1000"/>
    <n v="25"/>
    <x v="7"/>
    <n v="22.57946902705504"/>
    <n v="2.8838350431387023"/>
    <n v="24.657272864025416"/>
    <n v="0"/>
    <m/>
    <n v="3.0059716774931924E-2"/>
    <n v="1E-8"/>
    <n v="102.5432659248992"/>
    <n v="61.525959076404277"/>
    <n v="0.65647004354064531"/>
    <m/>
    <m/>
    <m/>
    <m/>
    <m/>
    <m/>
    <m/>
    <m/>
    <m/>
    <m/>
    <m/>
    <s v="-"/>
    <m/>
    <m/>
    <m/>
    <m/>
    <m/>
    <m/>
    <m/>
    <m/>
    <m/>
    <m/>
    <m/>
    <n v="1089.1388627676081"/>
    <n v="0.11695677210703109"/>
    <n v="0.27233587233565298"/>
    <n v="817.0896260070142"/>
    <n v="760.90384099728533"/>
    <x v="1"/>
    <n v="0"/>
    <n v="0"/>
    <n v="0"/>
    <n v="1"/>
    <n v="0.1"/>
    <x v="0"/>
    <n v="2.9058572042387817E-2"/>
    <n v="1E-8"/>
    <n v="760.90384099728533"/>
    <n v="2.9058572042387817E-2"/>
    <n v="44.723033586447876"/>
    <n v="191.21451222350186"/>
    <n v="92887.48439853928"/>
    <n v="63.140013936907302"/>
    <n v="399354.17994901043"/>
    <x v="1"/>
    <n v="8.6572291240573315E-6"/>
    <n v="2128874.8439853927"/>
    <n v="0.18758931793350206"/>
  </r>
  <r>
    <x v="0"/>
    <n v="1000"/>
    <n v="25"/>
    <x v="8"/>
    <n v="22.990657912123183"/>
    <n v="2.590003931603821"/>
    <n v="24.913763678958894"/>
    <n v="0"/>
    <m/>
    <n v="2.6806244621858634E-2"/>
    <n v="1E-8"/>
    <n v="102.2269681666678"/>
    <n v="61.336180422941489"/>
    <n v="0.61265007565036689"/>
    <m/>
    <m/>
    <m/>
    <m/>
    <m/>
    <m/>
    <m/>
    <m/>
    <m/>
    <m/>
    <m/>
    <s v="-"/>
    <m/>
    <m/>
    <m/>
    <m/>
    <m/>
    <m/>
    <m/>
    <m/>
    <m/>
    <m/>
    <m/>
    <n v="1164.3738670390821"/>
    <n v="0.10395875809768672"/>
    <n v="0.27130110411887726"/>
    <n v="915.25777977649045"/>
    <n v="858.04882921389867"/>
    <x v="1"/>
    <n v="0"/>
    <n v="0"/>
    <n v="0"/>
    <n v="1"/>
    <n v="0.1"/>
    <x v="0"/>
    <n v="2.6039022864757198E-2"/>
    <n v="1E-8"/>
    <n v="858.04882921389867"/>
    <n v="2.6039022864757198E-2"/>
    <n v="42.937010895107235"/>
    <n v="190.30819061364951"/>
    <n v="91083.019864299436"/>
    <n v="60.933329799871956"/>
    <n v="402639.13836729142"/>
    <x v="1"/>
    <n v="8.872225116012412E-6"/>
    <n v="2110830.1986429943"/>
    <n v="0.19074918419593351"/>
  </r>
  <r>
    <x v="0"/>
    <n v="1000"/>
    <n v="25"/>
    <x v="9"/>
    <n v="23.33131452329761"/>
    <n v="2.3493102298998232"/>
    <n v="25.127769730550753"/>
    <n v="0"/>
    <m/>
    <n v="2.4132511122235436E-2"/>
    <n v="1E-8"/>
    <n v="101.97635596746701"/>
    <n v="61.185813104590544"/>
    <n v="0.57374559172967166"/>
    <m/>
    <m/>
    <m/>
    <m/>
    <m/>
    <m/>
    <m/>
    <m/>
    <m/>
    <m/>
    <m/>
    <s v="-"/>
    <m/>
    <m/>
    <m/>
    <m/>
    <m/>
    <m/>
    <m/>
    <m/>
    <m/>
    <m/>
    <m/>
    <n v="1242.5327116440958"/>
    <n v="9.349457811385041E-2"/>
    <n v="0.27040318209626768"/>
    <n v="1013.7165681911565"/>
    <n v="955.6599157792599"/>
    <x v="1"/>
    <n v="0"/>
    <n v="0"/>
    <n v="0"/>
    <n v="1"/>
    <n v="0.1"/>
    <x v="0"/>
    <n v="2.353920634186514E-2"/>
    <n v="1E-8"/>
    <n v="955.6599157792599"/>
    <n v="2.353920634186514E-2"/>
    <n v="41.477398630050665"/>
    <n v="189.59278846438994"/>
    <n v="89620.260254232009"/>
    <n v="59.127248456902812"/>
    <n v="405247.71517115203"/>
    <x v="1"/>
    <n v="9.0515125161623243E-6"/>
    <n v="2096202.60254232"/>
    <n v="0.19332468850084375"/>
  </r>
  <r>
    <x v="0"/>
    <n v="1000"/>
    <n v="25"/>
    <x v="0"/>
    <n v="18.013908038961212"/>
    <n v="6.3555686181732529"/>
    <n v="21.925497420456754"/>
    <n v="0"/>
    <m/>
    <n v="6.4169014219238096E-2"/>
    <n v="1E-8"/>
    <n v="106.92283793105716"/>
    <n v="64.153702259661046"/>
    <n v="0.95759198286810632"/>
    <m/>
    <m/>
    <m/>
    <m/>
    <m/>
    <m/>
    <m/>
    <m/>
    <m/>
    <m/>
    <m/>
    <s v="-"/>
    <m/>
    <m/>
    <m/>
    <m/>
    <m/>
    <m/>
    <m/>
    <m/>
    <m/>
    <m/>
    <m/>
    <n v="769.86036581443591"/>
    <n v="0.2898711256714035"/>
    <n v="0.28098172991805487"/>
    <n v="335.88939734902067"/>
    <n v="291.06437438038267"/>
    <x v="1"/>
    <n v="0"/>
    <n v="0"/>
    <n v="0"/>
    <n v="1"/>
    <n v="0.1"/>
    <x v="0"/>
    <n v="6.0144002020277684E-2"/>
    <n v="1E-8"/>
    <n v="291.06437438038267"/>
    <n v="6.0144002020277684E-2"/>
    <n v="66.057601628407724"/>
    <n v="204.17391025087255"/>
    <n v="115551.91658783183"/>
    <n v="89.34811871269342"/>
    <n v="351088.44286777079"/>
    <x v="2"/>
    <n v="6.3949961523578428E-6"/>
    <n v="2355519.1658783183"/>
    <n v="0.14904928304281409"/>
  </r>
  <r>
    <x v="0"/>
    <n v="1000"/>
    <n v="25"/>
    <x v="0"/>
    <n v="17.382016114956475"/>
    <n v="6.0431441776598467"/>
    <n v="21.096355848536763"/>
    <n v="0"/>
    <m/>
    <n v="6.3802904329742699E-2"/>
    <n v="1E-8"/>
    <n v="102.94620979781811"/>
    <n v="61.767725398275225"/>
    <n v="0.9263125446885252"/>
    <m/>
    <m/>
    <m/>
    <m/>
    <m/>
    <m/>
    <m/>
    <m/>
    <m/>
    <m/>
    <m/>
    <s v="-"/>
    <m/>
    <m/>
    <m/>
    <m/>
    <m/>
    <m/>
    <m/>
    <m/>
    <m/>
    <m/>
    <m/>
    <n v="758.38225521837455"/>
    <n v="0.28645441047009063"/>
    <n v="0.28253625945291783"/>
    <n v="338.47863580903311"/>
    <n v="295.22598287411216"/>
    <x v="1"/>
    <n v="0"/>
    <n v="0"/>
    <n v="0"/>
    <n v="1"/>
    <n v="0.1"/>
    <x v="1"/>
    <n v="5.9891951877402323E-2"/>
    <n v="1E-8"/>
    <n v="295.22598287411216"/>
    <n v="5.9891951877402323E-2"/>
    <n v="63.064417394224442"/>
    <n v="192.37467521076783"/>
    <n v="107836.6761298246"/>
    <n v="84.732382689378014"/>
    <n v="399380.32648664078"/>
    <x v="2"/>
    <n v="6.2216813857082608E-6"/>
    <n v="2278366.7612982458"/>
    <n v="0.17529237753585739"/>
  </r>
  <r>
    <x v="0"/>
    <n v="1000"/>
    <n v="25"/>
    <x v="0"/>
    <n v="15.101311274415753"/>
    <n v="4.9968545556691515"/>
    <n v="18.161155190769083"/>
    <n v="0"/>
    <m/>
    <n v="6.2651006259696843E-2"/>
    <n v="1E-8"/>
    <n v="88.768051241361789"/>
    <n v="53.260830330566158"/>
    <n v="0.81296679976328301"/>
    <m/>
    <m/>
    <m/>
    <m/>
    <m/>
    <m/>
    <m/>
    <m/>
    <m/>
    <m/>
    <m/>
    <s v="-"/>
    <m/>
    <m/>
    <m/>
    <m/>
    <m/>
    <m/>
    <m/>
    <m/>
    <m/>
    <m/>
    <m/>
    <n v="716.3262937945799"/>
    <n v="0.27513968705079639"/>
    <n v="0.28720822540463398"/>
    <n v="347.42033849086238"/>
    <n v="309.84289391293839"/>
    <x v="1"/>
    <n v="0"/>
    <n v="0"/>
    <n v="0"/>
    <n v="1"/>
    <n v="0.1"/>
    <x v="2"/>
    <n v="5.9104168700829046E-2"/>
    <n v="1E-8"/>
    <n v="309.84289391293839"/>
    <n v="5.9104168700829046E-2"/>
    <n v="52.877763949132273"/>
    <n v="154.88663858013661"/>
    <n v="83616.255049151252"/>
    <n v="69.680016827364952"/>
    <n v="520319.4436697301"/>
    <x v="2"/>
    <n v="5.6120869100474442E-6"/>
    <n v="2036162.5504915125"/>
    <n v="0.25553924638488679"/>
  </r>
  <r>
    <x v="0"/>
    <n v="1000"/>
    <n v="25"/>
    <x v="0"/>
    <n v="13.05945841954777"/>
    <n v="4.1512569915629367"/>
    <n v="15.595519948156946"/>
    <n v="0"/>
    <m/>
    <n v="6.2265196711038841E-2"/>
    <n v="1E-8"/>
    <n v="76.183429251963105"/>
    <n v="45.710057195655196"/>
    <n v="0.70411711049740799"/>
    <m/>
    <m/>
    <m/>
    <m/>
    <m/>
    <m/>
    <m/>
    <m/>
    <m/>
    <m/>
    <m/>
    <s v="-"/>
    <m/>
    <m/>
    <m/>
    <m/>
    <m/>
    <m/>
    <m/>
    <m/>
    <m/>
    <m/>
    <m/>
    <n v="674.51453156640162"/>
    <n v="0.2661826604924144"/>
    <n v="0.28990462054884225"/>
    <n v="354.95256890068242"/>
    <n v="322.45597631769778"/>
    <x v="1"/>
    <n v="0"/>
    <n v="0"/>
    <n v="0"/>
    <n v="1"/>
    <n v="0.1"/>
    <x v="3"/>
    <n v="5.89701674664996E-2"/>
    <n v="1E-8"/>
    <n v="322.45597631769778"/>
    <n v="5.89701674664996E-2"/>
    <n v="44.446297092919018"/>
    <n v="126.22878839341917"/>
    <n v="65714.025939808576"/>
    <n v="57.944424737663915"/>
    <n v="590889.66143822169"/>
    <x v="2"/>
    <n v="5.0220398950472669E-6"/>
    <n v="1857140.2593980858"/>
    <n v="0.318171801213191"/>
  </r>
  <r>
    <x v="0"/>
    <n v="1000"/>
    <n v="25"/>
    <x v="0"/>
    <n v="11.879025245473095"/>
    <n v="3.6922892137147163"/>
    <n v="14.13294534559661"/>
    <n v="0"/>
    <m/>
    <n v="6.1075542570662368E-2"/>
    <n v="1E-8"/>
    <n v="69.172230678364585"/>
    <n v="41.503338084215002"/>
    <n v="0.6552752944050666"/>
    <m/>
    <m/>
    <m/>
    <m/>
    <m/>
    <m/>
    <m/>
    <m/>
    <m/>
    <m/>
    <m/>
    <s v="-"/>
    <m/>
    <m/>
    <m/>
    <m/>
    <m/>
    <m/>
    <m/>
    <m/>
    <m/>
    <m/>
    <m/>
    <n v="657.43346231245675"/>
    <n v="0.26125405026526333"/>
    <n v="0.29226335539566428"/>
    <n v="359.35506444387681"/>
    <n v="329.79581510992364"/>
    <x v="1"/>
    <n v="0"/>
    <n v="0"/>
    <n v="0"/>
    <n v="1"/>
    <n v="0.1"/>
    <x v="4"/>
    <n v="5.8000782537319433E-2"/>
    <n v="1E-8"/>
    <n v="329.79581510992364"/>
    <n v="5.8000782537319433E-2"/>
    <n v="39.799682052123401"/>
    <n v="111.69445061169887"/>
    <n v="56617.031984836496"/>
    <n v="51.415746694764557"/>
    <n v="610377.55791992194"/>
    <x v="2"/>
    <n v="4.6785814473041709E-6"/>
    <n v="1766170.3198483649"/>
    <n v="0.34559382583913317"/>
  </r>
  <r>
    <x v="0"/>
    <n v="1000"/>
    <n v="25"/>
    <x v="0"/>
    <n v="10.475982016267176"/>
    <n v="3.1756498442010956"/>
    <n v="12.412890039184674"/>
    <n v="0"/>
    <m/>
    <n v="6.0447598587249005E-2"/>
    <n v="1E-8"/>
    <n v="60.764903522799656"/>
    <n v="36.458941830110241"/>
    <n v="0.58565288440049956"/>
    <m/>
    <m/>
    <m/>
    <m/>
    <m/>
    <m/>
    <m/>
    <m/>
    <m/>
    <m/>
    <m/>
    <s v="-"/>
    <m/>
    <m/>
    <m/>
    <m/>
    <m/>
    <m/>
    <m/>
    <m/>
    <m/>
    <m/>
    <m/>
    <n v="631.12659043001486"/>
    <n v="0.25583484862721656"/>
    <n v="0.29400596951241986"/>
    <n v="364.36813159392455"/>
    <n v="338.300148229765"/>
    <x v="1"/>
    <n v="0"/>
    <n v="0"/>
    <n v="0"/>
    <n v="1"/>
    <n v="0.1"/>
    <x v="5"/>
    <n v="5.7576605311311563E-2"/>
    <n v="1E-8"/>
    <n v="338.300148229765"/>
    <n v="5.7576605311311563E-2"/>
    <n v="34.492950778946089"/>
    <n v="95.363217913211372"/>
    <n v="46857.328669851617"/>
    <n v="44.270022413568597"/>
    <n v="631794.22332132759"/>
    <x v="2"/>
    <n v="4.2258774598858458E-6"/>
    <n v="1668573.2866985162"/>
    <n v="0.37864337656478519"/>
  </r>
  <r>
    <x v="0"/>
    <n v="1000"/>
    <n v="25"/>
    <x v="0"/>
    <n v="8.6705636290445138"/>
    <n v="2.549212829123177"/>
    <n v="10.224254516492824"/>
    <n v="0"/>
    <m/>
    <n v="5.9580258345920067E-2"/>
    <n v="1E-8"/>
    <n v="50.062491984967892"/>
    <n v="30.037494957355769"/>
    <n v="0.49551516413681007"/>
    <m/>
    <m/>
    <m/>
    <m/>
    <m/>
    <m/>
    <m/>
    <m/>
    <m/>
    <m/>
    <m/>
    <s v="-"/>
    <m/>
    <m/>
    <m/>
    <m/>
    <m/>
    <m/>
    <m/>
    <m/>
    <m/>
    <m/>
    <m/>
    <n v="596.89414104164132"/>
    <n v="0.24932994625779534"/>
    <n v="0.29604515573736861"/>
    <n v="370.71202328087929"/>
    <n v="349.13655897323622"/>
    <x v="1"/>
    <n v="0"/>
    <n v="0"/>
    <n v="0"/>
    <n v="1"/>
    <n v="0.1"/>
    <x v="6"/>
    <n v="5.699211736192767E-2"/>
    <n v="1E-8"/>
    <n v="349.13655897323622"/>
    <n v="5.699211736192767E-2"/>
    <n v="27.953382509201997"/>
    <n v="76.022296202692829"/>
    <n v="35743.290595274098"/>
    <n v="35.611492951995864"/>
    <n v="645618.7866718896"/>
    <x v="2"/>
    <n v="3.5989462026468092E-6"/>
    <n v="1557432.9059527409"/>
    <n v="0.41454035304136588"/>
  </r>
  <r>
    <x v="0"/>
    <n v="1000"/>
    <n v="25"/>
    <x v="0"/>
    <n v="7.5304124209331578"/>
    <n v="2.1736546166526409"/>
    <n v="8.8548046380645733"/>
    <n v="0"/>
    <m/>
    <n v="5.9037624088322874E-2"/>
    <n v="1E-8"/>
    <n v="43.359672391882974"/>
    <n v="26.015803232784645"/>
    <n v="0.43732328732121095"/>
    <m/>
    <m/>
    <m/>
    <m/>
    <m/>
    <m/>
    <m/>
    <m/>
    <m/>
    <m/>
    <m/>
    <s v="-"/>
    <m/>
    <m/>
    <m/>
    <m/>
    <m/>
    <m/>
    <m/>
    <m/>
    <m/>
    <m/>
    <m/>
    <n v="574.58506812486155"/>
    <n v="0.24547742220180077"/>
    <n v="0.29719583695366569"/>
    <n v="374.66178363020884"/>
    <n v="355.92342446425619"/>
    <x v="1"/>
    <n v="0"/>
    <n v="0"/>
    <n v="0"/>
    <n v="1"/>
    <n v="0.1"/>
    <x v="7"/>
    <n v="5.664416599351646E-2"/>
    <n v="1E-8"/>
    <n v="355.92342446425619"/>
    <n v="5.664416599351646E-2"/>
    <n v="23.974380098957941"/>
    <n v="64.607541760106741"/>
    <n v="29472.435750427583"/>
    <n v="30.41842176193115"/>
    <n v="646669.39828344551"/>
    <x v="2"/>
    <n v="3.1756675290863531E-6"/>
    <n v="1494724.3575042759"/>
    <n v="0.43263454899683446"/>
  </r>
  <r>
    <x v="0"/>
    <n v="1000"/>
    <n v="25"/>
    <x v="0"/>
    <n v="6.1297394841641895"/>
    <n v="1.7315329217009028"/>
    <n v="7.1844484914897428"/>
    <n v="0"/>
    <m/>
    <n v="5.8605211614164564E-2"/>
    <n v="1E-8"/>
    <n v="35.157250436298277"/>
    <n v="21.094350097711793"/>
    <n v="0.36240134360440879"/>
    <m/>
    <m/>
    <m/>
    <m/>
    <m/>
    <m/>
    <m/>
    <m/>
    <m/>
    <m/>
    <m/>
    <s v="-"/>
    <m/>
    <m/>
    <m/>
    <m/>
    <m/>
    <m/>
    <m/>
    <m/>
    <m/>
    <m/>
    <m/>
    <n v="545.39451235996262"/>
    <n v="0.24101125142061641"/>
    <n v="0.29823820471565871"/>
    <n v="379.44683347994163"/>
    <n v="364.19384055775828"/>
    <x v="1"/>
    <n v="0"/>
    <n v="0"/>
    <n v="0"/>
    <n v="1"/>
    <n v="0.1"/>
    <x v="8"/>
    <n v="5.6467210322934502E-2"/>
    <n v="1E-8"/>
    <n v="364.19384055775828"/>
    <n v="5.6467210322934502E-2"/>
    <n v="19.23083259572941"/>
    <n v="51.263592386425756"/>
    <n v="22487.973924026999"/>
    <n v="24.313426203614888"/>
    <n v="640574.38946998527"/>
    <x v="2"/>
    <n v="2.6230134419490408E-6"/>
    <n v="1424879.7392402701"/>
    <n v="0.44956382761925745"/>
  </r>
  <r>
    <x v="0"/>
    <n v="1000"/>
    <n v="25"/>
    <x v="0"/>
    <n v="4.2140836196057947"/>
    <n v="1.1575702325104604"/>
    <n v="4.9190674725936052"/>
    <n v="0"/>
    <m/>
    <n v="5.7808811032826507E-2"/>
    <n v="1E-8"/>
    <n v="24.062555916981331"/>
    <n v="14.437533437896869"/>
    <n v="0.25774247876313416"/>
    <m/>
    <m/>
    <m/>
    <m/>
    <m/>
    <m/>
    <m/>
    <m/>
    <m/>
    <m/>
    <m/>
    <s v="-"/>
    <m/>
    <m/>
    <m/>
    <m/>
    <m/>
    <m/>
    <m/>
    <m/>
    <m/>
    <m/>
    <m/>
    <n v="504.32429641331299"/>
    <n v="0.23532310523484753"/>
    <n v="0.29970511650945292"/>
    <n v="385.93923364176908"/>
    <n v="375.45305703174591"/>
    <x v="1"/>
    <n v="0"/>
    <n v="0"/>
    <n v="0"/>
    <n v="1"/>
    <n v="0.1"/>
    <x v="9"/>
    <n v="5.6108844973819516E-2"/>
    <n v="1E-8"/>
    <n v="375.45305703174591"/>
    <n v="5.6108844973819516E-2"/>
    <n v="12.974228591534006"/>
    <n v="34.155230473826414"/>
    <n v="14114.538575580138"/>
    <n v="16.324264219205702"/>
    <n v="606164.10424000712"/>
    <x v="2"/>
    <n v="1.8187890306206984E-6"/>
    <n v="1341145.3857558013"/>
    <n v="0.45197493924076237"/>
  </r>
  <r>
    <x v="0"/>
    <n v="1000"/>
    <n v="25"/>
    <x v="0"/>
    <n v="18.017735646067102"/>
    <n v="6.357889707795283"/>
    <n v="21.930716862290904"/>
    <n v="0"/>
    <m/>
    <n v="6.4236972157437747E-2"/>
    <n v="1E-8"/>
    <n v="106.9336687221264"/>
    <n v="64.160200734252044"/>
    <n v="0.95647743867254897"/>
    <m/>
    <m/>
    <m/>
    <m/>
    <m/>
    <m/>
    <m/>
    <m/>
    <m/>
    <m/>
    <m/>
    <s v="-"/>
    <m/>
    <m/>
    <m/>
    <m/>
    <m/>
    <m/>
    <m/>
    <m/>
    <m/>
    <m/>
    <m/>
    <n v="769.2615376772743"/>
    <n v="0.28990797463294282"/>
    <n v="0.28090121836044818"/>
    <n v="335.85739588018794"/>
    <n v="291.02281834099961"/>
    <x v="1"/>
    <n v="0"/>
    <n v="0"/>
    <n v="0"/>
    <n v="1"/>
    <n v="0.1"/>
    <x v="0"/>
    <n v="6.0204652539449351E-2"/>
    <n v="1E-8"/>
    <n v="291.02281834099961"/>
    <n v="6.0204652539449351E-2"/>
    <n v="66.078667464203065"/>
    <n v="204.20695079020342"/>
    <n v="115605.50757482565"/>
    <n v="89.407594140261565"/>
    <n v="351282.44918402139"/>
    <x v="3"/>
    <n v="6.3945984466397456E-6"/>
    <n v="2356055.0757482564"/>
    <n v="0.14909772390293469"/>
  </r>
  <r>
    <x v="1"/>
    <n v="1000"/>
    <n v="25"/>
    <x v="0"/>
    <n v="17.866492325627764"/>
    <n v="6.4698236473567476"/>
    <n v="21.838486905807805"/>
    <n v="0"/>
    <m/>
    <n v="6.5106617389841734E-2"/>
    <n v="1E-8"/>
    <n v="107.07608491462604"/>
    <n v="64.245650449087222"/>
    <n v="0.96349316216457437"/>
    <m/>
    <m/>
    <m/>
    <m/>
    <m/>
    <m/>
    <m/>
    <m/>
    <m/>
    <m/>
    <m/>
    <s v="-"/>
    <m/>
    <m/>
    <m/>
    <m/>
    <m/>
    <m/>
    <m/>
    <m/>
    <m/>
    <m/>
    <m/>
    <n v="765.81759510750976"/>
    <n v="0.29625787149365829"/>
    <n v="0.24998334305814615"/>
    <n v="328.52926876223103"/>
    <n v="284.07101402522284"/>
    <x v="1"/>
    <n v="0"/>
    <n v="0"/>
    <n v="0"/>
    <n v="1"/>
    <n v="0.1"/>
    <x v="0"/>
    <n v="6.1000667990401124E-2"/>
    <n v="1E-8"/>
    <n v="284.07101402522284"/>
    <n v="6.1000667990401124E-2"/>
    <n v="66.760196194159576"/>
    <n v="204.64188248370539"/>
    <n v="116311.73648517775"/>
    <n v="90.191220116962199"/>
    <n v="349052.08275265514"/>
    <x v="3"/>
    <n v="6.3274687646502017E-6"/>
    <n v="2363117.3648517774"/>
    <n v="0.14770831442582574"/>
  </r>
  <r>
    <x v="2"/>
    <n v="1000"/>
    <n v="25"/>
    <x v="0"/>
    <n v="17.674333614836186"/>
    <n v="6.6186868643978869"/>
    <n v="21.725027319863706"/>
    <n v="0"/>
    <m/>
    <n v="6.6312010294690818E-2"/>
    <n v="1E-8"/>
    <n v="107.27579498534848"/>
    <n v="64.365476490588705"/>
    <n v="0.97093784791957116"/>
    <m/>
    <m/>
    <m/>
    <m/>
    <m/>
    <m/>
    <m/>
    <m/>
    <m/>
    <m/>
    <m/>
    <s v="-"/>
    <m/>
    <m/>
    <m/>
    <m/>
    <m/>
    <m/>
    <m/>
    <m/>
    <m/>
    <m/>
    <m/>
    <n v="760.77967605000936"/>
    <n v="0.30465724010143203"/>
    <n v="0.21898792853894197"/>
    <n v="319.29083154146002"/>
    <n v="275.31075209022356"/>
    <x v="1"/>
    <n v="0"/>
    <n v="0"/>
    <n v="0"/>
    <n v="1"/>
    <n v="0.1"/>
    <x v="0"/>
    <n v="6.2103307322397105E-2"/>
    <n v="1E-8"/>
    <n v="275.31075209022356"/>
    <n v="6.2103307322397105E-2"/>
    <n v="67.675262430443908"/>
    <n v="205.25327943248521"/>
    <n v="117301.31403123052"/>
    <n v="91.2868296989448"/>
    <n v="346350.84593667742"/>
    <x v="3"/>
    <n v="6.2399996869202821E-6"/>
    <n v="2373013.1403123052"/>
    <n v="0.14595403626424724"/>
  </r>
  <r>
    <x v="3"/>
    <n v="1000"/>
    <n v="25"/>
    <x v="0"/>
    <n v="17.419868599201994"/>
    <n v="6.8251477742467541"/>
    <n v="21.580002762183184"/>
    <n v="0"/>
    <m/>
    <n v="6.8039832888522764E-2"/>
    <n v="1E-8"/>
    <n v="107.56671892093749"/>
    <n v="64.540030850584472"/>
    <n v="0.97868554326746349"/>
    <m/>
    <m/>
    <m/>
    <m/>
    <m/>
    <m/>
    <m/>
    <m/>
    <m/>
    <m/>
    <m/>
    <s v="-"/>
    <m/>
    <m/>
    <m/>
    <m/>
    <m/>
    <m/>
    <m/>
    <m/>
    <m/>
    <m/>
    <m/>
    <n v="753.28930120012001"/>
    <n v="0.31627186749981095"/>
    <n v="0.18790348378717955"/>
    <n v="307.29353044389626"/>
    <n v="263.94652956638816"/>
    <x v="1"/>
    <n v="0"/>
    <n v="0"/>
    <n v="0"/>
    <n v="1"/>
    <n v="0.1"/>
    <x v="0"/>
    <n v="6.3682965315773721E-2"/>
    <n v="1E-8"/>
    <n v="263.94652956638816"/>
    <n v="6.3682965315773721E-2"/>
    <n v="68.955845009371117"/>
    <n v="206.14705821421532"/>
    <n v="118741.93893960226"/>
    <n v="92.87705212891089"/>
    <n v="342931.84169257659"/>
    <x v="3"/>
    <n v="6.1214701256086793E-6"/>
    <n v="2387419.3893960225"/>
    <n v="0.14364122332914983"/>
  </r>
  <r>
    <x v="4"/>
    <n v="1000"/>
    <n v="25"/>
    <x v="0"/>
    <n v="17.053161668307492"/>
    <n v="7.1180266246702919"/>
    <n v="21.368405489258464"/>
    <n v="0"/>
    <m/>
    <n v="7.0395266893465314E-2"/>
    <n v="1E-8"/>
    <n v="107.9733250068977"/>
    <n v="64.783994500263105"/>
    <n v="0.98985965295721101"/>
    <m/>
    <m/>
    <m/>
    <m/>
    <m/>
    <m/>
    <m/>
    <m/>
    <m/>
    <m/>
    <m/>
    <s v="-"/>
    <m/>
    <m/>
    <m/>
    <m/>
    <m/>
    <m/>
    <m/>
    <m/>
    <m/>
    <m/>
    <m/>
    <n v="743.77908425403723"/>
    <n v="0.33310986298198075"/>
    <n v="0.15685946239948168"/>
    <n v="291.28381923892249"/>
    <n v="248.84925777543191"/>
    <x v="1"/>
    <n v="0"/>
    <n v="0"/>
    <n v="0"/>
    <n v="1"/>
    <n v="0.1"/>
    <x v="0"/>
    <n v="6.5842217289746596E-2"/>
    <n v="1E-8"/>
    <n v="248.84925777543191"/>
    <n v="6.5842217289746596E-2"/>
    <n v="70.765717755358878"/>
    <n v="207.40252593231006"/>
    <n v="120754.55710741076"/>
    <n v="95.089677514019883"/>
    <n v="337721.132859356"/>
    <x v="3"/>
    <n v="5.9544324450389067E-6"/>
    <n v="2407545.5710741077"/>
    <n v="0.14027611228504569"/>
  </r>
  <r>
    <x v="5"/>
    <n v="1000"/>
    <n v="25"/>
    <x v="0"/>
    <n v="16.502980527747752"/>
    <n v="7.5837943460788875"/>
    <n v="21.065713687384189"/>
    <n v="0"/>
    <m/>
    <n v="7.4245179627913188E-2"/>
    <n v="1E-8"/>
    <n v="108.65847309637502"/>
    <n v="65.195083350752142"/>
    <n v="1.0002248949138122"/>
    <m/>
    <m/>
    <m/>
    <m/>
    <m/>
    <m/>
    <m/>
    <m/>
    <m/>
    <m/>
    <m/>
    <s v="-"/>
    <m/>
    <m/>
    <m/>
    <m/>
    <m/>
    <m/>
    <m/>
    <m/>
    <m/>
    <m/>
    <m/>
    <n v="727.71150510165728"/>
    <n v="0.36000652333087874"/>
    <n v="0.1256551923420233"/>
    <n v="268.66455559728905"/>
    <n v="227.59905764475081"/>
    <x v="1"/>
    <n v="0"/>
    <n v="0"/>
    <n v="0"/>
    <n v="1"/>
    <n v="0.1"/>
    <x v="0"/>
    <n v="6.9370480927726713E-2"/>
    <n v="1E-8"/>
    <n v="227.59905764475081"/>
    <n v="6.9370480927726713E-2"/>
    <n v="73.673957650193088"/>
    <n v="209.53485468423349"/>
    <n v="124148.60036657247"/>
    <n v="98.799539954563556"/>
    <n v="330158.42986947892"/>
    <x v="3"/>
    <n v="5.6986305732426883E-6"/>
    <n v="2441486.0036657248"/>
    <n v="0.13522847535221114"/>
  </r>
  <r>
    <x v="6"/>
    <n v="1000"/>
    <n v="25"/>
    <x v="0"/>
    <n v="15.546231673632306"/>
    <n v="8.3509570208268737"/>
    <n v="20.515353530971083"/>
    <n v="0"/>
    <m/>
    <n v="7.9961067714306999E-2"/>
    <n v="1E-8"/>
    <n v="109.72566738138063"/>
    <n v="65.835399916775259"/>
    <n v="1.0209993673976134"/>
    <m/>
    <m/>
    <m/>
    <m/>
    <m/>
    <m/>
    <m/>
    <m/>
    <m/>
    <m/>
    <m/>
    <s v="-"/>
    <m/>
    <m/>
    <m/>
    <m/>
    <m/>
    <m/>
    <m/>
    <m/>
    <m/>
    <m/>
    <m/>
    <n v="707.54314404589707"/>
    <n v="0.40705888924701294"/>
    <n v="9.463719339406422E-2"/>
    <n v="235.72809889977793"/>
    <n v="197.04346034709025"/>
    <x v="1"/>
    <n v="0"/>
    <n v="0"/>
    <n v="0"/>
    <n v="1"/>
    <n v="0.1"/>
    <x v="0"/>
    <n v="7.4655262496594502E-2"/>
    <n v="1E-8"/>
    <n v="197.04346034709025"/>
    <n v="7.4655262496594502E-2"/>
    <n v="78.406820132882601"/>
    <n v="212.89913414524133"/>
    <n v="129459.08428384559"/>
    <n v="104.55820462489424"/>
    <n v="315032.72568507266"/>
    <x v="3"/>
    <n v="5.2808824122080904E-6"/>
    <n v="2494590.8428384559"/>
    <n v="0.12628633131941366"/>
  </r>
  <r>
    <x v="7"/>
    <n v="1000"/>
    <n v="25"/>
    <x v="0"/>
    <n v="13.6624977935796"/>
    <n v="9.8329987442332314"/>
    <n v="19.415124996230688"/>
    <n v="0"/>
    <m/>
    <n v="9.0831970842012361E-2"/>
    <n v="1E-8"/>
    <n v="111.55097113264975"/>
    <n v="66.930582159018641"/>
    <n v="1.037102637122981"/>
    <m/>
    <m/>
    <m/>
    <m/>
    <m/>
    <m/>
    <m/>
    <m/>
    <m/>
    <m/>
    <m/>
    <s v="-"/>
    <m/>
    <m/>
    <m/>
    <m/>
    <m/>
    <m/>
    <m/>
    <m/>
    <m/>
    <m/>
    <m/>
    <n v="669.36784154620125"/>
    <n v="0.50646074883073067"/>
    <n v="6.349150321506454E-2"/>
    <n v="184.81376086969195"/>
    <n v="150.8165229847111"/>
    <x v="1"/>
    <n v="0"/>
    <n v="0"/>
    <n v="0"/>
    <n v="1"/>
    <n v="0.1"/>
    <x v="0"/>
    <n v="8.4802115253805654E-2"/>
    <n v="1E-8"/>
    <n v="150.8165229847111"/>
    <n v="8.4802115253805654E-2"/>
    <n v="87.481077840161348"/>
    <n v="218.77895405433446"/>
    <n v="139528.3734202655"/>
    <n v="115.6721781594546"/>
    <n v="288665.42101876746"/>
    <x v="3"/>
    <n v="4.490716283703764E-6"/>
    <n v="2595283.734202655"/>
    <n v="0.11122692182535243"/>
  </r>
  <r>
    <x v="8"/>
    <n v="1000"/>
    <n v="25"/>
    <x v="0"/>
    <n v="9.321378225085077"/>
    <n v="5.3151748121059068"/>
    <n v="12.416464802499803"/>
    <n v="0"/>
    <m/>
    <n v="8.7565394371004773E-2"/>
    <n v="1E-8"/>
    <n v="69.69687517422706"/>
    <n v="41.818124779284155"/>
    <n v="0.72137824537089723"/>
    <m/>
    <m/>
    <m/>
    <m/>
    <m/>
    <m/>
    <m/>
    <m/>
    <m/>
    <m/>
    <m/>
    <s v="-"/>
    <m/>
    <m/>
    <m/>
    <m/>
    <m/>
    <m/>
    <m/>
    <m/>
    <m/>
    <m/>
    <m/>
    <n v="549.62939342602817"/>
    <n v="0.4280747295345938"/>
    <n v="4.9617477848050318E-2"/>
    <n v="212.13518644315062"/>
    <n v="188.94027074057954"/>
    <x v="1"/>
    <n v="0"/>
    <n v="0"/>
    <n v="0"/>
    <n v="1"/>
    <n v="0.1"/>
    <x v="0"/>
    <n v="8.2463172838790441E-2"/>
    <n v="1E-8"/>
    <n v="188.94027074057954"/>
    <n v="8.2463172838790441E-2"/>
    <n v="49.302554254746028"/>
    <n v="112.75140643691196"/>
    <n v="63631.507620113574"/>
    <n v="62.248262107796528"/>
    <n v="661422.25474018219"/>
    <x v="3"/>
    <n v="3.4083516046940453E-6"/>
    <n v="1836315.0762011358"/>
    <n v="0.36018996048787821"/>
  </r>
  <r>
    <x v="9"/>
    <n v="1000"/>
    <n v="25"/>
    <x v="0"/>
    <n v="3.3441539859224791"/>
    <n v="1.1190643141659649"/>
    <n v="4.0124756412674172"/>
    <n v="0"/>
    <m/>
    <n v="6.7678018401972337E-2"/>
    <n v="1E-8"/>
    <n v="20.46555584235962"/>
    <n v="12.279333409909844"/>
    <n v="0.24324122189367153"/>
    <m/>
    <m/>
    <m/>
    <m/>
    <m/>
    <m/>
    <m/>
    <m/>
    <m/>
    <m/>
    <m/>
    <s v="-"/>
    <m/>
    <m/>
    <m/>
    <m/>
    <m/>
    <m/>
    <m/>
    <m/>
    <m/>
    <m/>
    <m/>
    <n v="436.71486341486479"/>
    <n v="0.27889622622418886"/>
    <n v="4.3666393938817674E-2"/>
    <n v="323.41584261324454"/>
    <n v="315.09425246802908"/>
    <x v="1"/>
    <n v="0"/>
    <n v="0"/>
    <n v="0"/>
    <n v="1"/>
    <n v="0.1"/>
    <x v="0"/>
    <n v="6.550457225675152E-2"/>
    <n v="1E-8"/>
    <n v="315.09425246802908"/>
    <n v="6.550457225675152E-2"/>
    <n v="11.799219731676175"/>
    <n v="28.812721360127199"/>
    <n v="12051.179561625457"/>
    <n v="14.703077944654972"/>
    <n v="814543.8173439533"/>
    <x v="3"/>
    <n v="1.1882699447435314E-6"/>
    <n v="1320511.7956162547"/>
    <n v="0.61683948605989025"/>
  </r>
  <r>
    <x v="0"/>
    <n v="100"/>
    <n v="25"/>
    <x v="0"/>
    <n v="3.2970854372563481"/>
    <n v="0.86787909214336467"/>
    <n v="3.9541080568816485"/>
    <n v="0.89188519573781377"/>
    <m/>
    <n v="0.18589983432728582"/>
    <n v="0.08"/>
    <n v="17.941136232522457"/>
    <n v="10.021615606722353"/>
    <n v="0.46421458644914004"/>
    <m/>
    <m/>
    <m/>
    <m/>
    <m/>
    <m/>
    <m/>
    <m/>
    <m/>
    <m/>
    <m/>
    <n v="0.5204869288867584"/>
    <m/>
    <m/>
    <m/>
    <m/>
    <m/>
    <m/>
    <m/>
    <m/>
    <m/>
    <m/>
    <m/>
    <n v="607.94817102150705"/>
    <n v="0.21948795522492759"/>
    <n v="0.2066518791455183"/>
    <n v="384.04521918266886"/>
    <n v="375.84087779693709"/>
    <x v="2"/>
    <n v="4.8813386259591285"/>
    <n v="1.3321822791215501"/>
    <n v="0.1"/>
    <n v="1"/>
    <n v="0.2"/>
    <x v="0"/>
    <n v="0.114350200685832"/>
    <n v="0.08"/>
    <n v="375.84087779693709"/>
    <n v="0.114350200685832"/>
    <n v="9.9743123498165751"/>
    <n v="70.240956898347918"/>
    <n v="25985.171865271754"/>
    <n v="18.992272523099395"/>
    <n v="18877.789586171391"/>
    <x v="0"/>
    <n v="2.0237169027838954E-6"/>
    <n v="1459851.7186527175"/>
    <n v="1.2931306203888647E-2"/>
  </r>
  <r>
    <x v="0"/>
    <n v="200"/>
    <n v="25"/>
    <x v="0"/>
    <n v="6.0473640305511953"/>
    <n v="1.58902744670169"/>
    <n v="7.1717772641497035"/>
    <n v="1.6483111292942345"/>
    <m/>
    <n v="0.18469002633051462"/>
    <n v="0.08"/>
    <n v="33.219414487414042"/>
    <n v="18.555803732751713"/>
    <n v="0.73450678351887566"/>
    <m/>
    <m/>
    <m/>
    <m/>
    <m/>
    <m/>
    <m/>
    <m/>
    <m/>
    <m/>
    <m/>
    <n v="0.44561173583373975"/>
    <m/>
    <m/>
    <m/>
    <m/>
    <m/>
    <m/>
    <m/>
    <m/>
    <m/>
    <m/>
    <m/>
    <n v="725.98792235476674"/>
    <n v="0.22156675928084438"/>
    <n v="0.23066169431890804"/>
    <n v="373.78253875916545"/>
    <n v="358.73453059532898"/>
    <x v="2"/>
    <n v="4.8813386259591285"/>
    <n v="1.3321822791215501"/>
    <n v="0.1"/>
    <n v="1"/>
    <n v="0.2"/>
    <x v="0"/>
    <n v="0.11817707386555258"/>
    <n v="0.08"/>
    <n v="358.73453059532898"/>
    <n v="0.11817707386555258"/>
    <n v="18.162607974399311"/>
    <n v="102.16022892372538"/>
    <n v="42005.394014198995"/>
    <n v="29.799575175339871"/>
    <n v="52275.305053782839"/>
    <x v="0"/>
    <n v="3.4015449143734128E-6"/>
    <n v="1620053.9401419898"/>
    <n v="3.2267632427844445E-2"/>
  </r>
  <r>
    <x v="0"/>
    <n v="300"/>
    <n v="25"/>
    <x v="0"/>
    <n v="8.3910312798073186"/>
    <n v="2.2319073982671385"/>
    <n v="9.9160602337946688"/>
    <n v="2.3141493580856691"/>
    <m/>
    <n v="0.18461992083968623"/>
    <n v="0.08"/>
    <n v="46.703650217353776"/>
    <n v="26.087870012418325"/>
    <n v="0.93042267988587257"/>
    <m/>
    <m/>
    <m/>
    <m/>
    <m/>
    <m/>
    <m/>
    <m/>
    <m/>
    <m/>
    <m/>
    <n v="0.40205818031362717"/>
    <m/>
    <m/>
    <m/>
    <m/>
    <m/>
    <m/>
    <m/>
    <m/>
    <m/>
    <m/>
    <m/>
    <n v="809.92630463624516"/>
    <n v="0.22508005655922023"/>
    <n v="0.24388886070235827"/>
    <n v="365.59485637989951"/>
    <n v="344.71496469330856"/>
    <x v="2"/>
    <n v="4.8813386259591285"/>
    <n v="1.3321822791215501"/>
    <n v="0.1"/>
    <n v="1"/>
    <n v="0.2"/>
    <x v="0"/>
    <n v="0.12123397582782378"/>
    <n v="0.08"/>
    <n v="344.71496469330856"/>
    <n v="0.12123397582782378"/>
    <n v="25.316660988425983"/>
    <n v="125.08026781759791"/>
    <n v="55048.341095221207"/>
    <n v="38.549834123914522"/>
    <n v="90365.467906432677"/>
    <x v="0"/>
    <n v="4.3353319460389799E-6"/>
    <n v="1750483.4109522121"/>
    <n v="5.162315012015823E-2"/>
  </r>
  <r>
    <x v="0"/>
    <n v="400"/>
    <n v="25"/>
    <x v="0"/>
    <n v="10.420839230897096"/>
    <n v="2.8169356849811433"/>
    <n v="12.302686706898285"/>
    <n v="2.9089122111409655"/>
    <m/>
    <n v="0.18482020755937137"/>
    <n v="0.08"/>
    <n v="58.773755271475387"/>
    <n v="32.83002678651895"/>
    <n v="1.0845343587814873"/>
    <m/>
    <m/>
    <m/>
    <m/>
    <m/>
    <m/>
    <m/>
    <m/>
    <m/>
    <m/>
    <m/>
    <n v="0.37283158791378557"/>
    <m/>
    <m/>
    <m/>
    <m/>
    <m/>
    <m/>
    <m/>
    <m/>
    <m/>
    <m/>
    <m/>
    <n v="875.09161611994352"/>
    <n v="0.22896914731654905"/>
    <n v="0.25265832580168907"/>
    <n v="358.75521141909098"/>
    <n v="332.8244367292001"/>
    <x v="2"/>
    <n v="4.8813386259591285"/>
    <n v="1.3321822791215501"/>
    <n v="0.1"/>
    <n v="1"/>
    <n v="0.2"/>
    <x v="0"/>
    <n v="0.12355465056259987"/>
    <n v="0.08"/>
    <n v="332.8244367292001"/>
    <n v="0.12355465056259987"/>
    <n v="31.700823479401258"/>
    <n v="143.27629987803391"/>
    <n v="66257.118165401305"/>
    <n v="46.075553526213447"/>
    <n v="130153.21907447277"/>
    <x v="0"/>
    <n v="4.9989633178618701E-6"/>
    <n v="1862571.181654013"/>
    <n v="6.9878252362357091E-2"/>
  </r>
  <r>
    <x v="0"/>
    <n v="600"/>
    <n v="25"/>
    <x v="0"/>
    <n v="13.750666849308883"/>
    <n v="3.8443736105712185"/>
    <n v="16.246424300580024"/>
    <n v="3.9260129615706609"/>
    <m/>
    <n v="0.18546102483623636"/>
    <n v="0.08"/>
    <n v="79.468464461046509"/>
    <n v="44.389741728922438"/>
    <n v="1.3165669999432623"/>
    <m/>
    <m/>
    <m/>
    <m/>
    <m/>
    <m/>
    <m/>
    <m/>
    <m/>
    <m/>
    <m/>
    <n v="0.33534453727746988"/>
    <m/>
    <m/>
    <m/>
    <m/>
    <m/>
    <m/>
    <m/>
    <m/>
    <m/>
    <m/>
    <m/>
    <n v="972.00639490921014"/>
    <n v="0.23662890611775836"/>
    <n v="0.26412928826414855"/>
    <n v="347.93963615440776"/>
    <n v="313.72289493757876"/>
    <x v="2"/>
    <n v="4.8813386259591285"/>
    <n v="1.3321822791215501"/>
    <n v="0.1"/>
    <n v="1"/>
    <n v="0.2"/>
    <x v="0"/>
    <n v="0.12688061386685112"/>
    <n v="0.08"/>
    <n v="313.72289493757876"/>
    <n v="0.12688061386685112"/>
    <n v="42.633923188238654"/>
    <n v="170.90927240173284"/>
    <n v="84652.587605597946"/>
    <n v="58.518985992479656"/>
    <n v="209149.25710455724"/>
    <x v="0"/>
    <n v="5.8527616153351458E-6"/>
    <n v="2046525.8760559794"/>
    <n v="0.10219722093503415"/>
  </r>
  <r>
    <x v="0"/>
    <n v="800"/>
    <n v="25"/>
    <x v="0"/>
    <n v="16.326271858191372"/>
    <n v="4.7053689282282694"/>
    <n v="19.326433451582233"/>
    <n v="4.7532135710533057"/>
    <m/>
    <n v="0.18626478509943228"/>
    <n v="0.08"/>
    <n v="96.352145286943951"/>
    <n v="53.820680609873328"/>
    <n v="1.4823935265830173"/>
    <m/>
    <m/>
    <m/>
    <m/>
    <m/>
    <m/>
    <m/>
    <m/>
    <m/>
    <m/>
    <m/>
    <n v="0.31187185352046382"/>
    <m/>
    <m/>
    <m/>
    <m/>
    <m/>
    <m/>
    <m/>
    <m/>
    <m/>
    <m/>
    <m/>
    <n v="1040.4549587386985"/>
    <n v="0.24346804287591128"/>
    <n v="0.27157884443215158"/>
    <n v="339.88385990695178"/>
    <n v="299.25819544719013"/>
    <x v="2"/>
    <n v="4.8813386259591285"/>
    <n v="1.3321822791215501"/>
    <n v="0.1"/>
    <n v="1"/>
    <n v="0.2"/>
    <x v="0"/>
    <n v="0.12924239500491685"/>
    <n v="0.08"/>
    <n v="299.25819544719013"/>
    <n v="0.12924239500491685"/>
    <n v="51.543311446267069"/>
    <n v="190.67109543194377"/>
    <n v="98859.396034048303"/>
    <n v="68.319756278747505"/>
    <n v="282383.22812622442"/>
    <x v="0"/>
    <n v="6.3538820406707801E-6"/>
    <n v="2188593.9603404831"/>
    <n v="0.12902495083295104"/>
  </r>
  <r>
    <x v="0"/>
    <n v="1000"/>
    <n v="25"/>
    <x v="0"/>
    <n v="18.326695955841505"/>
    <n v="5.4189612204264401"/>
    <n v="21.738801768950616"/>
    <n v="5.4239481742736624"/>
    <m/>
    <n v="0.1871635517158115"/>
    <n v="0.08"/>
    <n v="110.08187317925672"/>
    <n v="61.489874664162471"/>
    <n v="1.6034098074876981"/>
    <m/>
    <m/>
    <m/>
    <m/>
    <m/>
    <m/>
    <m/>
    <m/>
    <m/>
    <m/>
    <m/>
    <n v="0.29561672714588866"/>
    <m/>
    <m/>
    <m/>
    <m/>
    <m/>
    <m/>
    <m/>
    <m/>
    <m/>
    <m/>
    <m/>
    <n v="1089.9116088174553"/>
    <n v="0.24927598485056826"/>
    <n v="0.27688040422547583"/>
    <n v="333.81006500944977"/>
    <n v="288.20670507360632"/>
    <x v="2"/>
    <n v="4.8813386259591285"/>
    <n v="1.3321822791215501"/>
    <n v="0.1"/>
    <n v="1"/>
    <n v="0.2"/>
    <x v="0"/>
    <n v="0.1310707344593581"/>
    <n v="0.08"/>
    <n v="288.20670507360632"/>
    <n v="0.1310707344593581"/>
    <n v="58.768685274344648"/>
    <n v="204.98499794672469"/>
    <n v="109788.5494261673"/>
    <n v="76.065083211631958"/>
    <n v="346920.0403045108"/>
    <x v="0"/>
    <n v="6.6681041761402048E-6"/>
    <n v="2297885.4942616727"/>
    <n v="0.1509735977579591"/>
  </r>
  <r>
    <x v="0"/>
    <n v="1300"/>
    <n v="25"/>
    <x v="0"/>
    <n v="20.525383014726966"/>
    <n v="6.251800550339782"/>
    <n v="24.411548911503353"/>
    <n v="6.1951326555805117"/>
    <m/>
    <n v="0.18852617952783149"/>
    <n v="0.08"/>
    <n v="125.92030127201473"/>
    <n v="70.336953026602231"/>
    <n v="1.728448967082203"/>
    <m/>
    <m/>
    <m/>
    <m/>
    <m/>
    <m/>
    <m/>
    <m/>
    <m/>
    <m/>
    <m/>
    <n v="0.27900112284524431"/>
    <m/>
    <m/>
    <m/>
    <m/>
    <m/>
    <m/>
    <m/>
    <m/>
    <m/>
    <m/>
    <m/>
    <n v="1140.503348244976"/>
    <n v="0.25610011773541219"/>
    <n v="0.28253717111854804"/>
    <n v="327.3533357275852"/>
    <n v="276.27886470387443"/>
    <x v="2"/>
    <n v="4.8813386259591285"/>
    <n v="1.3321822791215501"/>
    <n v="0.1"/>
    <n v="1"/>
    <n v="0.2"/>
    <x v="0"/>
    <n v="0.13318741634152317"/>
    <n v="0.08"/>
    <n v="276.27886470387443"/>
    <n v="0.13318741634152317"/>
    <n v="67.037246370588576"/>
    <n v="219.43435605265546"/>
    <n v="121513.60400884809"/>
    <n v="84.671892589943596"/>
    <n v="425766.71896332328"/>
    <x v="0"/>
    <n v="6.9550114886702771E-6"/>
    <n v="2415136.0400884813"/>
    <n v="0.17629098812492766"/>
  </r>
  <r>
    <x v="0"/>
    <n v="1600"/>
    <n v="25"/>
    <x v="0"/>
    <n v="22.031637987979153"/>
    <n v="6.8501811156182484"/>
    <n v="26.253629113367342"/>
    <n v="6.7503870665581136"/>
    <m/>
    <n v="0.1896975094364387"/>
    <n v="0.08"/>
    <n v="137.36771762357864"/>
    <n v="76.731286410990791"/>
    <n v="1.811311803971444"/>
    <m/>
    <m/>
    <m/>
    <m/>
    <m/>
    <m/>
    <m/>
    <m/>
    <m/>
    <m/>
    <m/>
    <n v="0.26832710274419797"/>
    <m/>
    <m/>
    <m/>
    <m/>
    <m/>
    <m/>
    <m/>
    <m/>
    <m/>
    <m/>
    <m/>
    <n v="1173.9794061104822"/>
    <n v="0.26092320745593223"/>
    <n v="0.28666902626882262"/>
    <n v="323.14608147683498"/>
    <n v="268.32350412476023"/>
    <x v="2"/>
    <n v="4.8813386259591285"/>
    <n v="1.3321822791215501"/>
    <n v="0.1"/>
    <n v="1"/>
    <n v="0.2"/>
    <x v="0"/>
    <n v="0.13477483967946499"/>
    <n v="0.08"/>
    <n v="268.32350412476023"/>
    <n v="0.13477483967946499"/>
    <n v="72.885251368517714"/>
    <n v="228.26935875317892"/>
    <n v="129136.75280056916"/>
    <n v="90.490868278446726"/>
    <n v="484295.035713127"/>
    <x v="0"/>
    <n v="7.1279927313828972E-6"/>
    <n v="2491367.5280056912"/>
    <n v="0.19438923814697029"/>
  </r>
  <r>
    <x v="0"/>
    <n v="1900"/>
    <n v="25"/>
    <x v="0"/>
    <n v="23.116146323078027"/>
    <n v="7.299748833919991"/>
    <n v="27.588179643218062"/>
    <n v="7.161535176591701"/>
    <m/>
    <n v="0.19083647830776729"/>
    <n v="0.08"/>
    <n v="145.87072842629658"/>
    <n v="81.480924597795095"/>
    <n v="1.8644938771344162"/>
    <m/>
    <m/>
    <m/>
    <m/>
    <m/>
    <m/>
    <m/>
    <m/>
    <m/>
    <m/>
    <m/>
    <n v="0.26034835145804047"/>
    <m/>
    <m/>
    <m/>
    <m/>
    <m/>
    <m/>
    <m/>
    <m/>
    <m/>
    <m/>
    <m/>
    <n v="1194.8610794239196"/>
    <n v="0.26459697335320459"/>
    <n v="0.28944171016707193"/>
    <n v="320.13540028582992"/>
    <n v="262.61414085671151"/>
    <x v="2"/>
    <n v="4.8813386259591285"/>
    <n v="1.3321822791215501"/>
    <n v="0.1"/>
    <n v="1"/>
    <n v="0.2"/>
    <x v="0"/>
    <n v="0.1360362330078399"/>
    <n v="0.08"/>
    <n v="262.61414085671151"/>
    <n v="0.1360362330078399"/>
    <n v="77.219109420217421"/>
    <n v="234.07083798701132"/>
    <n v="134504.17562602216"/>
    <n v="94.792723285004229"/>
    <n v="529001.80924164678"/>
    <x v="0"/>
    <n v="7.2394777838371162E-6"/>
    <n v="2545041.7562602218"/>
    <n v="0.20785584674216959"/>
  </r>
  <r>
    <x v="0"/>
    <n v="1000"/>
    <n v="25"/>
    <x v="1"/>
    <n v="13.534718281110086"/>
    <n v="8.8601920812664829"/>
    <n v="18.761363370611846"/>
    <n v="5.6865815020136354"/>
    <m/>
    <n v="0.21986891873922662"/>
    <n v="0.08"/>
    <n v="116.02308517661722"/>
    <n v="64.808535316639038"/>
    <n v="1.3287055394975447"/>
    <m/>
    <m/>
    <m/>
    <m/>
    <m/>
    <m/>
    <m/>
    <m/>
    <m/>
    <m/>
    <m/>
    <n v="0.23365629051954079"/>
    <m/>
    <m/>
    <m/>
    <m/>
    <m/>
    <m/>
    <m/>
    <m/>
    <m/>
    <m/>
    <m/>
    <n v="783.27045395799462"/>
    <n v="0.47225736777452193"/>
    <n v="0.28552431456591831"/>
    <n v="152.59696778648475"/>
    <n v="118.91768420922234"/>
    <x v="2"/>
    <n v="4.8813386259591285"/>
    <n v="1.3321822791215501"/>
    <n v="0.1"/>
    <n v="1"/>
    <n v="0.2"/>
    <x v="0"/>
    <n v="0.13990751795483175"/>
    <n v="0.08"/>
    <n v="118.91768420922234"/>
    <n v="0.13990751795483175"/>
    <n v="78.746618110193708"/>
    <n v="223.4753918627936"/>
    <n v="130407.51396421065"/>
    <n v="95.144227684614108"/>
    <n v="268151.52854392776"/>
    <x v="1"/>
    <n v="4.6371156136007029E-6"/>
    <n v="2504075.1396421064"/>
    <n v="0.10708605516616133"/>
  </r>
  <r>
    <x v="0"/>
    <n v="1000"/>
    <n v="25"/>
    <x v="2"/>
    <n v="16.444536469059656"/>
    <n v="6.7930755191149963"/>
    <n v="20.581672284805801"/>
    <n v="5.5274834593708126"/>
    <m/>
    <n v="0.1966800707009535"/>
    <n v="0.08"/>
    <n v="112.35602950798629"/>
    <n v="62.760179970401062"/>
    <n v="1.5283492330294397"/>
    <m/>
    <m/>
    <m/>
    <m/>
    <m/>
    <m/>
    <m/>
    <m/>
    <m/>
    <m/>
    <m/>
    <n v="0.27650001022407583"/>
    <m/>
    <m/>
    <m/>
    <m/>
    <m/>
    <m/>
    <m/>
    <m/>
    <m/>
    <m/>
    <m/>
    <n v="964.6100264987241"/>
    <n v="0.33005459542419746"/>
    <n v="0.28040953360849907"/>
    <n v="241.3552875416172"/>
    <n v="200.43540998400269"/>
    <x v="2"/>
    <n v="4.8813386259591285"/>
    <n v="1.3321822791215501"/>
    <n v="0.1"/>
    <n v="1"/>
    <n v="0.2"/>
    <x v="0"/>
    <n v="0.13278601208159899"/>
    <n v="0.08"/>
    <n v="200.43540998400269"/>
    <n v="0.13278601208159899"/>
    <n v="66.876217842634262"/>
    <n v="211.87511123025666"/>
    <n v="118238.58175083491"/>
    <n v="84.364111245200831"/>
    <n v="319061.3219206144"/>
    <x v="1"/>
    <n v="5.8321895430244485E-6"/>
    <n v="2382385.8175083492"/>
    <n v="0.13392512647439661"/>
  </r>
  <r>
    <x v="0"/>
    <n v="1000"/>
    <n v="25"/>
    <x v="0"/>
    <n v="18.32625999628517"/>
    <n v="5.4187294112425342"/>
    <n v="21.738225747717571"/>
    <n v="5.4238797201527316"/>
    <m/>
    <n v="0.18716033332142523"/>
    <n v="0.08"/>
    <n v="110.08049232389553"/>
    <n v="61.489103341685521"/>
    <n v="1.6034750706338174"/>
    <m/>
    <m/>
    <m/>
    <m/>
    <m/>
    <m/>
    <m/>
    <m/>
    <m/>
    <m/>
    <m/>
    <n v="0.29563249064613567"/>
    <m/>
    <m/>
    <m/>
    <m/>
    <m/>
    <m/>
    <m/>
    <m/>
    <m/>
    <m/>
    <m/>
    <n v="1089.9487386071926"/>
    <n v="0.24927192651918612"/>
    <n v="0.27688913778394492"/>
    <n v="333.81372724492701"/>
    <n v="288.21120329028292"/>
    <x v="2"/>
    <n v="4.8813386259591285"/>
    <n v="1.3321822791215501"/>
    <n v="0.1"/>
    <n v="1"/>
    <n v="0.2"/>
    <x v="0"/>
    <n v="0.13106989826209242"/>
    <n v="0.08"/>
    <n v="288.21120329028292"/>
    <n v="0.13106989826209242"/>
    <n v="58.766570538944379"/>
    <n v="204.98088100527701"/>
    <n v="109783.12530411138"/>
    <n v="76.059537319176471"/>
    <n v="346898.97001855838"/>
    <x v="1"/>
    <n v="6.6681386297549325E-6"/>
    <n v="2297831.2530411137"/>
    <n v="0.15096799190952231"/>
  </r>
  <r>
    <x v="0"/>
    <n v="1000"/>
    <n v="25"/>
    <x v="3"/>
    <n v="19.5891223649853"/>
    <n v="4.4671809311298949"/>
    <n v="22.499406986935391"/>
    <n v="5.3559970721284937"/>
    <m/>
    <n v="0.18080917767074453"/>
    <n v="0.08"/>
    <n v="108.6135553048987"/>
    <n v="60.669697104916175"/>
    <n v="1.6531751494481384"/>
    <m/>
    <m/>
    <m/>
    <m/>
    <m/>
    <m/>
    <m/>
    <m/>
    <m/>
    <m/>
    <m/>
    <n v="0.30865871044831628"/>
    <m/>
    <m/>
    <m/>
    <m/>
    <m/>
    <m/>
    <m/>
    <m/>
    <m/>
    <m/>
    <m/>
    <n v="1206.4202529841655"/>
    <n v="0.19854660763831813"/>
    <n v="0.27427063675179864"/>
    <n v="428.57739859804065"/>
    <n v="379.83267826009671"/>
    <x v="2"/>
    <n v="4.8813386259591285"/>
    <n v="1.3321822791215501"/>
    <n v="0.1"/>
    <n v="1"/>
    <n v="0.2"/>
    <x v="0"/>
    <n v="0.1304826170774378"/>
    <n v="0.08"/>
    <n v="379.83267826009671"/>
    <n v="0.1304826170774378"/>
    <n v="53.075351318855084"/>
    <n v="200.65141425302986"/>
    <n v="103963.56916718972"/>
    <n v="70.026248301027579"/>
    <n v="362855.41528080241"/>
    <x v="1"/>
    <n v="7.262000460241039E-6"/>
    <n v="2239635.6916718972"/>
    <n v="0.16201537447812744"/>
  </r>
  <r>
    <x v="0"/>
    <n v="1000"/>
    <n v="25"/>
    <x v="4"/>
    <n v="20.495365679120138"/>
    <n v="3.7887874599109042"/>
    <n v="23.048134957496067"/>
    <n v="5.3088728382924018"/>
    <m/>
    <n v="0.17643082338310284"/>
    <n v="0.08"/>
    <n v="107.60385003966933"/>
    <n v="60.105692801450175"/>
    <n v="1.6808818614083805"/>
    <m/>
    <m/>
    <m/>
    <m/>
    <m/>
    <m/>
    <m/>
    <m/>
    <m/>
    <m/>
    <m/>
    <n v="0.31661746525257439"/>
    <m/>
    <m/>
    <m/>
    <m/>
    <m/>
    <m/>
    <m/>
    <m/>
    <m/>
    <m/>
    <m/>
    <n v="1314.1557250805656"/>
    <n v="0.16438585885139728"/>
    <n v="0.27223550046861589"/>
    <n v="524.71457380157915"/>
    <n v="473.71479437637521"/>
    <x v="2"/>
    <n v="4.8813386259591285"/>
    <n v="1.3321822791215501"/>
    <n v="0.1"/>
    <n v="1"/>
    <n v="0.2"/>
    <x v="0"/>
    <n v="0.1304640469270997"/>
    <n v="0.08"/>
    <n v="473.71479437637521"/>
    <n v="0.1304640469270997"/>
    <n v="49.00642852729365"/>
    <n v="197.72145594971795"/>
    <n v="99839.678489247774"/>
    <n v="65.6287634184729"/>
    <n v="373047.5321551119"/>
    <x v="1"/>
    <n v="7.7026703771338164E-6"/>
    <n v="2198396.784892478"/>
    <n v="0.16969071949100278"/>
  </r>
  <r>
    <x v="0"/>
    <n v="1000"/>
    <n v="25"/>
    <x v="5"/>
    <n v="21.176305855861798"/>
    <n v="3.2851279997452747"/>
    <n v="23.463847964420101"/>
    <n v="5.2749885571525246"/>
    <m/>
    <n v="0.17314898706564832"/>
    <n v="0.08"/>
    <n v="106.88101234656311"/>
    <n v="59.701927877508012"/>
    <n v="1.6962838938076956"/>
    <m/>
    <m/>
    <m/>
    <m/>
    <m/>
    <m/>
    <m/>
    <m/>
    <m/>
    <m/>
    <m/>
    <n v="0.32157110398043431"/>
    <m/>
    <m/>
    <m/>
    <m/>
    <m/>
    <m/>
    <m/>
    <m/>
    <m/>
    <m/>
    <m/>
    <n v="1417.1798821633824"/>
    <n v="0.14000806707948107"/>
    <n v="0.27056218509684427"/>
    <n v="621.73220419445533"/>
    <n v="569.03793525953427"/>
    <x v="2"/>
    <n v="4.8813386259591285"/>
    <n v="1.3321822791215501"/>
    <n v="0.1"/>
    <n v="1"/>
    <n v="0.2"/>
    <x v="0"/>
    <n v="0.13069945027537669"/>
    <n v="0.08"/>
    <n v="569.03793525953427"/>
    <n v="0.13069945027537669"/>
    <n v="45.98573445540363"/>
    <n v="195.64825701481408"/>
    <n v="96820.208623295621"/>
    <n v="62.34298645945065"/>
    <n v="380107.04950967804"/>
    <x v="1"/>
    <n v="8.0403356294412308E-6"/>
    <n v="2168202.0862329565"/>
    <n v="0.17530978866000338"/>
  </r>
  <r>
    <x v="0"/>
    <n v="1000"/>
    <n v="25"/>
    <x v="6"/>
    <n v="21.701378408171898"/>
    <n v="2.8969791845539032"/>
    <n v="23.784535177165758"/>
    <n v="5.2492848159180063"/>
    <m/>
    <n v="0.17055508053694063"/>
    <n v="0.08"/>
    <n v="106.33461818847054"/>
    <n v="59.396721331434499"/>
    <n v="1.7044997763636358"/>
    <m/>
    <m/>
    <m/>
    <m/>
    <m/>
    <m/>
    <m/>
    <m/>
    <m/>
    <m/>
    <m/>
    <n v="0.32471085798105037"/>
    <m/>
    <m/>
    <m/>
    <m/>
    <m/>
    <m/>
    <m/>
    <m/>
    <m/>
    <m/>
    <m/>
    <n v="1517.6478410084096"/>
    <n v="0.1218009586050324"/>
    <n v="0.26924373825543663"/>
    <n v="719.39876281325667"/>
    <n v="665.3979528265919"/>
    <x v="2"/>
    <n v="4.8813386259591285"/>
    <n v="1.3321822791215501"/>
    <n v="0.1"/>
    <n v="1"/>
    <n v="0.2"/>
    <x v="0"/>
    <n v="0.13106014713698647"/>
    <n v="0.08"/>
    <n v="665.3979528265919"/>
    <n v="0.13106014713698647"/>
    <n v="43.653942165994195"/>
    <n v="194.09431390867323"/>
    <n v="94494.61303644428"/>
    <n v="59.772556778089708"/>
    <n v="385073.26503190474"/>
    <x v="1"/>
    <n v="8.3065267050197712E-6"/>
    <n v="2144946.1303644427"/>
    <n v="0.17952584430009805"/>
  </r>
  <r>
    <x v="0"/>
    <n v="1000"/>
    <n v="25"/>
    <x v="7"/>
    <n v="22.122119385693804"/>
    <n v="2.5902515529540882"/>
    <n v="24.043908835533045"/>
    <n v="5.2296127052979724"/>
    <m/>
    <n v="0.16842836684148613"/>
    <n v="0.08"/>
    <n v="105.91701261717783"/>
    <n v="59.163453914227411"/>
    <n v="1.7080020992755847"/>
    <m/>
    <m/>
    <m/>
    <m/>
    <m/>
    <m/>
    <m/>
    <m/>
    <m/>
    <m/>
    <m/>
    <n v="0.3266020249540193"/>
    <m/>
    <m/>
    <m/>
    <m/>
    <m/>
    <m/>
    <m/>
    <m/>
    <m/>
    <m/>
    <m/>
    <n v="1616.437507757661"/>
    <n v="0.10773005215882832"/>
    <n v="0.26809805756930183"/>
    <n v="817.48496954337179"/>
    <n v="762.43645811986869"/>
    <x v="2"/>
    <n v="4.8813386259591285"/>
    <n v="1.3321822791215501"/>
    <n v="0.1"/>
    <n v="1"/>
    <n v="0.2"/>
    <x v="0"/>
    <n v="0.13147567358240911"/>
    <n v="0.08"/>
    <n v="762.43645811986869"/>
    <n v="0.13147567358240911"/>
    <n v="41.814847108603679"/>
    <n v="192.91418482679634"/>
    <n v="92688.411375329917"/>
    <n v="57.751284518082613"/>
    <n v="388904.58201214741"/>
    <x v="1"/>
    <n v="8.521173848060085E-6"/>
    <n v="2126884.1137532992"/>
    <n v="0.18285179690671999"/>
  </r>
  <r>
    <x v="0"/>
    <n v="1000"/>
    <n v="25"/>
    <x v="8"/>
    <n v="22.464318112919287"/>
    <n v="2.3416353359389817"/>
    <n v="24.255344699399828"/>
    <n v="5.2139299292326973"/>
    <m/>
    <n v="0.1666439829063377"/>
    <n v="0.08"/>
    <n v="105.58462109277991"/>
    <n v="58.977785624032386"/>
    <n v="1.7084603395729197"/>
    <m/>
    <m/>
    <m/>
    <m/>
    <m/>
    <m/>
    <m/>
    <m/>
    <m/>
    <m/>
    <m/>
    <n v="0.32767228611841809"/>
    <m/>
    <m/>
    <m/>
    <m/>
    <m/>
    <m/>
    <m/>
    <m/>
    <m/>
    <m/>
    <m/>
    <n v="1714.2387505227982"/>
    <n v="9.6541004259441537E-2"/>
    <n v="0.26714132425604598"/>
    <n v="915.90848710704154"/>
    <n v="860.00858073633833"/>
    <x v="2"/>
    <n v="4.8813386259591285"/>
    <n v="1.3321822791215501"/>
    <n v="0.1"/>
    <n v="1"/>
    <n v="0.2"/>
    <x v="0"/>
    <n v="0.13191836473972496"/>
    <n v="0.08"/>
    <n v="860.00858073633833"/>
    <n v="0.13191836473972496"/>
    <n v="40.323958806554984"/>
    <n v="191.97947968607298"/>
    <n v="91231.101862349737"/>
    <n v="56.104087718347124"/>
    <n v="391850.93272794638"/>
    <x v="1"/>
    <n v="8.6977689051972369E-6"/>
    <n v="2112311.0186234973"/>
    <n v="0.18550816109613388"/>
  </r>
  <r>
    <x v="0"/>
    <n v="1000"/>
    <n v="25"/>
    <x v="9"/>
    <n v="22.748532464049404"/>
    <n v="2.136311054788437"/>
    <n v="24.431608466967585"/>
    <n v="5.2012171237050584"/>
    <m/>
    <n v="0.16511743821914213"/>
    <n v="0.08"/>
    <n v="105.3154372329477"/>
    <n v="58.827424067450352"/>
    <n v="1.7068674271988886"/>
    <m/>
    <m/>
    <m/>
    <m/>
    <m/>
    <m/>
    <m/>
    <m/>
    <m/>
    <m/>
    <m/>
    <n v="0.32816692451074048"/>
    <m/>
    <m/>
    <m/>
    <m/>
    <m/>
    <m/>
    <m/>
    <m/>
    <m/>
    <m/>
    <m/>
    <n v="1811.408746868379"/>
    <n v="8.7440458849723568E-2"/>
    <n v="0.26631929638596974"/>
    <n v="1014.5817341335998"/>
    <n v="957.97503326893502"/>
    <x v="2"/>
    <n v="4.8813386259591285"/>
    <n v="1.3321822791215501"/>
    <n v="0.1"/>
    <n v="1"/>
    <n v="0.2"/>
    <x v="0"/>
    <n v="0.13236812812261931"/>
    <n v="0.08"/>
    <n v="957.97503326893502"/>
    <n v="0.13236812812261931"/>
    <n v="39.093431976584107"/>
    <n v="191.22548779194821"/>
    <n v="90036.661679493278"/>
    <n v="54.74270241763719"/>
    <n v="394205.70615407103"/>
    <x v="1"/>
    <n v="8.8454662683431012E-6"/>
    <n v="2100366.6167949326"/>
    <n v="0.18768423712409391"/>
  </r>
  <r>
    <x v="0"/>
    <n v="1000"/>
    <n v="25"/>
    <x v="0"/>
    <n v="18.32415610591006"/>
    <n v="5.4175849159755449"/>
    <n v="21.735431305020526"/>
    <n v="5.4235419339146063"/>
    <m/>
    <n v="0.18714453416053908"/>
    <n v="0.08"/>
    <n v="110.07367703130924"/>
    <n v="61.485296434382548"/>
    <n v="1.603792632439716"/>
    <m/>
    <m/>
    <m/>
    <m/>
    <m/>
    <m/>
    <m/>
    <m/>
    <m/>
    <m/>
    <m/>
    <n v="0.29570945555170253"/>
    <m/>
    <m/>
    <m/>
    <m/>
    <m/>
    <m/>
    <m/>
    <m/>
    <m/>
    <m/>
    <m/>
    <n v="1090.1306839293616"/>
    <n v="0.24925131873155754"/>
    <n v="0.27693135039707478"/>
    <n v="333.83141316562325"/>
    <n v="288.23436770950337"/>
    <x v="2"/>
    <n v="4.8813386259591285"/>
    <n v="1.3321822791215501"/>
    <n v="0.1"/>
    <n v="1"/>
    <n v="0.2"/>
    <x v="0"/>
    <n v="0.13106578895655446"/>
    <n v="0.08"/>
    <n v="288.23436770950337"/>
    <n v="0.13106578895655446"/>
    <n v="58.756177153066282"/>
    <n v="204.96056275948166"/>
    <n v="109756.6059552628"/>
    <n v="76.032533689595326"/>
    <n v="346796.59270335716"/>
    <x v="2"/>
    <n v="6.6683157661779133E-6"/>
    <n v="2297566.0595526281"/>
    <n v="0.15094085815790814"/>
  </r>
  <r>
    <x v="0"/>
    <n v="1000"/>
    <n v="25"/>
    <x v="0"/>
    <n v="17.683207525822258"/>
    <n v="5.1653499040516158"/>
    <n v="20.930071308108701"/>
    <n v="5.2270770253813854"/>
    <m/>
    <n v="0.18900203070836036"/>
    <n v="0.08"/>
    <n v="106.12186456962019"/>
    <n v="59.277880754147517"/>
    <n v="1.5443340020210066"/>
    <m/>
    <m/>
    <m/>
    <m/>
    <m/>
    <m/>
    <m/>
    <m/>
    <m/>
    <m/>
    <m/>
    <n v="0.2954488702810586"/>
    <m/>
    <m/>
    <m/>
    <m/>
    <m/>
    <m/>
    <m/>
    <m/>
    <m/>
    <m/>
    <m/>
    <n v="1064.6597426969361"/>
    <n v="0.24679084117837968"/>
    <n v="0.27845318748858278"/>
    <n v="336.49486405485192"/>
    <n v="292.49274168643291"/>
    <x v="2"/>
    <n v="4.8813386259591285"/>
    <n v="1.3321822791215501"/>
    <n v="0.1"/>
    <n v="1"/>
    <n v="0.2"/>
    <x v="1"/>
    <n v="0.1320180470459964"/>
    <n v="0.08"/>
    <n v="292.49274168643291"/>
    <n v="0.1320180470459964"/>
    <n v="56.23513147214527"/>
    <n v="193.49227393745821"/>
    <n v="102574.18949586175"/>
    <n v="72.183258166795895"/>
    <n v="394432.04721696448"/>
    <x v="2"/>
    <n v="6.4786173831616412E-6"/>
    <n v="2225741.8949586176"/>
    <n v="0.1772137407802615"/>
  </r>
  <r>
    <x v="0"/>
    <n v="1000"/>
    <n v="25"/>
    <x v="0"/>
    <n v="15.383214699396227"/>
    <n v="4.3214579816709184"/>
    <n v="18.085541597226136"/>
    <n v="4.5287140361485196"/>
    <m/>
    <n v="0.19606115803809426"/>
    <n v="0.08"/>
    <n v="92.046486891415924"/>
    <n v="51.41561256877457"/>
    <n v="1.3349177698615744"/>
    <m/>
    <m/>
    <m/>
    <m/>
    <m/>
    <m/>
    <m/>
    <m/>
    <m/>
    <m/>
    <m/>
    <n v="0.29476751219135611"/>
    <m/>
    <m/>
    <m/>
    <m/>
    <m/>
    <m/>
    <m/>
    <m/>
    <m/>
    <m/>
    <m/>
    <n v="974.83621548348185"/>
    <n v="0.23894545587364222"/>
    <n v="0.28307238981551841"/>
    <n v="345.65625171207392"/>
    <n v="307.37733055269553"/>
    <x v="2"/>
    <n v="4.8813386259591285"/>
    <n v="1.3321822791215501"/>
    <n v="0.1"/>
    <n v="1"/>
    <n v="0.2"/>
    <x v="2"/>
    <n v="0.13562329154140487"/>
    <n v="0.08"/>
    <n v="307.37733055269553"/>
    <n v="0.13562329154140487"/>
    <n v="47.65029092083676"/>
    <n v="156.98324602751489"/>
    <n v="80053.33026139735"/>
    <n v="59.655916770265691"/>
    <n v="515428.13854964427"/>
    <x v="2"/>
    <n v="5.8186461208521754E-6"/>
    <n v="2000533.3026139736"/>
    <n v="0.25764536780075897"/>
  </r>
  <r>
    <x v="0"/>
    <n v="1000"/>
    <n v="25"/>
    <x v="0"/>
    <n v="13.282680504301352"/>
    <n v="3.6192070018693023"/>
    <n v="15.537324162211416"/>
    <n v="3.8989128119969321"/>
    <m/>
    <n v="0.20313216419948979"/>
    <n v="0.08"/>
    <n v="79.318834590105865"/>
    <n v="44.30616101082208"/>
    <n v="1.1490468837543899"/>
    <m/>
    <m/>
    <m/>
    <m/>
    <m/>
    <m/>
    <m/>
    <m/>
    <m/>
    <m/>
    <m/>
    <n v="0.29470956114196228"/>
    <m/>
    <m/>
    <m/>
    <m/>
    <m/>
    <m/>
    <m/>
    <m/>
    <m/>
    <m/>
    <m/>
    <n v="895.10828849411064"/>
    <n v="0.23293631284797647"/>
    <n v="0.28649286819341024"/>
    <n v="353.63695931399496"/>
    <n v="320.58484661691557"/>
    <x v="2"/>
    <n v="4.8813386259591285"/>
    <n v="1.3321822791215501"/>
    <n v="0.1"/>
    <n v="1"/>
    <n v="0.2"/>
    <x v="3"/>
    <n v="0.13928878936908057"/>
    <n v="0.08"/>
    <n v="320.58484661691557"/>
    <n v="0.13928878936908057"/>
    <n v="40.32428020395885"/>
    <n v="128.48687932517907"/>
    <n v="62985.309961222061"/>
    <n v="49.529183464986048"/>
    <n v="583502.09626707004"/>
    <x v="2"/>
    <n v="5.1909924027172202E-6"/>
    <n v="1829853.0996122207"/>
    <n v="0.31887920204672432"/>
  </r>
  <r>
    <x v="0"/>
    <n v="1000"/>
    <n v="25"/>
    <x v="0"/>
    <n v="12.127351883258344"/>
    <n v="3.2558364071097996"/>
    <n v="14.151921646770464"/>
    <n v="3.5551933421227808"/>
    <m/>
    <n v="0.20737068197897859"/>
    <n v="0.08"/>
    <n v="72.360360872696418"/>
    <n v="40.419275146874021"/>
    <n v="1.0483476807043015"/>
    <m/>
    <m/>
    <m/>
    <m/>
    <m/>
    <m/>
    <m/>
    <m/>
    <m/>
    <m/>
    <m/>
    <n v="0.29487782514757427"/>
    <m/>
    <m/>
    <m/>
    <m/>
    <m/>
    <m/>
    <m/>
    <m/>
    <m/>
    <m/>
    <m/>
    <n v="851.9070793018858"/>
    <n v="0.23006320190112109"/>
    <n v="0.2881337693357871"/>
    <n v="357.91068880536079"/>
    <n v="327.73323894973487"/>
    <x v="2"/>
    <n v="4.8813386259591285"/>
    <n v="1.3321822791215501"/>
    <n v="0.1"/>
    <n v="1"/>
    <n v="0.2"/>
    <x v="4"/>
    <n v="0.14154772441048935"/>
    <n v="0.08"/>
    <n v="327.73323894973487"/>
    <n v="0.14154772441048935"/>
    <n v="36.465659322155659"/>
    <n v="114.29379265284106"/>
    <n v="54726.127239134417"/>
    <n v="44.36683133004717"/>
    <n v="609449.71827233746"/>
    <x v="2"/>
    <n v="4.8251991277878837E-6"/>
    <n v="1747261.2723913442"/>
    <n v="0.34880285387326748"/>
  </r>
  <r>
    <x v="0"/>
    <n v="1000"/>
    <n v="25"/>
    <x v="0"/>
    <n v="10.680140149319694"/>
    <n v="2.8192663378939731"/>
    <n v="12.429686188343606"/>
    <n v="3.1288841223745849"/>
    <m/>
    <n v="0.21298820992007361"/>
    <n v="0.08"/>
    <n v="63.718837652499353"/>
    <n v="35.592266263657677"/>
    <n v="0.92555934624323921"/>
    <m/>
    <m/>
    <m/>
    <m/>
    <m/>
    <m/>
    <m/>
    <m/>
    <m/>
    <m/>
    <m/>
    <n v="0.29581132123896303"/>
    <m/>
    <m/>
    <m/>
    <m/>
    <m/>
    <m/>
    <m/>
    <m/>
    <m/>
    <m/>
    <m/>
    <n v="799.41191119264113"/>
    <n v="0.22681717745519944"/>
    <n v="0.290286211868162"/>
    <n v="363.20824168469204"/>
    <n v="336.63223807102173"/>
    <x v="2"/>
    <n v="4.8813386259591285"/>
    <n v="1.3321822791215501"/>
    <n v="0.1"/>
    <n v="1"/>
    <n v="0.2"/>
    <x v="5"/>
    <n v="0.14468653083465424"/>
    <n v="0.08"/>
    <n v="336.63223807102173"/>
    <n v="0.14468653083465424"/>
    <n v="31.770776167927913"/>
    <n v="97.777882201674245"/>
    <n v="45335.704696978457"/>
    <n v="38.187265829096305"/>
    <n v="629817.51812539052"/>
    <x v="2"/>
    <n v="4.3490281235219051E-6"/>
    <n v="1653357.0469697844"/>
    <n v="0.38093255130807846"/>
  </r>
  <r>
    <x v="0"/>
    <n v="1000"/>
    <n v="25"/>
    <x v="0"/>
    <n v="8.8533670167244285"/>
    <n v="2.2974121190968964"/>
    <n v="10.275168036715828"/>
    <n v="2.586857308389177"/>
    <m/>
    <n v="0.22086111902182889"/>
    <n v="0.08"/>
    <n v="52.715702147421617"/>
    <n v="29.446100654554311"/>
    <n v="0.76834583810260071"/>
    <m/>
    <m/>
    <m/>
    <m/>
    <m/>
    <m/>
    <m/>
    <m/>
    <m/>
    <m/>
    <m/>
    <n v="0.29701902598603158"/>
    <m/>
    <m/>
    <m/>
    <m/>
    <m/>
    <m/>
    <m/>
    <m/>
    <m/>
    <m/>
    <m/>
    <n v="731.79552275406343"/>
    <n v="0.22358876379321971"/>
    <n v="0.29173724146040625"/>
    <n v="369.65294189934275"/>
    <n v="347.62260370276289"/>
    <x v="2"/>
    <n v="4.8813386259591285"/>
    <n v="1.3321822791215501"/>
    <n v="0.1"/>
    <n v="1"/>
    <n v="0.2"/>
    <x v="6"/>
    <n v="0.14935318971406181"/>
    <n v="0.08"/>
    <n v="347.62260370276289"/>
    <n v="0.14935318971406181"/>
    <n v="26.059530702730211"/>
    <n v="78.237712309761164"/>
    <n v="34823.491860654663"/>
    <n v="31.000271867418906"/>
    <n v="648725.02416132181"/>
    <x v="2"/>
    <n v="3.6920275721291442E-6"/>
    <n v="1548234.9186065467"/>
    <n v="0.419009425743473"/>
  </r>
  <r>
    <x v="0"/>
    <n v="1000"/>
    <n v="25"/>
    <x v="0"/>
    <n v="7.6887690835692535"/>
    <n v="1.976432484577227"/>
    <n v="8.9098044073503466"/>
    <n v="2.2379868221049857"/>
    <m/>
    <n v="0.22417946713807574"/>
    <n v="0.08"/>
    <n v="45.624885088761779"/>
    <n v="25.485290035956854"/>
    <n v="0.67971926291463935"/>
    <m/>
    <m/>
    <m/>
    <m/>
    <m/>
    <m/>
    <m/>
    <m/>
    <m/>
    <m/>
    <m/>
    <n v="0.30371906402706833"/>
    <m/>
    <m/>
    <m/>
    <m/>
    <m/>
    <m/>
    <m/>
    <m/>
    <m/>
    <m/>
    <m/>
    <n v="694.37289626597999"/>
    <n v="0.22182669722207637"/>
    <n v="0.29174603055806381"/>
    <n v="373.64567713616577"/>
    <n v="354.51326480866055"/>
    <x v="2"/>
    <n v="4.8813386259591285"/>
    <n v="1.3321822791215501"/>
    <n v="0.1"/>
    <n v="1"/>
    <n v="0.2"/>
    <x v="7"/>
    <n v="0.15183765877195854"/>
    <n v="0.08"/>
    <n v="354.51326480866055"/>
    <n v="0.15183765877195854"/>
    <n v="22.506960476228929"/>
    <n v="66.390340692460768"/>
    <n v="28817.156965806644"/>
    <n v="26.737291904531009"/>
    <n v="651961.57073151961"/>
    <x v="2"/>
    <n v="3.2504957711261584E-6"/>
    <n v="1488171.5696580664"/>
    <n v="0.43809570349561189"/>
  </r>
  <r>
    <x v="0"/>
    <n v="1000"/>
    <n v="25"/>
    <x v="0"/>
    <n v="6.2235160499692421"/>
    <n v="1.5842682359170521"/>
    <n v="7.2003338725456061"/>
    <n v="1.808328525729813"/>
    <m/>
    <n v="0.22983814793143323"/>
    <n v="0.08"/>
    <n v="36.883098624197672"/>
    <n v="20.602275798257555"/>
    <n v="0.56372551841944318"/>
    <m/>
    <m/>
    <m/>
    <m/>
    <m/>
    <m/>
    <m/>
    <m/>
    <m/>
    <m/>
    <m/>
    <n v="0.31173844265490003"/>
    <m/>
    <m/>
    <m/>
    <m/>
    <m/>
    <m/>
    <m/>
    <m/>
    <m/>
    <m/>
    <m/>
    <n v="645.11154445373677"/>
    <n v="0.220027052072927"/>
    <n v="0.2926679994650998"/>
    <n v="378.73523562075877"/>
    <n v="363.24878524401532"/>
    <x v="2"/>
    <n v="4.8813386259591285"/>
    <n v="1.3321822791215501"/>
    <n v="0.1"/>
    <n v="1"/>
    <n v="0.2"/>
    <x v="8"/>
    <n v="0.15643664246284575"/>
    <n v="0.08"/>
    <n v="363.24878524401532"/>
    <n v="0.15643664246284575"/>
    <n v="18.118362324589633"/>
    <n v="52.467579335067747"/>
    <n v="22010.807018761065"/>
    <n v="21.405902512067243"/>
    <n v="641713.30081922875"/>
    <x v="2"/>
    <n v="2.6732119698746773E-6"/>
    <n v="1420108.0701876106"/>
    <n v="0.45187638482643927"/>
  </r>
  <r>
    <x v="0"/>
    <n v="1000"/>
    <n v="25"/>
    <x v="0"/>
    <n v="4.2761997280632125"/>
    <n v="1.081900744611527"/>
    <n v="4.9411302259189238"/>
    <n v="1.2359517896068803"/>
    <m/>
    <n v="0.23937384022350669"/>
    <n v="0.08"/>
    <n v="25.223779790364247"/>
    <n v="14.089577267097196"/>
    <n v="0.39880544326107037"/>
    <m/>
    <m/>
    <m/>
    <m/>
    <m/>
    <m/>
    <m/>
    <m/>
    <m/>
    <m/>
    <m/>
    <n v="0.32267071144248965"/>
    <m/>
    <m/>
    <m/>
    <m/>
    <m/>
    <m/>
    <m/>
    <m/>
    <m/>
    <m/>
    <m/>
    <n v="574.12007531345273"/>
    <n v="0.21895815231429588"/>
    <n v="0.29205206101999726"/>
    <n v="385.3580909063661"/>
    <n v="374.71735368291752"/>
    <x v="2"/>
    <n v="4.8813386259591285"/>
    <n v="1.3321822791215501"/>
    <n v="0.1"/>
    <n v="1"/>
    <n v="0.2"/>
    <x v="9"/>
    <n v="0.1660253863367992"/>
    <n v="0.08"/>
    <n v="374.71735368291752"/>
    <n v="0.1660253863367992"/>
    <n v="12.416268935557422"/>
    <n v="34.902600673905951"/>
    <n v="13908.209291130073"/>
    <n v="14.689449546073314"/>
    <n v="611446.8017641732"/>
    <x v="2"/>
    <n v="1.8460388452250662E-6"/>
    <n v="1339082.0929113007"/>
    <n v="0.45661636803373695"/>
  </r>
  <r>
    <x v="0"/>
    <n v="1000"/>
    <n v="25"/>
    <x v="0"/>
    <n v="18.322785492549187"/>
    <n v="5.4168433522088986"/>
    <n v="21.733613186777365"/>
    <n v="5.4233237566037857"/>
    <m/>
    <n v="0.18713436017619497"/>
    <n v="0.08"/>
    <n v="110.06927514228686"/>
    <n v="61.482837613538983"/>
    <n v="1.6039982857813371"/>
    <m/>
    <m/>
    <m/>
    <m/>
    <m/>
    <m/>
    <m/>
    <m/>
    <m/>
    <m/>
    <m/>
    <n v="0.29575927194613932"/>
    <m/>
    <m/>
    <m/>
    <m/>
    <m/>
    <m/>
    <m/>
    <m/>
    <m/>
    <m/>
    <m/>
    <n v="1090.2483835548735"/>
    <n v="0.24923804917557299"/>
    <n v="0.27695888575692607"/>
    <n v="333.84294046940147"/>
    <n v="288.24924066420539"/>
    <x v="2"/>
    <n v="4.8813386259591285"/>
    <n v="1.3321822791215501"/>
    <n v="0.1"/>
    <n v="1"/>
    <n v="0.2"/>
    <x v="0"/>
    <n v="0.13106316036395219"/>
    <n v="0.08"/>
    <n v="288.24924066420539"/>
    <n v="0.13106316036395219"/>
    <n v="58.749435012659667"/>
    <n v="204.94744055319271"/>
    <n v="109739.39280165172"/>
    <n v="76.014966696298686"/>
    <n v="346730.03301001852"/>
    <x v="3"/>
    <n v="6.6684291703027763E-6"/>
    <n v="2297393.9280165173"/>
    <n v="0.15092319553110861"/>
  </r>
  <r>
    <x v="1"/>
    <n v="1000"/>
    <n v="25"/>
    <x v="0"/>
    <n v="18.201518189229688"/>
    <n v="5.5141181478788495"/>
    <n v="21.663820211069513"/>
    <n v="5.4308810572103159"/>
    <m/>
    <n v="0.18782791251068967"/>
    <n v="0.08"/>
    <n v="110.23257064578758"/>
    <n v="61.574051723123851"/>
    <n v="1.5977424519410031"/>
    <m/>
    <m/>
    <m/>
    <m/>
    <m/>
    <m/>
    <m/>
    <m/>
    <m/>
    <m/>
    <m/>
    <n v="0.29419581005548967"/>
    <m/>
    <m/>
    <m/>
    <m/>
    <m/>
    <m/>
    <m/>
    <m/>
    <m/>
    <m/>
    <m/>
    <n v="1079.6882390675389"/>
    <n v="0.25453119967554538"/>
    <n v="0.24632888935790287"/>
    <n v="326.10887729541196"/>
    <n v="280.8170130970372"/>
    <x v="2"/>
    <n v="4.8813386259591285"/>
    <n v="1.3321822791215501"/>
    <n v="0.1"/>
    <n v="1"/>
    <n v="0.2"/>
    <x v="0"/>
    <n v="0.13116442832909705"/>
    <n v="0.08"/>
    <n v="280.8170130970372"/>
    <n v="0.13116442832909705"/>
    <n v="59.3371343022866"/>
    <n v="205.43477051169822"/>
    <n v="110375.51586257503"/>
    <n v="76.662408648462744"/>
    <n v="345243.86336657824"/>
    <x v="3"/>
    <n v="6.6102721958564504E-6"/>
    <n v="2303755.1586257503"/>
    <n v="0.14986135226823546"/>
  </r>
  <r>
    <x v="2"/>
    <n v="1000"/>
    <n v="25"/>
    <x v="0"/>
    <n v="18.032768170998448"/>
    <n v="5.6355714750820347"/>
    <n v="21.558922274992476"/>
    <n v="5.4391105400613764"/>
    <m/>
    <n v="0.18866319504160736"/>
    <n v="0.08"/>
    <n v="110.41309375707483"/>
    <n v="61.67488888337968"/>
    <n v="1.5909976404447352"/>
    <m/>
    <m/>
    <m/>
    <m/>
    <m/>
    <m/>
    <m/>
    <m/>
    <m/>
    <m/>
    <m/>
    <n v="0.29251062811214384"/>
    <m/>
    <m/>
    <m/>
    <m/>
    <m/>
    <m/>
    <m/>
    <m/>
    <m/>
    <m/>
    <m/>
    <n v="1067.0876039407965"/>
    <n v="0.26140320945537626"/>
    <n v="0.21586009194300068"/>
    <n v="316.46085198666492"/>
    <n v="271.58878371842832"/>
    <x v="2"/>
    <n v="4.8813386259591285"/>
    <n v="1.3321822791215501"/>
    <n v="0.1"/>
    <n v="1"/>
    <n v="0.2"/>
    <x v="0"/>
    <n v="0.13128467113496498"/>
    <n v="0.08"/>
    <n v="271.58878371842832"/>
    <n v="0.13128467113496498"/>
    <n v="60.053351548148385"/>
    <n v="205.9748084439108"/>
    <n v="111076.00575695843"/>
    <n v="77.372538137293589"/>
    <n v="342772.19741291314"/>
    <x v="3"/>
    <n v="6.5354778818483374E-6"/>
    <n v="2310760.0575695843"/>
    <n v="0.14833742529435737"/>
  </r>
  <r>
    <x v="3"/>
    <n v="1000"/>
    <n v="25"/>
    <x v="0"/>
    <n v="17.805494428747267"/>
    <n v="5.8021495813924497"/>
    <n v="21.419324922381112"/>
    <n v="5.45071623718297"/>
    <m/>
    <n v="0.1898336789885918"/>
    <n v="0.08"/>
    <n v="110.66762400247046"/>
    <n v="61.817065178491674"/>
    <n v="1.5811963110608582"/>
    <m/>
    <m/>
    <m/>
    <m/>
    <m/>
    <m/>
    <m/>
    <m/>
    <m/>
    <m/>
    <m/>
    <n v="0.29008964001363047"/>
    <m/>
    <m/>
    <m/>
    <m/>
    <m/>
    <m/>
    <m/>
    <m/>
    <m/>
    <m/>
    <m/>
    <n v="1050.2345025628219"/>
    <n v="0.27088386783515139"/>
    <n v="0.18536343724470017"/>
    <n v="303.94279101955772"/>
    <n v="259.63634703239347"/>
    <x v="2"/>
    <n v="4.8813386259591285"/>
    <n v="1.3321822791215501"/>
    <n v="0.1"/>
    <n v="1"/>
    <n v="0.2"/>
    <x v="0"/>
    <n v="0.13146862069262985"/>
    <n v="0.08"/>
    <n v="259.63634703239347"/>
    <n v="0.13146862069262985"/>
    <n v="61.038853745412979"/>
    <n v="206.73856330291758"/>
    <n v="112058.71281015732"/>
    <n v="78.363717872131176"/>
    <n v="339472.18430757383"/>
    <x v="3"/>
    <n v="6.4340904481892543E-6"/>
    <n v="2320587.1281015733"/>
    <n v="0.14628719611372201"/>
  </r>
  <r>
    <x v="4"/>
    <n v="1000"/>
    <n v="25"/>
    <x v="0"/>
    <n v="17.489554553686975"/>
    <n v="6.0461287532159576"/>
    <n v="21.232785355855313"/>
    <n v="5.4707436696311342"/>
    <m/>
    <n v="0.19030180901533056"/>
    <n v="0.08"/>
    <n v="111.10241684469744"/>
    <n v="62.059933114885496"/>
    <n v="1.585639793533451"/>
    <m/>
    <m/>
    <m/>
    <m/>
    <m/>
    <m/>
    <m/>
    <m/>
    <m/>
    <m/>
    <m/>
    <n v="0.28983989915951647"/>
    <m/>
    <m/>
    <m/>
    <m/>
    <m/>
    <m/>
    <m/>
    <m/>
    <m/>
    <m/>
    <m/>
    <n v="1036.265150854467"/>
    <n v="0.28475438581818618"/>
    <n v="0.15472771151692918"/>
    <n v="286.96559664573471"/>
    <n v="243.44525408774211"/>
    <x v="2"/>
    <n v="4.8813386259591285"/>
    <n v="1.3321822791215501"/>
    <n v="0.1"/>
    <n v="1"/>
    <n v="0.2"/>
    <x v="0"/>
    <n v="0.13125131961991618"/>
    <n v="0.08"/>
    <n v="243.44525408774211"/>
    <n v="0.13125131961991618"/>
    <n v="62.509289333788104"/>
    <n v="208.0495628290943"/>
    <n v="113715.27503803137"/>
    <n v="80.017007395048438"/>
    <n v="335334.20198952168"/>
    <x v="3"/>
    <n v="6.2857436419119081E-6"/>
    <n v="2337152.750380314"/>
    <n v="0.14347979691740487"/>
  </r>
  <r>
    <x v="5"/>
    <n v="1000"/>
    <n v="25"/>
    <x v="0"/>
    <n v="16.973624817573199"/>
    <n v="6.4104139040121906"/>
    <n v="20.908825105559206"/>
    <n v="5.4979398118490455"/>
    <m/>
    <n v="0.1933915554022744"/>
    <n v="0.08"/>
    <n v="111.70191511665331"/>
    <n v="62.394802721836328"/>
    <n v="1.5578666799831096"/>
    <m/>
    <m/>
    <m/>
    <m/>
    <m/>
    <m/>
    <m/>
    <m/>
    <m/>
    <m/>
    <m/>
    <n v="0.28335462615025864"/>
    <m/>
    <m/>
    <m/>
    <m/>
    <m/>
    <m/>
    <m/>
    <m/>
    <m/>
    <m/>
    <m/>
    <n v="1000.0573825711115"/>
    <n v="0.30658891026391527"/>
    <n v="0.12422192601811548"/>
    <n v="263.36047619244039"/>
    <n v="221.12404257955714"/>
    <x v="2"/>
    <n v="4.8813386259591285"/>
    <n v="1.3321822791215501"/>
    <n v="0.1"/>
    <n v="1"/>
    <n v="0.2"/>
    <x v="0"/>
    <n v="0.13197621939039883"/>
    <n v="0.08"/>
    <n v="221.12404257955714"/>
    <n v="0.13197621939039883"/>
    <n v="64.635748879341406"/>
    <n v="209.8704671140687"/>
    <n v="115893.45368424842"/>
    <n v="82.126867277896892"/>
    <n v="327340.27374909952"/>
    <x v="3"/>
    <n v="6.0617815410526016E-6"/>
    <n v="2358934.536842484"/>
    <n v="0.1387661542262448"/>
  </r>
  <r>
    <x v="6"/>
    <n v="1000"/>
    <n v="25"/>
    <x v="0"/>
    <n v="16.101975467093165"/>
    <n v="7.0524266331693273"/>
    <n v="20.376347699667733"/>
    <n v="5.5488147466984472"/>
    <m/>
    <n v="0.19914537275746394"/>
    <n v="0.08"/>
    <n v="112.82814631685997"/>
    <n v="63.023896444022604"/>
    <n v="1.5052222657560836"/>
    <m/>
    <m/>
    <m/>
    <m/>
    <m/>
    <m/>
    <m/>
    <m/>
    <m/>
    <m/>
    <m/>
    <n v="0.27126915106540422"/>
    <m/>
    <m/>
    <m/>
    <m/>
    <m/>
    <m/>
    <m/>
    <m/>
    <m/>
    <m/>
    <m/>
    <n v="940.53731757418154"/>
    <n v="0.3461084752339757"/>
    <n v="9.3612675199225448E-2"/>
    <n v="227.99364046775588"/>
    <n v="187.92618469613927"/>
    <x v="2"/>
    <n v="4.8813386259591285"/>
    <n v="1.3321822791215501"/>
    <n v="0.1"/>
    <n v="1"/>
    <n v="0.2"/>
    <x v="0"/>
    <n v="0.13344213740437"/>
    <n v="0.08"/>
    <n v="187.92618469613927"/>
    <n v="0.13344213740437"/>
    <n v="68.40473760848414"/>
    <n v="213.33376154386707"/>
    <n v="119905.74357245848"/>
    <n v="85.929804852094932"/>
    <n v="313791.1297953343"/>
    <x v="3"/>
    <n v="5.6814707939527469E-6"/>
    <n v="2399057.4357245849"/>
    <n v="0.13079767292047356"/>
  </r>
  <r>
    <x v="7"/>
    <n v="1000"/>
    <n v="25"/>
    <x v="0"/>
    <n v="14.328543908476465"/>
    <n v="8.3361145966203658"/>
    <n v="19.27946061777039"/>
    <n v="5.6438261215515713"/>
    <m/>
    <n v="0.21463528443920893"/>
    <n v="0.08"/>
    <n v="115.00875615150215"/>
    <n v="64.241948259013483"/>
    <n v="1.3631258641805335"/>
    <m/>
    <m/>
    <m/>
    <m/>
    <m/>
    <m/>
    <m/>
    <m/>
    <m/>
    <m/>
    <m/>
    <n v="0.24152513469103651"/>
    <m/>
    <m/>
    <m/>
    <m/>
    <m/>
    <m/>
    <m/>
    <m/>
    <m/>
    <m/>
    <m/>
    <n v="818.20497242560157"/>
    <n v="0.43238318549932608"/>
    <n v="6.2926343049402339E-2"/>
    <n v="172.29657383351542"/>
    <n v="136.64204033533366"/>
    <x v="2"/>
    <n v="4.8813386259591285"/>
    <n v="1.3321822791215501"/>
    <n v="0.1"/>
    <n v="1"/>
    <n v="0.2"/>
    <x v="0"/>
    <n v="0.13812007112010949"/>
    <n v="0.08"/>
    <n v="136.64204033533366"/>
    <n v="0.13812007112010949"/>
    <n v="75.80411750137516"/>
    <n v="220.2032028821653"/>
    <n v="127541.52703262253"/>
    <n v="92.940561511331097"/>
    <n v="289577.95195199904"/>
    <x v="3"/>
    <n v="4.933252196258249E-6"/>
    <n v="2475415.2703262251"/>
    <n v="0.11698156484016385"/>
  </r>
  <r>
    <x v="8"/>
    <n v="1000"/>
    <n v="25"/>
    <x v="0"/>
    <n v="9.9163003307440984"/>
    <n v="4.8671780016971038"/>
    <n v="12.782356340657557"/>
    <n v="3.6403278910163346"/>
    <m/>
    <n v="0.22255549249640927"/>
    <n v="0.08"/>
    <n v="74.404322120367894"/>
    <n v="41.560997369687797"/>
    <n v="1.0348926070741928"/>
    <m/>
    <m/>
    <m/>
    <m/>
    <m/>
    <m/>
    <m/>
    <m/>
    <m/>
    <m/>
    <m/>
    <n v="0.28428554736185141"/>
    <m/>
    <m/>
    <m/>
    <m/>
    <m/>
    <m/>
    <m/>
    <m/>
    <m/>
    <m/>
    <m/>
    <n v="687.69498110467964"/>
    <n v="0.38077314322835748"/>
    <n v="4.8354324607970012E-2"/>
    <n v="194.9242304356446"/>
    <n v="170.24867756758323"/>
    <x v="2"/>
    <n v="4.8813386259591285"/>
    <n v="1.3321822791215501"/>
    <n v="0.1"/>
    <n v="1"/>
    <n v="0.2"/>
    <x v="0"/>
    <n v="0.14347398194889052"/>
    <n v="0.08"/>
    <n v="170.24867756758323"/>
    <n v="0.14347398194889052"/>
    <n v="46.031293848085937"/>
    <n v="118.3738552648645"/>
    <n v="62604.678729832121"/>
    <n v="54.612948361097821"/>
    <n v="660456.67423298245"/>
    <x v="3"/>
    <n v="3.6640956526901177E-6"/>
    <n v="1826046.7872983213"/>
    <n v="0.36168661111369632"/>
  </r>
  <r>
    <x v="9"/>
    <n v="1000"/>
    <n v="25"/>
    <x v="0"/>
    <n v="3.4966618651997816"/>
    <n v="1.0838774544437864"/>
    <n v="4.147943124105776"/>
    <n v="1.0694804933540485"/>
    <m/>
    <n v="0.24819727909721073"/>
    <n v="0.08"/>
    <n v="21.854271227698561"/>
    <n v="12.207426707570043"/>
    <n v="0.37363227666693932"/>
    <m/>
    <m/>
    <m/>
    <m/>
    <m/>
    <m/>
    <m/>
    <m/>
    <m/>
    <m/>
    <m/>
    <n v="0.34935866431296325"/>
    <m/>
    <m/>
    <m/>
    <m/>
    <m/>
    <m/>
    <m/>
    <m/>
    <m/>
    <m/>
    <m/>
    <n v="494.90543871038778"/>
    <n v="0.26130480144359536"/>
    <n v="4.2022260030327468E-2"/>
    <n v="316.79024729568948"/>
    <n v="308.08930037691835"/>
    <x v="2"/>
    <n v="4.8813386259591285"/>
    <n v="1.3321822791215501"/>
    <n v="0.1"/>
    <n v="1"/>
    <n v="0.2"/>
    <x v="0"/>
    <n v="0.16903070277111232"/>
    <n v="0.08"/>
    <n v="308.08930037691835"/>
    <n v="0.16903070277111232"/>
    <n v="11.641247701045771"/>
    <n v="30.013987699623673"/>
    <n v="12207.662156503686"/>
    <n v="13.723024974016807"/>
    <n v="835224.67896419356"/>
    <x v="3"/>
    <n v="1.240174512288868E-6"/>
    <n v="1322076.6215650369"/>
    <n v="0.63175209767757501"/>
  </r>
  <r>
    <x v="0"/>
    <n v="100"/>
    <n v="25"/>
    <x v="0"/>
    <n v="3.1127853264087859"/>
    <n v="0.38527353774737982"/>
    <n v="3.5077545623580604"/>
    <n v="4.2990905738047109"/>
    <m/>
    <n v="0.91282781106501554"/>
    <n v="0.36"/>
    <n v="21.648702561148582"/>
    <n v="7.9851771741941509"/>
    <n v="1.2812743056337972"/>
    <m/>
    <m/>
    <m/>
    <m/>
    <m/>
    <m/>
    <m/>
    <m/>
    <m/>
    <m/>
    <m/>
    <n v="0.29803380125110152"/>
    <m/>
    <m/>
    <m/>
    <m/>
    <m/>
    <m/>
    <m/>
    <m/>
    <m/>
    <m/>
    <m/>
    <n v="1015.1933127576999"/>
    <n v="0.10983480482978339"/>
    <n v="0.17588531357922282"/>
    <n v="382.30218735683854"/>
    <n v="374.55615994080119"/>
    <x v="3"/>
    <n v="19.525354503836514"/>
    <n v="5.3287291164862003"/>
    <n v="0.4"/>
    <n v="1"/>
    <n v="0.5"/>
    <x v="0"/>
    <n v="0.86965036907921511"/>
    <n v="0.36"/>
    <n v="374.55615994080119"/>
    <n v="0.86965036907921511"/>
    <n v="6.0071717388907295"/>
    <n v="70.527856199167402"/>
    <n v="24011.837280475327"/>
    <n v="10.405130631066354"/>
    <n v="16643.022275217474"/>
    <x v="0"/>
    <n v="1.9314530939432928E-6"/>
    <n v="1440118.3728047532"/>
    <n v="1.1556704358131178E-2"/>
  </r>
  <r>
    <x v="0"/>
    <n v="200"/>
    <n v="25"/>
    <x v="0"/>
    <n v="5.9269083451859634"/>
    <n v="0.58720245499125356"/>
    <n v="6.5147314739042912"/>
    <n v="7.9438022168865388"/>
    <m/>
    <n v="0.97914980736513457"/>
    <n v="0.36"/>
    <n v="40.097426589458784"/>
    <n v="14.790034397751192"/>
    <n v="1.9458450248815504"/>
    <m/>
    <m/>
    <m/>
    <m/>
    <m/>
    <m/>
    <m/>
    <m/>
    <m/>
    <m/>
    <m/>
    <n v="0.24495134341904562"/>
    <m/>
    <m/>
    <m/>
    <m/>
    <m/>
    <m/>
    <m/>
    <m/>
    <m/>
    <m/>
    <m/>
    <n v="1328.4256107236745"/>
    <n v="9.0134560011165279E-2"/>
    <n v="0.19923291090809453"/>
    <n v="370.25135898395808"/>
    <n v="355.5030982828992"/>
    <x v="3"/>
    <n v="19.525354503836514"/>
    <n v="5.3287291164862003"/>
    <n v="0.4"/>
    <n v="1"/>
    <n v="0.5"/>
    <x v="0"/>
    <n v="0.96972976039650027"/>
    <n v="0.36"/>
    <n v="355.5030982828992"/>
    <n v="0.96972976039650027"/>
    <n v="10.066297555776655"/>
    <n v="102.57201908178224"/>
    <n v="37588.42311411933"/>
    <n v="15.1167414072982"/>
    <n v="47027.465258548458"/>
    <x v="0"/>
    <n v="3.438498759871846E-6"/>
    <n v="1575884.2311411933"/>
    <n v="2.9841954332199275E-2"/>
  </r>
  <r>
    <x v="0"/>
    <n v="300"/>
    <n v="25"/>
    <x v="0"/>
    <n v="8.419679782556706"/>
    <n v="0.73134550660659448"/>
    <n v="9.1463250371350693"/>
    <n v="11.14743947839294"/>
    <m/>
    <n v="0.99999999928676842"/>
    <n v="0.36"/>
    <n v="56.370634053560174"/>
    <n v="20.792446986968919"/>
    <n v="2.5472734485458641"/>
    <m/>
    <m/>
    <m/>
    <m/>
    <m/>
    <m/>
    <m/>
    <m/>
    <m/>
    <m/>
    <m/>
    <n v="0.228507492997225"/>
    <m/>
    <m/>
    <m/>
    <m/>
    <m/>
    <m/>
    <m/>
    <m/>
    <m/>
    <m/>
    <m/>
    <n v="1613.1112617619156"/>
    <n v="7.9960585660060465E-2"/>
    <n v="0.21275632536958566"/>
    <n v="360.42571346383886"/>
    <n v="339.47453748898471"/>
    <x v="3"/>
    <n v="19.525354503836514"/>
    <n v="5.3287291164862003"/>
    <n v="0.4"/>
    <n v="1"/>
    <n v="0.5"/>
    <x v="0"/>
    <n v="0.99999999900000003"/>
    <n v="0.36"/>
    <n v="339.47453748898471"/>
    <n v="0.99999999900000003"/>
    <n v="13.339489418327709"/>
    <n v="125.47029389754151"/>
    <n v="48297.335343803352"/>
    <n v="18.918706612485209"/>
    <n v="82494.580716114389"/>
    <x v="0"/>
    <n v="4.5472866254981593E-6"/>
    <n v="1682973.3534380335"/>
    <n v="4.9017163906720056E-2"/>
  </r>
  <r>
    <x v="0"/>
    <n v="400"/>
    <n v="25"/>
    <x v="0"/>
    <n v="10.647714075244435"/>
    <n v="0.84210945662637737"/>
    <n v="11.483386306192211"/>
    <n v="14.001634930878495"/>
    <m/>
    <n v="0.99999999926132332"/>
    <n v="0.36"/>
    <n v="70.910903468178105"/>
    <n v="26.155661115311602"/>
    <n v="3.1466121083970524"/>
    <m/>
    <m/>
    <m/>
    <m/>
    <m/>
    <m/>
    <m/>
    <m/>
    <m/>
    <m/>
    <m/>
    <n v="0.22473176339269307"/>
    <m/>
    <m/>
    <m/>
    <m/>
    <m/>
    <m/>
    <m/>
    <m/>
    <m/>
    <m/>
    <m/>
    <n v="1898.8476064002236"/>
    <n v="7.3332850970300012E-2"/>
    <n v="0.22199787814319641"/>
    <n v="352.0368655578938"/>
    <n v="325.5415522016973"/>
    <x v="3"/>
    <n v="19.525354503836514"/>
    <n v="5.3287291164862003"/>
    <n v="0.4"/>
    <n v="1"/>
    <n v="0.5"/>
    <x v="0"/>
    <n v="0.99999999900000003"/>
    <n v="0.36"/>
    <n v="325.5415522016973"/>
    <n v="0.99999999900000003"/>
    <n v="16.136644964104061"/>
    <n v="143.52232325672293"/>
    <n v="57372.778013640956"/>
    <n v="22.324677797111377"/>
    <n v="120441.86250030209"/>
    <x v="0"/>
    <n v="5.3916363742377158E-6"/>
    <n v="1773727.7801364097"/>
    <n v="6.7903239634122106E-2"/>
  </r>
  <r>
    <x v="0"/>
    <n v="600"/>
    <n v="25"/>
    <x v="0"/>
    <n v="14.434021629112133"/>
    <n v="1.0106383306704902"/>
    <n v="15.435772251597523"/>
    <n v="18.8630874249736"/>
    <m/>
    <n v="0.9999999992284081"/>
    <n v="0.36"/>
    <n v="95.769372590858993"/>
    <n v="35.324768578595538"/>
    <n v="4.1808500724984654"/>
    <m/>
    <m/>
    <m/>
    <m/>
    <m/>
    <m/>
    <m/>
    <m/>
    <m/>
    <m/>
    <m/>
    <n v="0.22164187538903468"/>
    <m/>
    <m/>
    <m/>
    <m/>
    <m/>
    <m/>
    <m/>
    <m/>
    <m/>
    <m/>
    <m/>
    <n v="2392.8175795946586"/>
    <n v="6.5473778324624754E-2"/>
    <n v="0.2339756607762116"/>
    <n v="338.30973024618277"/>
    <n v="302.39254334542466"/>
    <x v="3"/>
    <n v="19.525354503836514"/>
    <n v="5.3287291164862003"/>
    <n v="0.4"/>
    <n v="1"/>
    <n v="0.5"/>
    <x v="0"/>
    <n v="0.99999999899999992"/>
    <n v="0.36"/>
    <n v="302.39254334542466"/>
    <n v="0.99999999899999992"/>
    <n v="20.726834616043853"/>
    <n v="170.7565516988486"/>
    <n v="71853.339687414598"/>
    <n v="27.816031161210233"/>
    <n v="197686.9745741146"/>
    <x v="0"/>
    <n v="6.5770672190577447E-6"/>
    <n v="1918533.3968741461"/>
    <n v="0.1030406741400513"/>
  </r>
  <r>
    <x v="0"/>
    <n v="800"/>
    <n v="25"/>
    <x v="0"/>
    <n v="17.474906241996209"/>
    <n v="1.1331318592964328"/>
    <n v="18.59636008679939"/>
    <n v="22.784822874940748"/>
    <m/>
    <n v="0.99999999920793681"/>
    <n v="0.36"/>
    <n v="115.91832887759756"/>
    <n v="42.756760651572868"/>
    <n v="5.0324726813838225"/>
    <m/>
    <m/>
    <m/>
    <m/>
    <m/>
    <m/>
    <m/>
    <m/>
    <m/>
    <m/>
    <m/>
    <n v="0.22086951077063879"/>
    <m/>
    <m/>
    <m/>
    <m/>
    <m/>
    <m/>
    <m/>
    <m/>
    <m/>
    <m/>
    <m/>
    <n v="2800.4515342903996"/>
    <n v="6.0932991940760788E-2"/>
    <n v="0.24169696978314301"/>
    <n v="327.6991091047804"/>
    <n v="284.2151935984881"/>
    <x v="3"/>
    <n v="19.525354503836514"/>
    <n v="5.3287291164862003"/>
    <n v="0.4"/>
    <n v="1"/>
    <n v="0.5"/>
    <x v="0"/>
    <n v="0.99999999900000003"/>
    <n v="0.36"/>
    <n v="284.2151935984881"/>
    <n v="0.99999999900000003"/>
    <n v="24.313352379707847"/>
    <n v="189.95094346539"/>
    <n v="82616.779818575626"/>
    <n v="32.00422259659593"/>
    <n v="271087.62036884041"/>
    <x v="0"/>
    <n v="7.3517935644872587E-6"/>
    <n v="2026167.7981857562"/>
    <n v="0.13379327250762449"/>
  </r>
  <r>
    <x v="0"/>
    <n v="1000"/>
    <n v="25"/>
    <x v="0"/>
    <n v="19.899983593283565"/>
    <n v="1.2241661932902814"/>
    <n v="21.10896344403448"/>
    <n v="25.927284175969614"/>
    <m/>
    <n v="0.99999999919405802"/>
    <n v="0.36"/>
    <n v="132.13904742459562"/>
    <n v="48.739812574645931"/>
    <n v="5.728852212224524"/>
    <m/>
    <m/>
    <m/>
    <m/>
    <m/>
    <m/>
    <m/>
    <m/>
    <m/>
    <m/>
    <m/>
    <n v="0.22095843796606512"/>
    <m/>
    <m/>
    <m/>
    <m/>
    <m/>
    <m/>
    <m/>
    <m/>
    <m/>
    <m/>
    <m/>
    <n v="3134.4073389398295"/>
    <n v="5.7992719374206796E-2"/>
    <n v="0.24720318334614846"/>
    <n v="319.49948490178446"/>
    <n v="269.98123282756779"/>
    <x v="3"/>
    <n v="19.525354503836514"/>
    <n v="5.3287291164862003"/>
    <n v="0.4"/>
    <n v="1"/>
    <n v="0.5"/>
    <x v="0"/>
    <n v="0.99999999900000014"/>
    <n v="0.36"/>
    <n v="269.98123282756779"/>
    <n v="0.99999999900000014"/>
    <n v="27.125477073865444"/>
    <n v="203.54965483684657"/>
    <n v="90551.811156177297"/>
    <n v="35.20904680546294"/>
    <n v="336700.89849998464"/>
    <x v="0"/>
    <n v="7.8839828147999133E-6"/>
    <n v="2105518.1115617729"/>
    <n v="0.15991356077684651"/>
  </r>
  <r>
    <x v="0"/>
    <n v="1300"/>
    <n v="25"/>
    <x v="0"/>
    <n v="22.625230321258957"/>
    <n v="1.3199288234875872"/>
    <n v="23.923961507693338"/>
    <n v="29.478462084412854"/>
    <m/>
    <n v="0.99999999918021509"/>
    <n v="0.36"/>
    <n v="150.57301968090627"/>
    <n v="55.539228570826083"/>
    <n v="6.5338483829743446"/>
    <m/>
    <m/>
    <m/>
    <m/>
    <m/>
    <m/>
    <m/>
    <m/>
    <m/>
    <m/>
    <m/>
    <n v="0.22164821096380083"/>
    <m/>
    <m/>
    <m/>
    <m/>
    <m/>
    <m/>
    <m/>
    <m/>
    <m/>
    <m/>
    <m/>
    <n v="3521.209276705797"/>
    <n v="5.5171833605531073E-2"/>
    <n v="0.25303574824768327"/>
    <n v="310.58484629961328"/>
    <n v="254.28508521862472"/>
    <x v="3"/>
    <n v="19.525354503836514"/>
    <n v="5.3287291164862003"/>
    <n v="0.4"/>
    <n v="1"/>
    <n v="0.5"/>
    <x v="0"/>
    <n v="0.99999999900000014"/>
    <n v="0.36"/>
    <n v="254.28508521862472"/>
    <n v="0.99999999900000014"/>
    <n v="30.241246085130534"/>
    <n v="216.84510336086959"/>
    <n v="98633.657606662833"/>
    <n v="38.661606515365854"/>
    <n v="417567.14232422487"/>
    <x v="0"/>
    <n v="8.4141301986013469E-6"/>
    <n v="2186336.5760666281"/>
    <n v="0.19098941439083331"/>
  </r>
  <r>
    <x v="0"/>
    <n v="1600"/>
    <n v="25"/>
    <x v="0"/>
    <n v="24.546860636455335"/>
    <n v="1.3833100660666999"/>
    <n v="25.902977097576869"/>
    <n v="31.997576905094007"/>
    <m/>
    <n v="0.99999999917121529"/>
    <n v="0.36"/>
    <n v="163.73585992124748"/>
    <n v="60.394374561115882"/>
    <n v="7.1184855621202239"/>
    <m/>
    <m/>
    <m/>
    <m/>
    <m/>
    <m/>
    <m/>
    <m/>
    <m/>
    <m/>
    <m/>
    <n v="0.22246951958999628"/>
    <m/>
    <m/>
    <m/>
    <m/>
    <m/>
    <m/>
    <m/>
    <m/>
    <m/>
    <m/>
    <m/>
    <n v="3802.6711149410548"/>
    <n v="5.3403516547760203E-2"/>
    <n v="0.25706122451521501"/>
    <n v="304.50967203339354"/>
    <n v="243.4283338809424"/>
    <x v="3"/>
    <n v="19.525354503836514"/>
    <n v="5.3287291164862003"/>
    <n v="0.4"/>
    <n v="1"/>
    <n v="0.5"/>
    <x v="0"/>
    <n v="0.99999999900000003"/>
    <n v="0.36"/>
    <n v="243.4283338809424"/>
    <n v="0.99999999900000003"/>
    <n v="32.411350507238581"/>
    <n v="224.78884720010083"/>
    <n v="103694.18470925637"/>
    <n v="40.995724035173659"/>
    <n v="478729.36558571586"/>
    <x v="0"/>
    <n v="8.7567004597708479E-6"/>
    <n v="2236941.8470925638"/>
    <n v="0.21401064413361401"/>
  </r>
  <r>
    <x v="0"/>
    <n v="1900"/>
    <n v="25"/>
    <x v="0"/>
    <n v="25.922750572264718"/>
    <n v="1.4265298750147084"/>
    <n v="27.316669175073528"/>
    <n v="33.810187872438057"/>
    <m/>
    <n v="0.99999999916502502"/>
    <n v="0.36"/>
    <n v="173.26399930534006"/>
    <n v="63.908852202789376"/>
    <n v="7.5471104752833753"/>
    <m/>
    <m/>
    <m/>
    <m/>
    <m/>
    <m/>
    <m/>
    <m/>
    <m/>
    <m/>
    <m/>
    <n v="0.22322001000875102"/>
    <m/>
    <m/>
    <m/>
    <m/>
    <m/>
    <m/>
    <m/>
    <m/>
    <m/>
    <m/>
    <m/>
    <n v="4009.3286420989357"/>
    <n v="5.2221955241761958E-2"/>
    <n v="0.25995133399529824"/>
    <n v="300.27844760845278"/>
    <n v="235.77340445724977"/>
    <x v="3"/>
    <n v="19.525354503836514"/>
    <n v="5.3287291164862003"/>
    <n v="0.4"/>
    <n v="1"/>
    <n v="0.5"/>
    <x v="0"/>
    <n v="0.99999999900000003"/>
    <n v="0.36"/>
    <n v="235.77340445724977"/>
    <n v="0.99999999900000003"/>
    <n v="33.951540326321847"/>
    <n v="229.64844809167707"/>
    <n v="106935.99188967173"/>
    <n v="42.613018028905664"/>
    <n v="524338.34166251903"/>
    <x v="0"/>
    <n v="8.9914218899987299E-6"/>
    <n v="2269359.918896717"/>
    <n v="0.23105120404057983"/>
  </r>
  <r>
    <x v="0"/>
    <n v="1000"/>
    <n v="25"/>
    <x v="1"/>
    <n v="19.890893968177139"/>
    <n v="1.3499023785083653"/>
    <n v="21.174770519699216"/>
    <n v="25.753861340972012"/>
    <m/>
    <n v="0.99999999917671101"/>
    <n v="0.36"/>
    <n v="133.86554144575024"/>
    <n v="49.37663413982591"/>
    <n v="5.5585046940198133"/>
    <m/>
    <m/>
    <m/>
    <m/>
    <m/>
    <m/>
    <m/>
    <m/>
    <m/>
    <m/>
    <m/>
    <n v="0.21583189489246593"/>
    <m/>
    <m/>
    <m/>
    <m/>
    <m/>
    <m/>
    <m/>
    <m/>
    <m/>
    <m/>
    <m/>
    <n v="2851.0958439134679"/>
    <n v="6.3750508051670748E-2"/>
    <n v="0.25286910461423689"/>
    <n v="121.33916874296848"/>
    <n v="71.843496903559313"/>
    <x v="3"/>
    <n v="19.525354503836514"/>
    <n v="5.3287291164862003"/>
    <n v="0.4"/>
    <n v="1"/>
    <n v="0.5"/>
    <x v="0"/>
    <n v="0.99999999900000003"/>
    <n v="0.36"/>
    <n v="71.843496903559313"/>
    <n v="0.99999999900000003"/>
    <n v="27.809458422938018"/>
    <n v="207.8331397455477"/>
    <n v="92755.643293511472"/>
    <n v="35.737005161608948"/>
    <n v="342142.79060008301"/>
    <x v="1"/>
    <n v="7.7893240215381055E-6"/>
    <n v="2127556.4329351149"/>
    <n v="0.16081490732919021"/>
  </r>
  <r>
    <x v="0"/>
    <n v="1000"/>
    <n v="25"/>
    <x v="2"/>
    <n v="19.88421214981047"/>
    <n v="1.263980813571002"/>
    <n v="21.115773397807331"/>
    <n v="25.914351314215146"/>
    <m/>
    <n v="0.99999999919398597"/>
    <n v="0.36"/>
    <n v="132.53851368848456"/>
    <n v="48.887156688375455"/>
    <n v="5.7303537485147977"/>
    <m/>
    <m/>
    <m/>
    <m/>
    <m/>
    <m/>
    <m/>
    <m/>
    <m/>
    <m/>
    <m/>
    <n v="0.22112665214087185"/>
    <m/>
    <m/>
    <m/>
    <m/>
    <m/>
    <m/>
    <m/>
    <m/>
    <m/>
    <m/>
    <m/>
    <n v="3035.5572728832244"/>
    <n v="5.9859555686568137E-2"/>
    <n v="0.24811660836604549"/>
    <n v="219.85940691049842"/>
    <n v="170.38039862582684"/>
    <x v="3"/>
    <n v="19.525354503836514"/>
    <n v="5.3287291164862003"/>
    <n v="0.4"/>
    <n v="1"/>
    <n v="0.5"/>
    <x v="0"/>
    <n v="0.99999999900000003"/>
    <n v="0.36"/>
    <n v="170.38039862582684"/>
    <n v="0.99999999900000003"/>
    <n v="27.328881531028792"/>
    <n v="204.53314574680513"/>
    <n v="91033.841702116406"/>
    <n v="35.29519073773875"/>
    <n v="337617.8626283289"/>
    <x v="1"/>
    <n v="7.858418898753826E-6"/>
    <n v="2110338.4170211642"/>
    <n v="0.15998280650403524"/>
  </r>
  <r>
    <x v="0"/>
    <n v="1000"/>
    <n v="25"/>
    <x v="0"/>
    <n v="19.90001592020781"/>
    <n v="1.2241671208487952"/>
    <n v="21.10899769534905"/>
    <n v="25.927328322016127"/>
    <m/>
    <n v="0.9999999991940578"/>
    <n v="0.36"/>
    <n v="132.13926971921512"/>
    <n v="48.739894568562953"/>
    <n v="5.7288633010412653"/>
    <m/>
    <m/>
    <m/>
    <m/>
    <m/>
    <m/>
    <m/>
    <m/>
    <m/>
    <m/>
    <m/>
    <n v="0.2209584894320413"/>
    <m/>
    <m/>
    <m/>
    <m/>
    <m/>
    <m/>
    <m/>
    <m/>
    <m/>
    <m/>
    <m/>
    <n v="3134.4126442195361"/>
    <n v="5.7992669217000116E-2"/>
    <n v="0.24720326256719102"/>
    <n v="319.4993799291023"/>
    <n v="269.98099369890497"/>
    <x v="3"/>
    <n v="19.525354503836514"/>
    <n v="5.3287291164862003"/>
    <n v="0.4"/>
    <n v="1"/>
    <n v="0.5"/>
    <x v="0"/>
    <n v="0.99999999900000003"/>
    <n v="0.36"/>
    <n v="269.98099369890497"/>
    <n v="0.99999999900000003"/>
    <n v="27.125513856928599"/>
    <n v="203.55020087420922"/>
    <n v="90552.072303297929"/>
    <n v="35.209085012527446"/>
    <n v="336702.2246123841"/>
    <x v="1"/>
    <n v="7.8839827643186893E-6"/>
    <n v="2105520.7230329793"/>
    <n v="0.15991399226285852"/>
  </r>
  <r>
    <x v="0"/>
    <n v="1000"/>
    <n v="25"/>
    <x v="3"/>
    <n v="19.916974243288845"/>
    <n v="1.1927688777766583"/>
    <n v="21.108470673501021"/>
    <n v="25.911339833140165"/>
    <m/>
    <n v="0.99999999919188431"/>
    <n v="0.36"/>
    <n v="131.85761717524534"/>
    <n v="48.636006335131484"/>
    <n v="5.6968096022864536"/>
    <m/>
    <m/>
    <m/>
    <m/>
    <m/>
    <m/>
    <m/>
    <m/>
    <m/>
    <m/>
    <m/>
    <n v="0.21985777806056678"/>
    <m/>
    <m/>
    <m/>
    <m/>
    <m/>
    <m/>
    <m/>
    <m/>
    <m/>
    <m/>
    <m/>
    <n v="3218.1360393885479"/>
    <n v="5.6506645897091291E-2"/>
    <n v="0.2467778775669783"/>
    <n v="419.29189747617005"/>
    <n v="369.73123824532206"/>
    <x v="3"/>
    <n v="19.525354503836514"/>
    <n v="5.3287291164862003"/>
    <n v="0.4"/>
    <n v="1"/>
    <n v="0.5"/>
    <x v="0"/>
    <n v="0.99999999900000003"/>
    <n v="0.36"/>
    <n v="369.73123824532206"/>
    <n v="0.99999999900000003"/>
    <n v="26.969711839893925"/>
    <n v="202.85947332460958"/>
    <n v="90238.066103353674"/>
    <n v="35.185323204928608"/>
    <n v="336236.54955714184"/>
    <x v="1"/>
    <n v="7.9029789208734614E-6"/>
    <n v="2102380.6610335368"/>
    <n v="0.15993133678838489"/>
  </r>
  <r>
    <x v="0"/>
    <n v="1000"/>
    <n v="25"/>
    <x v="4"/>
    <n v="19.934128323260232"/>
    <n v="1.164742249661652"/>
    <n v="21.110149465503245"/>
    <n v="25.886270334861241"/>
    <m/>
    <n v="0.99999999918904359"/>
    <n v="0.36"/>
    <n v="131.6193965759195"/>
    <n v="48.548138081281785"/>
    <n v="5.655317012225602"/>
    <m/>
    <m/>
    <m/>
    <m/>
    <m/>
    <m/>
    <m/>
    <m/>
    <m/>
    <m/>
    <m/>
    <n v="0.2184678186184876"/>
    <m/>
    <m/>
    <m/>
    <m/>
    <m/>
    <m/>
    <m/>
    <m/>
    <m/>
    <m/>
    <m/>
    <n v="3297.1893234773347"/>
    <n v="5.5174514589060288E-2"/>
    <n v="0.24650838789007259"/>
    <n v="519.13407696232389"/>
    <n v="469.53081736453237"/>
    <x v="3"/>
    <n v="19.525354503836514"/>
    <n v="5.3287291164862003"/>
    <n v="0.4"/>
    <n v="1"/>
    <n v="0.5"/>
    <x v="0"/>
    <n v="0.99999999900000003"/>
    <n v="0.36"/>
    <n v="469.53081736453237"/>
    <n v="0.99999999900000003"/>
    <n v="26.832711389147629"/>
    <n v="202.27699329365299"/>
    <n v="89985.121517706837"/>
    <n v="35.183013671222525"/>
    <n v="335929.41726916126"/>
    <x v="1"/>
    <n v="7.9195165929231289E-6"/>
    <n v="2099851.2151770685"/>
    <n v="0.15997772358401796"/>
  </r>
  <r>
    <x v="0"/>
    <n v="1000"/>
    <n v="25"/>
    <x v="5"/>
    <n v="19.952225058922814"/>
    <n v="1.1380165669758238"/>
    <n v="21.113616631975603"/>
    <n v="25.857054890954952"/>
    <m/>
    <n v="0.99912917296810511"/>
    <n v="0.36"/>
    <n v="131.40107158856071"/>
    <n v="48.467608372829766"/>
    <n v="5.6197210600912371"/>
    <m/>
    <m/>
    <m/>
    <m/>
    <m/>
    <m/>
    <m/>
    <m/>
    <m/>
    <m/>
    <m/>
    <n v="0.2173380179525809"/>
    <m/>
    <m/>
    <m/>
    <m/>
    <m/>
    <m/>
    <m/>
    <m/>
    <m/>
    <m/>
    <m/>
    <n v="3379.2099098037038"/>
    <n v="5.389965096043043E-2"/>
    <n v="0.24631708860107021"/>
    <n v="618.99780412216137"/>
    <n v="569.34937975808293"/>
    <x v="3"/>
    <n v="19.525354503836514"/>
    <n v="5.3287291164862003"/>
    <n v="0.4"/>
    <n v="1"/>
    <n v="0.5"/>
    <x v="0"/>
    <n v="0.99893079109786032"/>
    <n v="0.36"/>
    <n v="569.34937975808293"/>
    <n v="0.99893079109786032"/>
    <n v="26.708041616434542"/>
    <n v="201.74454864480731"/>
    <n v="89772.411866056646"/>
    <n v="35.208767181144744"/>
    <n v="335743.12423546938"/>
    <x v="1"/>
    <n v="7.9347077886781789E-6"/>
    <n v="2097724.1186605664"/>
    <n v="0.16005113410711377"/>
  </r>
  <r>
    <x v="0"/>
    <n v="1000"/>
    <n v="25"/>
    <x v="6"/>
    <n v="20.018422985737388"/>
    <n v="1.0797245043676231"/>
    <n v="21.150245544326179"/>
    <n v="25.786787358603416"/>
    <m/>
    <n v="0.95855462950603065"/>
    <n v="0.36"/>
    <n v="130.99872956834415"/>
    <n v="48.319203529307266"/>
    <n v="6.0428744158050911"/>
    <m/>
    <m/>
    <m/>
    <m/>
    <m/>
    <m/>
    <m/>
    <m/>
    <m/>
    <m/>
    <m/>
    <n v="0.23433994827544763"/>
    <m/>
    <m/>
    <m/>
    <m/>
    <m/>
    <m/>
    <m/>
    <m/>
    <m/>
    <m/>
    <m/>
    <n v="3690.3940835289609"/>
    <n v="5.1050211313375171E-2"/>
    <n v="0.24644099162613631"/>
    <n v="718.76991382948836"/>
    <n v="668.95687562641751"/>
    <x v="3"/>
    <n v="19.525354503836514"/>
    <n v="5.3287291164862003"/>
    <n v="0.4"/>
    <n v="1"/>
    <n v="0.5"/>
    <x v="0"/>
    <n v="0.95042643151000372"/>
    <n v="0.36"/>
    <n v="668.95687562641751"/>
    <n v="0.95042643151000372"/>
    <n v="26.634827441059524"/>
    <n v="200.7667829775518"/>
    <n v="89884.768668166857"/>
    <n v="36.017339584439547"/>
    <n v="337368.8373196313"/>
    <x v="1"/>
    <n v="7.9523887549896758E-6"/>
    <n v="2098847.6866816683"/>
    <n v="0.16074002866450021"/>
  </r>
  <r>
    <x v="0"/>
    <n v="1000"/>
    <n v="25"/>
    <x v="7"/>
    <n v="20.079794046104606"/>
    <n v="1.0251781692126518"/>
    <n v="21.183670261489862"/>
    <n v="25.728721876474541"/>
    <m/>
    <n v="0.92748277992251871"/>
    <n v="0.36"/>
    <n v="130.67080707604964"/>
    <n v="48.198248511657653"/>
    <n v="6.4133205319251054"/>
    <m/>
    <m/>
    <m/>
    <m/>
    <m/>
    <m/>
    <m/>
    <m/>
    <m/>
    <m/>
    <m/>
    <n v="0.249266969525961"/>
    <m/>
    <m/>
    <m/>
    <m/>
    <m/>
    <m/>
    <m/>
    <m/>
    <m/>
    <m/>
    <m/>
    <n v="3975.228695436339"/>
    <n v="4.8394737859772101E-2"/>
    <n v="0.24648225716138902"/>
    <n v="818.53452545690959"/>
    <n v="768.56842947378766"/>
    <x v="3"/>
    <n v="19.525354503836514"/>
    <n v="5.3287291164862003"/>
    <n v="0.4"/>
    <n v="1"/>
    <n v="0.5"/>
    <x v="0"/>
    <n v="0.91491410750495994"/>
    <n v="0.36"/>
    <n v="768.56842947378766"/>
    <n v="0.91491410750495994"/>
    <n v="26.513693412465958"/>
    <n v="199.97315885528681"/>
    <n v="89888.799739513561"/>
    <n v="36.541693456285238"/>
    <n v="338617.90394835715"/>
    <x v="1"/>
    <n v="7.9730150259800361E-6"/>
    <n v="2098887.9973951355"/>
    <n v="0.16133205028977501"/>
  </r>
  <r>
    <x v="0"/>
    <n v="1000"/>
    <n v="25"/>
    <x v="8"/>
    <n v="20.13607788047079"/>
    <n v="0.97531286233140346"/>
    <n v="21.21426837997732"/>
    <n v="25.680819663217513"/>
    <m/>
    <n v="0.90293087892769608"/>
    <n v="0.36"/>
    <n v="130.40243822734485"/>
    <n v="48.099260001889498"/>
    <n v="6.7374801820356893"/>
    <m/>
    <m/>
    <m/>
    <m/>
    <m/>
    <m/>
    <m/>
    <m/>
    <m/>
    <m/>
    <m/>
    <n v="0.26235456151291553"/>
    <m/>
    <m/>
    <m/>
    <m/>
    <m/>
    <m/>
    <m/>
    <m/>
    <m/>
    <m/>
    <m/>
    <n v="4236.9385190116773"/>
    <n v="4.5974381244838679E-2"/>
    <n v="0.24647619424131051"/>
    <n v="918.30416749799076"/>
    <n v="868.19842799383446"/>
    <x v="3"/>
    <n v="19.525354503836514"/>
    <n v="5.3287291164862003"/>
    <n v="0.4"/>
    <n v="1"/>
    <n v="0.5"/>
    <x v="0"/>
    <n v="0.88777091612981074"/>
    <n v="0.36"/>
    <n v="868.19842799383446"/>
    <n v="0.88777091612981074"/>
    <n v="26.372856856846205"/>
    <n v="199.32584441732436"/>
    <n v="89838.177882472548"/>
    <n v="36.887782919006284"/>
    <n v="339622.07785137004"/>
    <x v="1"/>
    <n v="7.9942395303305051E-6"/>
    <n v="2098381.7788247252"/>
    <n v="0.16184951722254645"/>
  </r>
  <r>
    <x v="0"/>
    <n v="1000"/>
    <n v="25"/>
    <x v="9"/>
    <n v="20.187409651590041"/>
    <n v="0.92953346354160094"/>
    <n v="21.241930785490183"/>
    <n v="25.639392907688201"/>
    <m/>
    <n v="0.88222212938629174"/>
    <n v="0.36"/>
    <n v="130.17242340757412"/>
    <n v="48.014418470006838"/>
    <n v="7.0334150452048796"/>
    <m/>
    <m/>
    <m/>
    <m/>
    <m/>
    <m/>
    <m/>
    <m/>
    <m/>
    <m/>
    <m/>
    <n v="0.27432065456962701"/>
    <m/>
    <m/>
    <m/>
    <m/>
    <m/>
    <m/>
    <m/>
    <m/>
    <m/>
    <m/>
    <m/>
    <n v="4484.5606550769426"/>
    <n v="4.3759367871424447E-2"/>
    <n v="0.24644885290356119"/>
    <n v="1018.0868183651492"/>
    <n v="967.85313247450654"/>
    <x v="3"/>
    <n v="19.525354503836514"/>
    <n v="5.3287291164862003"/>
    <n v="0.4"/>
    <n v="1"/>
    <n v="0.5"/>
    <x v="0"/>
    <n v="0.86544531094658794"/>
    <n v="0.36"/>
    <n v="967.85313247450654"/>
    <n v="0.86544531094658794"/>
    <n v="26.226099523986662"/>
    <n v="198.77259321129702"/>
    <n v="89758.971089361105"/>
    <n v="37.129167640439476"/>
    <n v="340450.83925105573"/>
    <x v="1"/>
    <n v="8.015012089148576E-6"/>
    <n v="2097589.710893611"/>
    <n v="0.16230573475973886"/>
  </r>
  <r>
    <x v="0"/>
    <n v="1000"/>
    <n v="25"/>
    <x v="0"/>
    <n v="19.899985985786515"/>
    <n v="1.2241657240066366"/>
    <n v="21.108965740231518"/>
    <n v="25.927290202386637"/>
    <m/>
    <n v="0.99999999919405802"/>
    <n v="0.36"/>
    <n v="132.13907780971718"/>
    <n v="48.739823782272737"/>
    <n v="5.7288557769706401"/>
    <m/>
    <m/>
    <m/>
    <m/>
    <m/>
    <m/>
    <m/>
    <m/>
    <m/>
    <m/>
    <m/>
    <n v="0.22095852409764336"/>
    <m/>
    <m/>
    <m/>
    <m/>
    <m/>
    <m/>
    <m/>
    <m/>
    <m/>
    <m/>
    <m/>
    <n v="3134.4090746642128"/>
    <n v="5.7992690834373882E-2"/>
    <n v="0.24720329416483514"/>
    <n v="319.49951131105394"/>
    <n v="269.98118617889293"/>
    <x v="3"/>
    <n v="19.525354503836514"/>
    <n v="5.3287291164862003"/>
    <n v="0.4"/>
    <n v="1"/>
    <n v="0.5"/>
    <x v="0"/>
    <n v="0.99999999900000003"/>
    <n v="0.36"/>
    <n v="269.98118617889293"/>
    <n v="0.99999999900000003"/>
    <n v="27.125476912689678"/>
    <n v="203.54972947380088"/>
    <n v="90551.830628641605"/>
    <n v="35.209027502873283"/>
    <n v="336700.9970184663"/>
    <x v="2"/>
    <n v="7.8839828049544733E-6"/>
    <n v="2105518.306286416"/>
    <n v="0.15991359277816913"/>
  </r>
  <r>
    <x v="0"/>
    <n v="1000"/>
    <n v="25"/>
    <x v="0"/>
    <n v="19.183818195478928"/>
    <n v="1.1852821782755087"/>
    <n v="20.342691952640781"/>
    <n v="25.041675328302375"/>
    <m/>
    <n v="0.99999999919537852"/>
    <n v="0.36"/>
    <n v="127.67593526295421"/>
    <n v="47.093582678958519"/>
    <n v="5.5747408052559564"/>
    <m/>
    <m/>
    <m/>
    <m/>
    <m/>
    <m/>
    <m/>
    <m/>
    <m/>
    <m/>
    <m/>
    <n v="0.22261852420693767"/>
    <m/>
    <m/>
    <m/>
    <m/>
    <m/>
    <m/>
    <m/>
    <m/>
    <m/>
    <m/>
    <m/>
    <n v="3062.5800928643484"/>
    <n v="5.8265748753160554E-2"/>
    <n v="0.2489654951025429"/>
    <n v="322.94587574242939"/>
    <n v="275.20969023637281"/>
    <x v="3"/>
    <n v="19.525354503836514"/>
    <n v="5.3287291164862003"/>
    <n v="0.4"/>
    <n v="1"/>
    <n v="0.5"/>
    <x v="1"/>
    <n v="0.99999999900000003"/>
    <n v="0.36"/>
    <n v="275.20969023637281"/>
    <n v="0.99999999900000003"/>
    <n v="26.212338495374841"/>
    <n v="192.85789839624357"/>
    <n v="84921.45473199882"/>
    <n v="33.635168813395907"/>
    <n v="381859.25643680524"/>
    <x v="2"/>
    <n v="7.6177870123777988E-6"/>
    <n v="2049214.5473199883"/>
    <n v="0.18634420536210319"/>
  </r>
  <r>
    <x v="0"/>
    <n v="1000"/>
    <n v="25"/>
    <x v="0"/>
    <n v="16.681084952491592"/>
    <n v="1.053409567565732"/>
    <n v="17.676293019329641"/>
    <n v="21.928303807435114"/>
    <m/>
    <n v="0.99999999920116855"/>
    <n v="0.36"/>
    <n v="111.9502655241747"/>
    <n v="41.293130726130009"/>
    <n v="5.0129672192871517"/>
    <m/>
    <m/>
    <m/>
    <m/>
    <m/>
    <m/>
    <m/>
    <m/>
    <m/>
    <m/>
    <m/>
    <n v="0.22860715827858202"/>
    <m/>
    <m/>
    <m/>
    <m/>
    <m/>
    <m/>
    <m/>
    <m/>
    <m/>
    <m/>
    <m/>
    <n v="2799.4263432297935"/>
    <n v="5.9594484342038914E-2"/>
    <n v="0.25448355619740309"/>
    <n v="334.45122662639915"/>
    <n v="292.94273358621672"/>
    <x v="3"/>
    <n v="19.525354503836514"/>
    <n v="5.3287291164862003"/>
    <n v="0.4"/>
    <n v="1"/>
    <n v="0.5"/>
    <x v="2"/>
    <n v="0.99999999900000003"/>
    <n v="0.36"/>
    <n v="292.94273358621672"/>
    <n v="0.99999999900000003"/>
    <n v="23.042322367528733"/>
    <n v="158.9199235366101"/>
    <n v="67391.907823670947"/>
    <n v="28.481389685463366"/>
    <n v="499436.31675437221"/>
    <x v="2"/>
    <n v="6.7302788390026857E-6"/>
    <n v="1873919.0782367093"/>
    <n v="0.26651968196210685"/>
  </r>
  <r>
    <x v="0"/>
    <n v="1000"/>
    <n v="25"/>
    <x v="0"/>
    <n v="14.417619849408339"/>
    <n v="0.93828615316510811"/>
    <n v="15.276880650935835"/>
    <n v="19.087150532041203"/>
    <m/>
    <n v="0.99999999920828131"/>
    <n v="0.36"/>
    <n v="97.55483253108892"/>
    <n v="35.983339868024608"/>
    <n v="4.4744718254402613"/>
    <m/>
    <m/>
    <m/>
    <m/>
    <m/>
    <m/>
    <m/>
    <m/>
    <m/>
    <m/>
    <m/>
    <n v="0.23442324813905871"/>
    <m/>
    <m/>
    <m/>
    <m/>
    <m/>
    <m/>
    <m/>
    <m/>
    <m/>
    <m/>
    <m/>
    <n v="2545.645270315933"/>
    <n v="6.1418700231033768E-2"/>
    <n v="0.25877747012670943"/>
    <n v="344.28564495066433"/>
    <n v="308.40935759580299"/>
    <x v="3"/>
    <n v="19.525354503836514"/>
    <n v="5.3287291164862003"/>
    <n v="0.4"/>
    <n v="1"/>
    <n v="0.5"/>
    <x v="3"/>
    <n v="0.99999999900000003"/>
    <n v="0.36"/>
    <n v="308.40935759580299"/>
    <n v="0.99999999900000003"/>
    <n v="20.193562599391704"/>
    <n v="131.86715569926224"/>
    <n v="53896.446960143017"/>
    <n v="24.179934278714509"/>
    <n v="569842.26721137762"/>
    <x v="2"/>
    <n v="5.9294404734710427E-6"/>
    <n v="1738964.4696014302"/>
    <n v="0.32769057515130551"/>
  </r>
  <r>
    <x v="0"/>
    <n v="1000"/>
    <n v="25"/>
    <x v="0"/>
    <n v="13.167927453169785"/>
    <n v="0.87582630235999781"/>
    <n v="13.955857042780094"/>
    <n v="17.507955979403068"/>
    <m/>
    <n v="0.99999999921314697"/>
    <n v="0.36"/>
    <n v="89.536491710392752"/>
    <n v="33.025755139079301"/>
    <n v="4.165020311944593"/>
    <m/>
    <m/>
    <m/>
    <m/>
    <m/>
    <m/>
    <m/>
    <m/>
    <m/>
    <m/>
    <m/>
    <n v="0.23789300800415875"/>
    <m/>
    <m/>
    <m/>
    <m/>
    <m/>
    <m/>
    <m/>
    <m/>
    <m/>
    <m/>
    <m/>
    <n v="2399.277429173062"/>
    <n v="6.2756898388630078E-2"/>
    <n v="0.26092626970737265"/>
    <n v="349.53391443514852"/>
    <n v="316.7672732007656"/>
    <x v="3"/>
    <n v="19.525354503836514"/>
    <n v="5.3287291164862003"/>
    <n v="0.4"/>
    <n v="1"/>
    <n v="0.5"/>
    <x v="4"/>
    <n v="0.99999999900000003"/>
    <n v="0.36"/>
    <n v="316.7672732007656"/>
    <n v="0.99999999900000003"/>
    <n v="18.623425737108622"/>
    <n v="118.09026509366478"/>
    <n v="47231.98032319676"/>
    <n v="21.916310278459509"/>
    <n v="598257.96548087848"/>
    <x v="2"/>
    <n v="5.4764144264120318E-6"/>
    <n v="1672319.8032319676"/>
    <n v="0.35774136282107644"/>
  </r>
  <r>
    <x v="0"/>
    <n v="1000"/>
    <n v="25"/>
    <x v="0"/>
    <n v="11.626483276915474"/>
    <n v="0.80937174938079437"/>
    <n v="12.33395888609224"/>
    <n v="15.496894123665513"/>
    <m/>
    <n v="0.99999999922197447"/>
    <n v="0.36"/>
    <n v="79.310166175454938"/>
    <n v="29.253749818815351"/>
    <n v="3.7190159839748844"/>
    <m/>
    <m/>
    <m/>
    <m/>
    <m/>
    <m/>
    <m/>
    <m/>
    <m/>
    <m/>
    <m/>
    <n v="0.23998460299832117"/>
    <m/>
    <m/>
    <m/>
    <m/>
    <m/>
    <m/>
    <m/>
    <m/>
    <m/>
    <m/>
    <m/>
    <n v="2185.9958161902323"/>
    <n v="6.5621408086047786E-2"/>
    <n v="0.26079258537442368"/>
    <n v="355.41865862396673"/>
    <n v="326.48782420279099"/>
    <x v="3"/>
    <n v="19.525354503836514"/>
    <n v="5.3287291164862003"/>
    <n v="0.4"/>
    <n v="1"/>
    <n v="0.5"/>
    <x v="5"/>
    <n v="0.99999999900000003"/>
    <n v="0.36"/>
    <n v="326.48782420279099"/>
    <n v="0.99999999900000003"/>
    <n v="16.744430680876505"/>
    <n v="101.61840615907265"/>
    <n v="39686.286177353228"/>
    <n v="19.497487635475171"/>
    <n v="626797.95503926405"/>
    <x v="2"/>
    <n v="4.896990277864841E-6"/>
    <n v="1596862.8617735323"/>
    <n v="0.39251833707443112"/>
  </r>
  <r>
    <x v="0"/>
    <n v="1000"/>
    <n v="25"/>
    <x v="0"/>
    <n v="9.6186371417337462"/>
    <n v="0.72545199060903465"/>
    <n v="10.226335854442915"/>
    <n v="12.846320166328496"/>
    <m/>
    <n v="0.99999999923681104"/>
    <n v="0.36"/>
    <n v="65.805619958178738"/>
    <n v="24.272564738672489"/>
    <n v="3.105196669729068"/>
    <m/>
    <m/>
    <m/>
    <m/>
    <m/>
    <m/>
    <m/>
    <m/>
    <m/>
    <m/>
    <m/>
    <n v="0.24171876689389249"/>
    <m/>
    <m/>
    <m/>
    <m/>
    <m/>
    <m/>
    <m/>
    <m/>
    <m/>
    <m/>
    <m/>
    <n v="1891.4432023842055"/>
    <n v="7.093958197098095E-2"/>
    <n v="0.25842398987859871"/>
    <n v="362.77962759474326"/>
    <n v="338.84486751967131"/>
    <x v="3"/>
    <n v="19.525354503836514"/>
    <n v="5.3287291164862003"/>
    <n v="0.4"/>
    <n v="1"/>
    <n v="0.5"/>
    <x v="6"/>
    <n v="0.99999999900000003"/>
    <n v="0.36"/>
    <n v="338.84486751967131"/>
    <n v="0.99999999900000003"/>
    <n v="14.306557944045217"/>
    <n v="81.444952039296609"/>
    <n v="30870.264407823041"/>
    <n v="16.544134922564055"/>
    <n v="650814.37528948497"/>
    <x v="2"/>
    <n v="4.1134291987779605E-6"/>
    <n v="1508702.6440782305"/>
    <n v="0.43137352336723184"/>
  </r>
  <r>
    <x v="0"/>
    <n v="1000"/>
    <n v="25"/>
    <x v="0"/>
    <n v="8.3337674621457882"/>
    <n v="0.66765876194789364"/>
    <n v="8.877534690826355"/>
    <n v="11.155721524308584"/>
    <m/>
    <n v="0.99999999924778449"/>
    <n v="0.36"/>
    <n v="57.177172923909197"/>
    <n v="21.089940832589459"/>
    <n v="2.7169851417213629"/>
    <m/>
    <m/>
    <m/>
    <m/>
    <m/>
    <m/>
    <m/>
    <m/>
    <m/>
    <m/>
    <m/>
    <n v="0.24355082150455148"/>
    <m/>
    <m/>
    <m/>
    <m/>
    <m/>
    <m/>
    <m/>
    <m/>
    <m/>
    <m/>
    <m/>
    <n v="1705.2860480235238"/>
    <n v="7.5207677040994514E-2"/>
    <n v="0.25666734775520034"/>
    <n v="367.53086228134396"/>
    <n v="346.79347716284298"/>
    <x v="3"/>
    <n v="19.525354503836514"/>
    <n v="5.3287291164862003"/>
    <n v="0.4"/>
    <n v="1"/>
    <n v="0.5"/>
    <x v="7"/>
    <n v="0.99999999900000003"/>
    <n v="0.36"/>
    <n v="346.79347716284298"/>
    <n v="0.99999999900000003"/>
    <n v="12.716334657115253"/>
    <n v="69.346248219816488"/>
    <n v="25759.365055782368"/>
    <n v="14.628890862831069"/>
    <n v="657498.87720715615"/>
    <x v="2"/>
    <n v="3.595074942307379E-6"/>
    <n v="1457593.6505578237"/>
    <n v="0.45108516832213846"/>
  </r>
  <r>
    <x v="0"/>
    <n v="1000"/>
    <n v="25"/>
    <x v="0"/>
    <n v="6.7337108863962163"/>
    <n v="0.5895806427128345"/>
    <n v="7.196560678844417"/>
    <n v="9.0550428483458045"/>
    <m/>
    <n v="0.99999999926331262"/>
    <n v="0.36"/>
    <n v="46.44084247606893"/>
    <n v="17.129818946091"/>
    <n v="2.2373022292636451"/>
    <m/>
    <m/>
    <m/>
    <m/>
    <m/>
    <m/>
    <m/>
    <m/>
    <m/>
    <m/>
    <m/>
    <n v="0.2470780389153388"/>
    <m/>
    <m/>
    <m/>
    <m/>
    <m/>
    <m/>
    <m/>
    <m/>
    <m/>
    <m/>
    <m/>
    <n v="1475.4034670804697"/>
    <n v="8.1925334756922527E-2"/>
    <n v="0.25418120279086742"/>
    <n v="373.508226365832"/>
    <n v="356.75235244864712"/>
    <x v="3"/>
    <n v="19.525354503836514"/>
    <n v="5.3287291164862003"/>
    <n v="0.4"/>
    <n v="1"/>
    <n v="0.5"/>
    <x v="8"/>
    <n v="0.99999999900000003"/>
    <n v="0.36"/>
    <n v="356.75235244864712"/>
    <n v="0.99999999900000003"/>
    <n v="10.688472565659454"/>
    <n v="55.020233776581591"/>
    <n v="19910.992684480032"/>
    <n v="12.20355466013195"/>
    <n v="654500.62073594355"/>
    <x v="2"/>
    <n v="2.9302319083620516E-6"/>
    <n v="1399109.9268448004"/>
    <n v="0.46779785360535547"/>
  </r>
  <r>
    <x v="0"/>
    <n v="1000"/>
    <n v="25"/>
    <x v="0"/>
    <n v="4.5540153090440354"/>
    <n v="0.46697089074043285"/>
    <n v="4.9009677006549284"/>
    <n v="6.1961443638484042"/>
    <m/>
    <n v="0.9999999992878793"/>
    <n v="0.36"/>
    <n v="31.804903735598"/>
    <n v="11.731316951655"/>
    <n v="1.5853955837486362"/>
    <m/>
    <m/>
    <m/>
    <m/>
    <m/>
    <m/>
    <m/>
    <m/>
    <m/>
    <m/>
    <m/>
    <n v="0.25586808354541829"/>
    <m/>
    <m/>
    <m/>
    <m/>
    <m/>
    <m/>
    <m/>
    <m/>
    <m/>
    <m/>
    <m/>
    <n v="1163.1674776818181"/>
    <n v="9.5281364673762359E-2"/>
    <n v="0.25024404133249195"/>
    <n v="381.80170331011698"/>
    <n v="370.4696858074995"/>
    <x v="3"/>
    <n v="19.525354503836514"/>
    <n v="5.3287291164862003"/>
    <n v="0.4"/>
    <n v="1"/>
    <n v="0.5"/>
    <x v="9"/>
    <n v="0.99999999900000003"/>
    <n v="0.36"/>
    <n v="370.4696858074995"/>
    <n v="0.99999999900000003"/>
    <n v="7.7940240904450286"/>
    <n v="36.597869502953692"/>
    <n v="12768.838335466082"/>
    <n v="8.7889089933171647"/>
    <n v="622474.54721485532"/>
    <x v="2"/>
    <n v="1.9862415289400139E-6"/>
    <n v="1327688.3833546608"/>
    <n v="0.46884084776131979"/>
  </r>
  <r>
    <x v="0"/>
    <n v="1000"/>
    <n v="25"/>
    <x v="0"/>
    <n v="19.900003634745939"/>
    <n v="1.224165931873382"/>
    <n v="21.108984304873999"/>
    <n v="25.927315728189559"/>
    <m/>
    <n v="0.99999999919405813"/>
    <n v="0.36"/>
    <n v="132.13920621889631"/>
    <n v="48.739871146314222"/>
    <n v="5.728863247939298"/>
    <m/>
    <m/>
    <m/>
    <m/>
    <m/>
    <m/>
    <m/>
    <m/>
    <m/>
    <m/>
    <m/>
    <n v="0.22095859471139054"/>
    <m/>
    <m/>
    <m/>
    <m/>
    <m/>
    <m/>
    <m/>
    <m/>
    <m/>
    <m/>
    <m/>
    <n v="3134.4127160051721"/>
    <n v="5.7992649679062286E-2"/>
    <n v="0.24720339186554666"/>
    <n v="319.49947173229117"/>
    <n v="269.98109203552269"/>
    <x v="3"/>
    <n v="19.525354503836514"/>
    <n v="5.3287291164862003"/>
    <n v="0.4"/>
    <n v="1"/>
    <n v="0.5"/>
    <x v="0"/>
    <n v="0.99999999900000003"/>
    <n v="0.36"/>
    <n v="269.98109203552269"/>
    <n v="0.99999999900000003"/>
    <n v="27.125495391867577"/>
    <n v="203.55004489392385"/>
    <n v="90551.973020027799"/>
    <n v="35.209036782624338"/>
    <n v="336701.72054112342"/>
    <x v="3"/>
    <n v="7.8839827850855249E-6"/>
    <n v="2105519.7302002781"/>
    <n v="0.159913828263721"/>
  </r>
  <r>
    <x v="1"/>
    <n v="1000"/>
    <n v="25"/>
    <x v="0"/>
    <n v="19.89831036170969"/>
    <n v="1.2276366075449536"/>
    <n v="21.109236461430594"/>
    <n v="25.927889110426658"/>
    <m/>
    <n v="0.99999999919420235"/>
    <n v="0.36"/>
    <n v="132.17152948281057"/>
    <n v="48.751793661692425"/>
    <n v="5.7310248571641225"/>
    <m/>
    <m/>
    <m/>
    <m/>
    <m/>
    <m/>
    <m/>
    <m/>
    <m/>
    <m/>
    <m/>
    <n v="0.22103707836591466"/>
    <m/>
    <m/>
    <m/>
    <m/>
    <m/>
    <m/>
    <m/>
    <m/>
    <m/>
    <m/>
    <m/>
    <n v="3125.4643973515435"/>
    <n v="5.8156371964851045E-2"/>
    <n v="0.21978874944222251"/>
    <n v="309.46620146751184"/>
    <n v="259.95196876948251"/>
    <x v="3"/>
    <n v="19.525354503836514"/>
    <n v="5.3287291164862003"/>
    <n v="0.4"/>
    <n v="1"/>
    <n v="0.5"/>
    <x v="0"/>
    <n v="0.99999999900000003"/>
    <n v="0.36"/>
    <n v="259.95196876948251"/>
    <n v="0.99999999900000003"/>
    <n v="27.14290283630876"/>
    <n v="203.62945749355339"/>
    <n v="90589.337167546793"/>
    <n v="35.21366088581788"/>
    <n v="336763.48505378119"/>
    <x v="3"/>
    <n v="7.8818367976246428E-6"/>
    <n v="2105893.371675468"/>
    <n v="0.15991478466255349"/>
  </r>
  <r>
    <x v="2"/>
    <n v="1000"/>
    <n v="25"/>
    <x v="0"/>
    <n v="19.89620471818851"/>
    <n v="1.2322162928092453"/>
    <n v="21.109705752145747"/>
    <n v="25.928290547773408"/>
    <m/>
    <n v="0.99999999919435545"/>
    <n v="0.36"/>
    <n v="132.21515202578749"/>
    <n v="48.76788394393801"/>
    <n v="5.7333893920059396"/>
    <m/>
    <m/>
    <m/>
    <m/>
    <m/>
    <m/>
    <m/>
    <m/>
    <m/>
    <m/>
    <m/>
    <n v="0.22112485130641574"/>
    <m/>
    <m/>
    <m/>
    <m/>
    <m/>
    <m/>
    <m/>
    <m/>
    <m/>
    <m/>
    <m/>
    <n v="3113.7643808344819"/>
    <n v="5.8372025990177226E-2"/>
    <n v="0.19237986292194861"/>
    <n v="296.57854821187448"/>
    <n v="247.0696848315132"/>
    <x v="3"/>
    <n v="19.525354503836514"/>
    <n v="5.3287291164862003"/>
    <n v="0.4"/>
    <n v="1"/>
    <n v="0.5"/>
    <x v="0"/>
    <n v="0.99999999900000003"/>
    <n v="0.36"/>
    <n v="247.0696848315132"/>
    <n v="0.99999999900000003"/>
    <n v="27.166001835296814"/>
    <n v="203.73667717555148"/>
    <n v="90640.168205493726"/>
    <n v="35.220477845493939"/>
    <n v="336851.45214560465"/>
    <x v="3"/>
    <n v="7.8789857987075518E-6"/>
    <n v="2106401.6820549374"/>
    <n v="0.15991795630213476"/>
  </r>
  <r>
    <x v="3"/>
    <n v="1000"/>
    <n v="25"/>
    <x v="0"/>
    <n v="19.893423861817848"/>
    <n v="1.2385641979187876"/>
    <n v="21.110504139299092"/>
    <n v="25.927933493485931"/>
    <m/>
    <n v="0.99999999919449267"/>
    <n v="0.36"/>
    <n v="132.27661410859247"/>
    <n v="48.790554384316899"/>
    <n v="5.7356105482958775"/>
    <m/>
    <m/>
    <m/>
    <m/>
    <m/>
    <m/>
    <m/>
    <m/>
    <m/>
    <m/>
    <m/>
    <n v="0.2212135629604603"/>
    <m/>
    <m/>
    <m/>
    <m/>
    <m/>
    <m/>
    <m/>
    <m/>
    <m/>
    <m/>
    <m/>
    <n v="3097.7228345677968"/>
    <n v="5.8670517281161919E-2"/>
    <n v="0.16498044702598921"/>
    <n v="279.41950564187732"/>
    <n v="229.91756041986361"/>
    <x v="3"/>
    <n v="19.525354503836514"/>
    <n v="5.3287291164862003"/>
    <n v="0.4"/>
    <n v="1"/>
    <n v="0.5"/>
    <x v="0"/>
    <n v="0.99999999900000003"/>
    <n v="0.36"/>
    <n v="229.91756041986361"/>
    <n v="0.99999999900000003"/>
    <n v="27.198159922662477"/>
    <n v="203.88783579867152"/>
    <n v="90712.729146475031"/>
    <n v="35.231435610067415"/>
    <n v="336981.45225998235"/>
    <x v="3"/>
    <n v="7.8749949859784009E-6"/>
    <n v="2107127.2914647502"/>
    <n v="0.15992458245165284"/>
  </r>
  <r>
    <x v="4"/>
    <n v="1000"/>
    <n v="25"/>
    <x v="0"/>
    <n v="19.889595701696827"/>
    <n v="1.2480318060375275"/>
    <n v="21.112038784131467"/>
    <n v="25.925238148208635"/>
    <m/>
    <n v="0.99999999919451599"/>
    <n v="0.36"/>
    <n v="132.37075758741099"/>
    <n v="48.825279437979468"/>
    <n v="5.7364288622405013"/>
    <m/>
    <m/>
    <m/>
    <m/>
    <m/>
    <m/>
    <m/>
    <m/>
    <m/>
    <m/>
    <m/>
    <n v="0.2212681260417611"/>
    <m/>
    <m/>
    <m/>
    <m/>
    <m/>
    <m/>
    <m/>
    <m/>
    <m/>
    <m/>
    <m/>
    <n v="3074.1763743818619"/>
    <n v="5.9114698433369257E-2"/>
    <n v="0.13760086356398149"/>
    <n v="255.45442676347315"/>
    <n v="205.961943261611"/>
    <x v="3"/>
    <n v="19.525354503836514"/>
    <n v="5.3287291164862003"/>
    <n v="0.4"/>
    <n v="1"/>
    <n v="0.5"/>
    <x v="0"/>
    <n v="0.99999999900000003"/>
    <n v="0.36"/>
    <n v="205.961943261611"/>
    <n v="0.99999999900000003"/>
    <n v="27.246448460662116"/>
    <n v="204.11957758300377"/>
    <n v="90826.015271304728"/>
    <n v="35.251294183347326"/>
    <n v="337194.53457436454"/>
    <x v="3"/>
    <n v="7.8689445422178367E-6"/>
    <n v="2108260.1527130473"/>
    <n v="0.15993971813224309"/>
  </r>
  <r>
    <x v="5"/>
    <n v="1000"/>
    <n v="25"/>
    <x v="0"/>
    <n v="19.884192704586106"/>
    <n v="1.2640659812658706"/>
    <n v="21.11580324999786"/>
    <n v="25.914279703710633"/>
    <m/>
    <n v="0.99999999919398086"/>
    <n v="0.36"/>
    <n v="132.53949477936746"/>
    <n v="48.887518566160125"/>
    <n v="5.7302982264472462"/>
    <m/>
    <m/>
    <m/>
    <m/>
    <m/>
    <m/>
    <m/>
    <m/>
    <m/>
    <m/>
    <m/>
    <n v="0.22112512066568193"/>
    <m/>
    <m/>
    <m/>
    <m/>
    <m/>
    <m/>
    <m/>
    <m/>
    <m/>
    <m/>
    <m/>
    <n v="3035.3558172316853"/>
    <n v="5.9863504423683177E-2"/>
    <n v="0.11027525417345563"/>
    <n v="219.68581388794991"/>
    <n v="170.20670400806083"/>
    <x v="3"/>
    <n v="19.525354503836514"/>
    <n v="5.3287291164862003"/>
    <n v="0.4"/>
    <n v="1"/>
    <n v="0.5"/>
    <x v="0"/>
    <n v="0.99999999900000003"/>
    <n v="0.36"/>
    <n v="170.20670400806083"/>
    <n v="0.99999999900000003"/>
    <n v="27.329331045129234"/>
    <n v="204.53556677671628"/>
    <n v="91035.063459541445"/>
    <n v="35.295455134810901"/>
    <n v="337620.59626194387"/>
    <x v="3"/>
    <n v="7.8583612166968277E-6"/>
    <n v="2110350.6345954146"/>
    <n v="0.1599831756520739"/>
  </r>
  <r>
    <x v="6"/>
    <n v="1000"/>
    <n v="25"/>
    <x v="0"/>
    <n v="19.880123288473303"/>
    <n v="1.3010435411396957"/>
    <n v="21.133514895594004"/>
    <n v="25.861113401833524"/>
    <m/>
    <n v="0.99999999918952232"/>
    <n v="0.36"/>
    <n v="133.00790399974952"/>
    <n v="49.060292458924003"/>
    <n v="5.6795551984631132"/>
    <m/>
    <m/>
    <m/>
    <m/>
    <m/>
    <m/>
    <m/>
    <m/>
    <m/>
    <m/>
    <m/>
    <n v="0.2196175822058937"/>
    <m/>
    <m/>
    <m/>
    <m/>
    <m/>
    <m/>
    <m/>
    <m/>
    <m/>
    <m/>
    <m/>
    <n v="2951.3810688971175"/>
    <n v="6.1563045596875234E-2"/>
    <n v="8.320560401275881E-2"/>
    <n v="161.07230367049712"/>
    <n v="111.60346966555979"/>
    <x v="3"/>
    <n v="19.525354503836514"/>
    <n v="5.3287291164862003"/>
    <n v="0.4"/>
    <n v="1"/>
    <n v="0.5"/>
    <x v="0"/>
    <n v="0.99999999900000003"/>
    <n v="0.36"/>
    <n v="111.60346966555979"/>
    <n v="0.99999999900000003"/>
    <n v="27.528964267566039"/>
    <n v="205.69459595340172"/>
    <n v="91641.009678249815"/>
    <n v="35.453338666939501"/>
    <n v="339086.6708468062"/>
    <x v="3"/>
    <n v="7.8317282849119424E-6"/>
    <n v="2116410.0967824981"/>
    <n v="0.16021784783691376"/>
  </r>
  <r>
    <x v="7"/>
    <n v="1000"/>
    <n v="25"/>
    <x v="0"/>
    <n v="20.847844080027532"/>
    <n v="1.7366358139353706"/>
    <n v="22.451753903060752"/>
    <n v="25.988776976276203"/>
    <m/>
    <n v="0.99999999903444914"/>
    <n v="0.36"/>
    <n v="150.76699610003828"/>
    <n v="55.610777250014131"/>
    <n v="4.7731369392874008"/>
    <m/>
    <m/>
    <m/>
    <m/>
    <m/>
    <m/>
    <m/>
    <m/>
    <m/>
    <m/>
    <m/>
    <n v="0.18366146831936525"/>
    <m/>
    <m/>
    <m/>
    <m/>
    <m/>
    <m/>
    <m/>
    <m/>
    <m/>
    <m/>
    <m/>
    <n v="2409.8673486432672"/>
    <n v="7.7349672610593792E-2"/>
    <n v="6.4181919788648872E-2"/>
    <n v="75.175748112871929"/>
    <n v="23.298878999567219"/>
    <x v="3"/>
    <n v="19.525354503836514"/>
    <n v="5.3287291164862003"/>
    <n v="0.4"/>
    <n v="1"/>
    <n v="0.5"/>
    <x v="0"/>
    <n v="0.99999999900000003"/>
    <n v="0.36"/>
    <n v="23.298878999567219"/>
    <n v="0.99999999900000003"/>
    <n v="30.900658958420852"/>
    <n v="255.03112464970044"/>
    <n v="115914.21993134009"/>
    <n v="39.205641776512785"/>
    <n v="427657.48234704044"/>
    <x v="3"/>
    <n v="7.2093128128832174E-6"/>
    <n v="2359142.1993134012"/>
    <n v="0.18127668712445769"/>
  </r>
  <r>
    <x v="8"/>
    <n v="1000"/>
    <n v="25"/>
    <x v="0"/>
    <n v="14.131041273678534"/>
    <n v="1.0850119612855684"/>
    <n v="15.070854152991481"/>
    <n v="18.52912685115357"/>
    <m/>
    <n v="0.99999999916142202"/>
    <n v="0.36"/>
    <n v="98.954987766213122"/>
    <n v="36.499790569504839"/>
    <n v="4.1994321295271284"/>
    <m/>
    <m/>
    <m/>
    <m/>
    <m/>
    <m/>
    <m/>
    <m/>
    <m/>
    <m/>
    <m/>
    <n v="0.22663950456282206"/>
    <m/>
    <m/>
    <m/>
    <m/>
    <m/>
    <m/>
    <m/>
    <m/>
    <m/>
    <m/>
    <m/>
    <n v="2153.8203851911271"/>
    <n v="7.1994058881539869E-2"/>
    <n v="4.5476533481228959E-2"/>
    <n v="89.267404704201851"/>
    <n v="54.104320427562499"/>
    <x v="3"/>
    <n v="19.525354503836514"/>
    <n v="5.3287291164862003"/>
    <n v="0.4"/>
    <n v="1"/>
    <n v="0.5"/>
    <x v="0"/>
    <n v="0.99999999900000003"/>
    <n v="0.36"/>
    <n v="54.104320427562499"/>
    <n v="0.99999999900000003"/>
    <n v="20.777349384588437"/>
    <n v="134.35999451910899"/>
    <n v="55105.717801121085"/>
    <n v="24.562764948955721"/>
    <n v="640701.3820233047"/>
    <x v="3"/>
    <n v="5.5832122048311528E-6"/>
    <n v="1751057.1780112109"/>
    <n v="0.36589403822380651"/>
  </r>
  <r>
    <x v="9"/>
    <n v="1000"/>
    <n v="25"/>
    <x v="0"/>
    <n v="4.4297014934044716"/>
    <n v="0.4987618808344042"/>
    <n v="4.7910695593681698"/>
    <n v="6.0731381572131635"/>
    <m/>
    <n v="0.99999999929886851"/>
    <n v="0.36"/>
    <n v="31.26133436129852"/>
    <n v="11.530820051298637"/>
    <n v="1.5874431026834577"/>
    <m/>
    <m/>
    <m/>
    <m/>
    <m/>
    <m/>
    <m/>
    <m/>
    <m/>
    <m/>
    <m/>
    <n v="0.2613876156922309"/>
    <m/>
    <m/>
    <m/>
    <m/>
    <m/>
    <m/>
    <m/>
    <m/>
    <m/>
    <m/>
    <m/>
    <n v="1059.1399941162269"/>
    <n v="0.1041024085862321"/>
    <n v="3.5850935795008511E-2"/>
    <n v="276.44111945269742"/>
    <n v="265.41844277449746"/>
    <x v="3"/>
    <n v="19.525354503836514"/>
    <n v="5.3287291164862003"/>
    <n v="0.4"/>
    <n v="1"/>
    <n v="0.5"/>
    <x v="0"/>
    <n v="0.99999999900000003"/>
    <n v="0.36"/>
    <n v="265.41844277449746"/>
    <n v="0.99999999900000003"/>
    <n v="7.8895303726562815"/>
    <n v="35.935486869011562"/>
    <n v="12609.640009820658"/>
    <n v="8.8593633495867934"/>
    <n v="896559.55396883143"/>
    <x v="3"/>
    <n v="1.6047359185508464E-6"/>
    <n v="1326096.4000982065"/>
    <n v="0.67608927518575201"/>
  </r>
  <r>
    <x v="0"/>
    <n v="100"/>
    <n v="25"/>
    <x v="0"/>
    <n v="3.2082547476872536"/>
    <n v="0.73436433630322462"/>
    <n v="3.7922787456071974"/>
    <n v="1.8715657741556544"/>
    <m/>
    <n v="0.33047348326705772"/>
    <n v="0.18"/>
    <n v="18.830324237170718"/>
    <n v="9.3760950558526392"/>
    <n v="0.7360949921021831"/>
    <m/>
    <m/>
    <m/>
    <m/>
    <m/>
    <m/>
    <m/>
    <m/>
    <m/>
    <m/>
    <m/>
    <n v="0.3933043669994809"/>
    <m/>
    <m/>
    <m/>
    <m/>
    <m/>
    <m/>
    <m/>
    <m/>
    <m/>
    <m/>
    <m/>
    <n v="744.0014689320351"/>
    <n v="0.19364724630378996"/>
    <n v="0.19973367963913627"/>
    <n v="383.93733719078483"/>
    <n v="375.95397288094364"/>
    <x v="4"/>
    <n v="9.762677251918257"/>
    <n v="2.6643645582431001"/>
    <n v="0.2"/>
    <n v="1"/>
    <n v="0.3"/>
    <x v="0"/>
    <n v="0.22356528653976879"/>
    <n v="0.18"/>
    <n v="375.95397288094364"/>
    <n v="0.22356528653976879"/>
    <n v="8.8503423956810732"/>
    <n v="70.156325624874384"/>
    <n v="25494.672962545526"/>
    <n v="16.58040628245811"/>
    <n v="18055.054663713454"/>
    <x v="0"/>
    <n v="1.9723185196649341E-6"/>
    <n v="1454946.7296254553"/>
    <n v="1.2409426610664529E-2"/>
  </r>
  <r>
    <x v="0"/>
    <n v="200"/>
    <n v="25"/>
    <x v="0"/>
    <n v="5.9536736551024658"/>
    <n v="1.3053398014274817"/>
    <n v="6.9258377692667121"/>
    <n v="3.4589978696871846"/>
    <m/>
    <n v="0.33087304829079234"/>
    <n v="0.18"/>
    <n v="34.870984584591454"/>
    <n v="17.363145851248859"/>
    <n v="1.1448579057083532"/>
    <m/>
    <m/>
    <m/>
    <m/>
    <m/>
    <m/>
    <m/>
    <m/>
    <m/>
    <m/>
    <m/>
    <n v="0.33097965041877542"/>
    <m/>
    <m/>
    <m/>
    <m/>
    <m/>
    <m/>
    <m/>
    <m/>
    <m/>
    <m/>
    <m/>
    <n v="931.01956249485238"/>
    <n v="0.1884739211218468"/>
    <n v="0.22386836794410403"/>
    <n v="373.40547166275411"/>
    <n v="358.59060964067618"/>
    <x v="4"/>
    <n v="9.762677251918257"/>
    <n v="2.6643645582431001"/>
    <n v="0.2"/>
    <n v="1"/>
    <n v="0.3"/>
    <x v="0"/>
    <n v="0.23564227469974222"/>
    <n v="0.18"/>
    <n v="358.59060964067618"/>
    <n v="0.23564227469974222"/>
    <n v="15.843718497780152"/>
    <n v="102.12621480350259"/>
    <n v="40891.398832243765"/>
    <n v="25.671470576699424"/>
    <n v="50386.899120245085"/>
    <x v="0"/>
    <n v="3.3738905545852653E-6"/>
    <n v="1608913.9883224377"/>
    <n v="3.131733547346547E-2"/>
  </r>
  <r>
    <x v="0"/>
    <n v="300"/>
    <n v="25"/>
    <x v="0"/>
    <n v="8.3200228532920182"/>
    <n v="1.8042157749214711"/>
    <n v="9.6172635793123895"/>
    <n v="4.8566894180724098"/>
    <m/>
    <n v="0.33235173659130851"/>
    <n v="0.18"/>
    <n v="49.034317293537768"/>
    <n v="24.415427698027106"/>
    <n v="1.4417068845163907"/>
    <m/>
    <m/>
    <m/>
    <m/>
    <m/>
    <m/>
    <m/>
    <m/>
    <m/>
    <m/>
    <m/>
    <n v="0.29684971807165617"/>
    <m/>
    <m/>
    <m/>
    <m/>
    <m/>
    <m/>
    <m/>
    <m/>
    <m/>
    <m/>
    <m/>
    <n v="1065.0567384597468"/>
    <n v="0.18760178090600571"/>
    <n v="0.23708163738005611"/>
    <n v="364.90650669855751"/>
    <n v="344.20329620155172"/>
    <x v="4"/>
    <n v="9.762677251918257"/>
    <n v="2.6643645582431001"/>
    <n v="0.2"/>
    <n v="1"/>
    <n v="0.3"/>
    <x v="0"/>
    <n v="0.24346119389697929"/>
    <n v="0.18"/>
    <n v="344.20329620155172"/>
    <n v="0.24346119389697929"/>
    <n v="21.863874794071226"/>
    <n v="125.10933762464337"/>
    <n v="53297.93811291446"/>
    <n v="32.943797799211389"/>
    <n v="87498.166126193406"/>
    <x v="0"/>
    <n v="4.3478124068317504E-6"/>
    <n v="1732979.3811291447"/>
    <n v="5.0490021450331893E-2"/>
  </r>
  <r>
    <x v="0"/>
    <n v="400"/>
    <n v="25"/>
    <x v="0"/>
    <n v="10.383412845971545"/>
    <n v="2.2517038274778285"/>
    <n v="11.965249421434494"/>
    <n v="6.105114449512306"/>
    <m/>
    <n v="0.33395800216539945"/>
    <n v="0.18"/>
    <n v="61.713637681048134"/>
    <n v="30.728782247824796"/>
    <n v="1.6766713048217552"/>
    <m/>
    <m/>
    <m/>
    <m/>
    <m/>
    <m/>
    <m/>
    <m/>
    <m/>
    <m/>
    <m/>
    <n v="0.27463388584888732"/>
    <m/>
    <m/>
    <m/>
    <m/>
    <m/>
    <m/>
    <m/>
    <m/>
    <m/>
    <m/>
    <m/>
    <n v="1170.3083650749518"/>
    <n v="0.18818695274702224"/>
    <n v="0.24611297540754321"/>
    <n v="357.81038025818242"/>
    <n v="331.97271266407489"/>
    <x v="4"/>
    <n v="9.762677251918257"/>
    <n v="2.6643645582431001"/>
    <n v="0.2"/>
    <n v="1"/>
    <n v="0.3"/>
    <x v="0"/>
    <n v="0.24909360396344446"/>
    <n v="0.18"/>
    <n v="331.97271266407489"/>
    <n v="0.24909360396344446"/>
    <n v="27.168274357742469"/>
    <n v="143.34415673130246"/>
    <n v="63812.879436901865"/>
    <n v="39.049707958311032"/>
    <n v="126316.77773605038"/>
    <x v="0"/>
    <n v="5.0556635637900901E-6"/>
    <n v="1838128.7943690186"/>
    <n v="6.8720308458805043E-2"/>
  </r>
  <r>
    <x v="0"/>
    <n v="600"/>
    <n v="25"/>
    <x v="0"/>
    <n v="13.802748980705967"/>
    <n v="3.0296737386544317"/>
    <n v="15.86797638600601"/>
    <n v="8.2417540705485308"/>
    <m/>
    <n v="0.33728089007422773"/>
    <n v="0.18"/>
    <n v="83.474775298287142"/>
    <n v="41.56420346802679"/>
    <n v="2.0293256895683784"/>
    <m/>
    <m/>
    <m/>
    <m/>
    <m/>
    <m/>
    <m/>
    <m/>
    <m/>
    <m/>
    <m/>
    <n v="0.24622497495042539"/>
    <m/>
    <m/>
    <m/>
    <m/>
    <m/>
    <m/>
    <m/>
    <m/>
    <m/>
    <m/>
    <m/>
    <n v="1326.7565544261865"/>
    <n v="0.19093006347843477"/>
    <n v="0.25770618038170612"/>
    <n v="346.43997687497529"/>
    <n v="312.09370964199633"/>
    <x v="4"/>
    <n v="9.762677251918257"/>
    <n v="2.6643645582431001"/>
    <n v="0.2"/>
    <n v="1"/>
    <n v="0.3"/>
    <x v="0"/>
    <n v="0.2570828018918756"/>
    <n v="0.18"/>
    <n v="312.09370964199633"/>
    <n v="0.2570828018918756"/>
    <n v="36.153222046843638"/>
    <n v="171.10447946736136"/>
    <n v="80941.631679150349"/>
    <n v="49.051734921769807"/>
    <n v="203872.2838527518"/>
    <x v="0"/>
    <n v="5.9933218187563081E-6"/>
    <n v="2009416.3167915035"/>
    <n v="0.10145845942879618"/>
  </r>
  <r>
    <x v="0"/>
    <n v="800"/>
    <n v="25"/>
    <x v="0"/>
    <n v="16.472234130154011"/>
    <n v="3.6733635318349815"/>
    <n v="18.928215821143795"/>
    <n v="9.9806996038942764"/>
    <m/>
    <n v="0.34068449281212804"/>
    <n v="0.18"/>
    <n v="101.24607178943913"/>
    <n v="50.412981803870103"/>
    <n v="2.2791329296714373"/>
    <m/>
    <m/>
    <m/>
    <m/>
    <m/>
    <m/>
    <m/>
    <m/>
    <m/>
    <m/>
    <m/>
    <n v="0.22835402528117002"/>
    <m/>
    <m/>
    <m/>
    <m/>
    <m/>
    <m/>
    <m/>
    <m/>
    <m/>
    <m/>
    <m/>
    <n v="1436.4895542670115"/>
    <n v="0.19406813439498322"/>
    <n v="0.26530411774946511"/>
    <n v="337.9118791299378"/>
    <n v="296.92308943129342"/>
    <x v="4"/>
    <n v="9.762677251918257"/>
    <n v="2.6643645582431001"/>
    <n v="0.2"/>
    <n v="1"/>
    <n v="0.3"/>
    <x v="0"/>
    <n v="0.26290318180265032"/>
    <n v="0.18"/>
    <n v="296.92308943129342"/>
    <n v="0.26290318180265032"/>
    <n v="43.367203181853974"/>
    <n v="190.98317001260813"/>
    <n v="93972.218688007153"/>
    <n v="56.736800016309516"/>
    <n v="276017.66321953206"/>
    <x v="0"/>
    <n v="6.5653915162447536E-6"/>
    <n v="2139722.1868800716"/>
    <n v="0.1289969627421555"/>
  </r>
  <r>
    <x v="0"/>
    <n v="1000"/>
    <n v="25"/>
    <x v="0"/>
    <n v="18.561209222241342"/>
    <n v="4.2019040490788386"/>
    <n v="21.332437592197905"/>
    <n v="11.392746082769799"/>
    <m/>
    <n v="0.34415226885978545"/>
    <n v="0.18"/>
    <n v="115.72226267698325"/>
    <n v="57.621043656589173"/>
    <n v="2.4580692134511573"/>
    <m/>
    <m/>
    <m/>
    <m/>
    <m/>
    <m/>
    <m/>
    <m/>
    <m/>
    <m/>
    <m/>
    <n v="0.21575739471352745"/>
    <m/>
    <m/>
    <m/>
    <m/>
    <m/>
    <m/>
    <m/>
    <m/>
    <m/>
    <m/>
    <m/>
    <n v="1514.2846203531649"/>
    <n v="0.19697252275640723"/>
    <n v="0.27071739937774175"/>
    <n v="331.43695505015467"/>
    <n v="285.25001362758724"/>
    <x v="4"/>
    <n v="9.762677251918257"/>
    <n v="2.6643645582431001"/>
    <n v="0.2"/>
    <n v="1"/>
    <n v="0.3"/>
    <x v="0"/>
    <n v="0.26761042783402833"/>
    <n v="0.18"/>
    <n v="285.25001362758724"/>
    <n v="0.26761042783402833"/>
    <n v="49.146359955272722"/>
    <n v="205.42970281003349"/>
    <n v="103869.27604622698"/>
    <n v="62.680835356823728"/>
    <n v="339765.1555679593"/>
    <x v="0"/>
    <n v="6.937076791222376E-6"/>
    <n v="2238692.7604622697"/>
    <n v="0.15176944401151363"/>
  </r>
  <r>
    <x v="0"/>
    <n v="1300"/>
    <n v="25"/>
    <x v="0"/>
    <n v="20.878611109261545"/>
    <n v="4.8149626311727456"/>
    <n v="24.009368570882121"/>
    <n v="13.023046669012405"/>
    <m/>
    <n v="0.3493029543816894"/>
    <n v="0.18"/>
    <n v="132.49647686567636"/>
    <n v="65.973349476685328"/>
    <n v="2.6357005473994803"/>
    <m/>
    <m/>
    <m/>
    <m/>
    <m/>
    <m/>
    <m/>
    <m/>
    <m/>
    <m/>
    <m/>
    <n v="0.20238739938412253"/>
    <m/>
    <m/>
    <m/>
    <m/>
    <m/>
    <m/>
    <m/>
    <m/>
    <m/>
    <m/>
    <m/>
    <n v="1590.3720847359928"/>
    <n v="0.20054515873491965"/>
    <n v="0.27644727771979394"/>
    <n v="324.47525155077113"/>
    <n v="272.52181103625338"/>
    <x v="4"/>
    <n v="9.762677251918257"/>
    <n v="2.6643645582431001"/>
    <n v="0.2"/>
    <n v="1"/>
    <n v="0.3"/>
    <x v="0"/>
    <n v="0.27343846991277682"/>
    <n v="0.18"/>
    <n v="272.52181103625338"/>
    <n v="0.27343846991277682"/>
    <n v="55.691143894343149"/>
    <n v="220.16323011361197"/>
    <n v="114379.16007102375"/>
    <n v="69.147228300068178"/>
    <n v="418036.44893607555"/>
    <x v="0"/>
    <n v="7.2890713908638025E-6"/>
    <n v="2343791.6007102374"/>
    <n v="0.17835905240440245"/>
  </r>
  <r>
    <x v="0"/>
    <n v="1600"/>
    <n v="25"/>
    <x v="0"/>
    <n v="22.512854919410927"/>
    <n v="5.2575219001308771"/>
    <n v="25.899591153485787"/>
    <n v="14.209349596521532"/>
    <m/>
    <n v="0.35060528473283531"/>
    <n v="0.18"/>
    <n v="144.75274451066332"/>
    <n v="72.076055358006627"/>
    <n v="2.794954845757017"/>
    <m/>
    <m/>
    <m/>
    <m/>
    <m/>
    <m/>
    <m/>
    <m/>
    <m/>
    <m/>
    <m/>
    <n v="0.19669829549701737"/>
    <m/>
    <m/>
    <m/>
    <m/>
    <m/>
    <m/>
    <m/>
    <m/>
    <m/>
    <m/>
    <m/>
    <n v="1661.1818151527934"/>
    <n v="0.2029963279718906"/>
    <n v="0.28044455168204963"/>
    <n v="319.72439905006752"/>
    <n v="263.70439227428432"/>
    <x v="4"/>
    <n v="9.762677251918257"/>
    <n v="2.6643645582431001"/>
    <n v="0.2"/>
    <n v="1"/>
    <n v="0.3"/>
    <x v="0"/>
    <n v="0.27618558482775296"/>
    <n v="0.18"/>
    <n v="263.70439227428432"/>
    <n v="0.27618558482775296"/>
    <n v="60.381287841767879"/>
    <n v="229.42681371016317"/>
    <n v="121431.44246121368"/>
    <n v="73.763299893605549"/>
    <n v="478072.1407496758"/>
    <x v="0"/>
    <n v="7.5063539341508547E-6"/>
    <n v="2414314.4246121366"/>
    <n v="0.19801569169122571"/>
  </r>
  <r>
    <x v="0"/>
    <n v="1900"/>
    <n v="25"/>
    <x v="0"/>
    <n v="23.655389287852426"/>
    <n v="5.5777432151129309"/>
    <n v="27.224263495147412"/>
    <n v="15.068178650380814"/>
    <m/>
    <n v="0.35345901311071226"/>
    <n v="0.18"/>
    <n v="153.66148158181107"/>
    <n v="76.511941036586421"/>
    <n v="2.8796589667830101"/>
    <m/>
    <m/>
    <m/>
    <m/>
    <m/>
    <m/>
    <m/>
    <m/>
    <m/>
    <m/>
    <m/>
    <n v="0.19110862922442409"/>
    <m/>
    <m/>
    <m/>
    <m/>
    <m/>
    <m/>
    <m/>
    <m/>
    <m/>
    <m/>
    <m/>
    <n v="1697.4109449724519"/>
    <n v="0.20488132639867873"/>
    <n v="0.28311022058508678"/>
    <n v="316.44459447996871"/>
    <n v="257.58146158094706"/>
    <x v="4"/>
    <n v="9.762677251918257"/>
    <n v="2.6643645582431001"/>
    <n v="0.2"/>
    <n v="1"/>
    <n v="0.3"/>
    <x v="0"/>
    <n v="0.27927591464750023"/>
    <n v="0.18"/>
    <n v="257.58146158094706"/>
    <n v="0.27927591464750023"/>
    <n v="63.69710987671634"/>
    <n v="235.09793524520674"/>
    <n v="126124.9033423784"/>
    <n v="76.903104650201797"/>
    <n v="522336.7116947571"/>
    <x v="0"/>
    <n v="7.6468105681333581E-6"/>
    <n v="2461249.0334237842"/>
    <n v="0.21222424248884197"/>
  </r>
  <r>
    <x v="0"/>
    <n v="1000"/>
    <n v="25"/>
    <x v="1"/>
    <n v="15.121199741199574"/>
    <n v="6.7450211624489942"/>
    <n v="19.232516809813507"/>
    <n v="11.813338293902993"/>
    <m/>
    <n v="0.39589881382070291"/>
    <n v="0.18"/>
    <n v="120.86451560560809"/>
    <n v="60.181501546360877"/>
    <n v="1.7149385149552678"/>
    <m/>
    <m/>
    <m/>
    <m/>
    <m/>
    <m/>
    <m/>
    <m/>
    <m/>
    <m/>
    <m/>
    <n v="0.14516967789201199"/>
    <m/>
    <m/>
    <m/>
    <m/>
    <m/>
    <m/>
    <m/>
    <m/>
    <m/>
    <m/>
    <m/>
    <n v="964.14990074973764"/>
    <n v="0.35070923005809135"/>
    <n v="0.27151279516567983"/>
    <n v="144.30759798273056"/>
    <n v="106.68064327210341"/>
    <x v="4"/>
    <n v="9.762677251918257"/>
    <n v="2.6643645582431001"/>
    <n v="0.2"/>
    <n v="1"/>
    <n v="0.3"/>
    <x v="0"/>
    <n v="0.28010899814041301"/>
    <n v="0.18"/>
    <n v="106.68064327210341"/>
    <n v="0.28010899814041301"/>
    <n v="62.937452658684812"/>
    <n v="220.58885537798602"/>
    <n v="118672.12204986402"/>
    <n v="74.933739577789311"/>
    <n v="289286.37342944229"/>
    <x v="1"/>
    <n v="5.400208111368283E-6"/>
    <n v="2386721.2204986401"/>
    <n v="0.12120660383159614"/>
  </r>
  <r>
    <x v="0"/>
    <n v="1000"/>
    <n v="25"/>
    <x v="2"/>
    <n v="17.142273635392918"/>
    <n v="5.1398673947581663"/>
    <n v="20.406642491045069"/>
    <n v="11.572307711435842"/>
    <m/>
    <n v="0.3618088815553574"/>
    <n v="0.18"/>
    <n v="117.76270955068978"/>
    <n v="58.637033801173338"/>
    <n v="2.1593008882478042"/>
    <m/>
    <m/>
    <m/>
    <m/>
    <m/>
    <m/>
    <m/>
    <m/>
    <m/>
    <m/>
    <m/>
    <n v="0.1865920732572611"/>
    <m/>
    <m/>
    <m/>
    <m/>
    <m/>
    <m/>
    <m/>
    <m/>
    <m/>
    <m/>
    <m/>
    <n v="1274.4912059997703"/>
    <n v="0.2518722713456496"/>
    <n v="0.27426302607814745"/>
    <n v="237.49695728031358"/>
    <n v="194.84076187586894"/>
    <x v="4"/>
    <n v="9.762677251918257"/>
    <n v="2.6643645582431001"/>
    <n v="0.2"/>
    <n v="1"/>
    <n v="0.3"/>
    <x v="0"/>
    <n v="0.27111691284109712"/>
    <n v="0.18"/>
    <n v="194.84076187586894"/>
    <n v="0.27111691284109712"/>
    <n v="54.196644645855798"/>
    <n v="211.31688327269211"/>
    <n v="108862.61542377809"/>
    <n v="66.457180036534908"/>
    <n v="318389.68260746158"/>
    <x v="1"/>
    <n v="6.3184459347487317E-6"/>
    <n v="2288626.1542377807"/>
    <n v="0.1391182574829484"/>
  </r>
  <r>
    <x v="0"/>
    <n v="1000"/>
    <n v="25"/>
    <x v="0"/>
    <n v="18.563701733024214"/>
    <n v="4.2029813445521862"/>
    <n v="21.335599942702018"/>
    <n v="11.393748254898542"/>
    <m/>
    <n v="0.34417526097396695"/>
    <n v="0.18"/>
    <n v="115.73236699375053"/>
    <n v="57.626074851660022"/>
    <n v="2.4575191104812237"/>
    <m/>
    <m/>
    <m/>
    <m/>
    <m/>
    <m/>
    <m/>
    <m/>
    <m/>
    <m/>
    <m/>
    <n v="0.21569013598528972"/>
    <m/>
    <m/>
    <m/>
    <m/>
    <m/>
    <m/>
    <m/>
    <m/>
    <m/>
    <m/>
    <m/>
    <n v="1513.9833650263818"/>
    <n v="0.19699382046155414"/>
    <n v="0.27067472326189496"/>
    <n v="331.41693650107607"/>
    <n v="285.22380978577075"/>
    <x v="4"/>
    <n v="9.762677251918257"/>
    <n v="2.6643645582431001"/>
    <n v="0.2"/>
    <n v="1"/>
    <n v="0.3"/>
    <x v="0"/>
    <n v="0.26761599279635551"/>
    <n v="0.18"/>
    <n v="285.22380978577075"/>
    <n v="0.26761599279635551"/>
    <n v="49.156208624236918"/>
    <n v="205.45846061282117"/>
    <n v="103897.148685423"/>
    <n v="62.704554347863194"/>
    <n v="339880.13584335538"/>
    <x v="1"/>
    <n v="6.936932904930566E-6"/>
    <n v="2238971.4868542301"/>
    <n v="0.1518019045078994"/>
  </r>
  <r>
    <x v="0"/>
    <n v="1000"/>
    <n v="25"/>
    <x v="3"/>
    <n v="19.518780422755274"/>
    <n v="3.5305701003228895"/>
    <n v="21.937252924694477"/>
    <n v="11.278754191483959"/>
    <m/>
    <n v="0.33557764525998818"/>
    <n v="0.18"/>
    <n v="114.45637659963812"/>
    <n v="56.990726937579147"/>
    <n v="2.6741048809781223"/>
    <m/>
    <m/>
    <m/>
    <m/>
    <m/>
    <m/>
    <m/>
    <m/>
    <m/>
    <m/>
    <m/>
    <n v="0.2370922209650787"/>
    <m/>
    <m/>
    <m/>
    <m/>
    <m/>
    <m/>
    <m/>
    <m/>
    <m/>
    <m/>
    <m/>
    <n v="1715.678273627324"/>
    <n v="0.16093948100259051"/>
    <n v="0.26809859982845369"/>
    <n v="427.19551524982001"/>
    <n v="378.62583313826343"/>
    <x v="4"/>
    <n v="9.762677251918257"/>
    <n v="2.6643645582431001"/>
    <n v="0.2"/>
    <n v="1"/>
    <n v="0.3"/>
    <x v="0"/>
    <n v="0.26789996788578385"/>
    <n v="0.18"/>
    <n v="378.62583313826343"/>
    <n v="0.26789996788578385"/>
    <n v="45.386953225355377"/>
    <n v="201.85710243416233"/>
    <n v="100202.46916908097"/>
    <n v="59.41787827694089"/>
    <n v="352479.43878574716"/>
    <x v="1"/>
    <n v="7.3765350257538796E-6"/>
    <n v="2202024.6916908096"/>
    <n v="0.16007061143129064"/>
  </r>
  <r>
    <x v="0"/>
    <n v="1000"/>
    <n v="25"/>
    <x v="4"/>
    <n v="20.195839287251768"/>
    <n v="3.0378674944693249"/>
    <n v="22.354881344530845"/>
    <n v="11.194750325194972"/>
    <m/>
    <n v="0.3305578875248727"/>
    <n v="0.18"/>
    <n v="113.54005536093381"/>
    <n v="56.534467399635098"/>
    <n v="2.8357003202243209"/>
    <m/>
    <m/>
    <m/>
    <m/>
    <m/>
    <m/>
    <m/>
    <m/>
    <m/>
    <m/>
    <m/>
    <n v="0.25330625854533589"/>
    <m/>
    <m/>
    <m/>
    <m/>
    <m/>
    <m/>
    <m/>
    <m/>
    <m/>
    <m/>
    <m/>
    <n v="1891.7696062624602"/>
    <n v="0.13589280335019732"/>
    <n v="0.2663441355765544"/>
    <n v="524.17389163259065"/>
    <n v="473.91944615029934"/>
    <x v="4"/>
    <n v="9.762677251918257"/>
    <n v="2.6643645582431001"/>
    <n v="0.2"/>
    <n v="1"/>
    <n v="0.3"/>
    <x v="0"/>
    <n v="0.26913225609762181"/>
    <n v="0.18"/>
    <n v="473.91944615029934"/>
    <n v="0.26913225609762181"/>
    <n v="42.569880327141604"/>
    <n v="199.30774033233607"/>
    <n v="97360.998053092437"/>
    <n v="56.735583685429525"/>
    <n v="360227.05396750756"/>
    <x v="1"/>
    <n v="7.7041126386796431E-6"/>
    <n v="2173609.9805309242"/>
    <n v="0.16572754872956499"/>
  </r>
  <r>
    <x v="0"/>
    <n v="1000"/>
    <n v="25"/>
    <x v="5"/>
    <n v="20.717472173863815"/>
    <n v="2.6685023138222048"/>
    <n v="22.68247244204402"/>
    <n v="11.136281432304456"/>
    <m/>
    <n v="0.3269401337135972"/>
    <n v="0.18"/>
    <n v="112.90479990103913"/>
    <n v="56.218157627073431"/>
    <n v="2.9636661885440976"/>
    <m/>
    <m/>
    <m/>
    <m/>
    <m/>
    <m/>
    <m/>
    <m/>
    <m/>
    <m/>
    <m/>
    <n v="0.2661270915753805"/>
    <m/>
    <m/>
    <m/>
    <m/>
    <m/>
    <m/>
    <m/>
    <m/>
    <m/>
    <m/>
    <m/>
    <n v="2052.024370030299"/>
    <n v="0.11764600709382518"/>
    <n v="0.2647388919270891"/>
    <n v="621.7437527857843"/>
    <n v="570.19127575825269"/>
    <x v="4"/>
    <n v="9.762677251918257"/>
    <n v="2.6643645582431001"/>
    <n v="0.2"/>
    <n v="1"/>
    <n v="0.3"/>
    <x v="0"/>
    <n v="0.2703345705656377"/>
    <n v="0.18"/>
    <n v="570.19127575825269"/>
    <n v="0.2703345705656377"/>
    <n v="40.459474902187075"/>
    <n v="197.55798844852288"/>
    <n v="95315.93841898485"/>
    <n v="54.741656059118355"/>
    <n v="366154.13992449595"/>
    <x v="1"/>
    <n v="7.9556344794846959E-6"/>
    <n v="2153159.3841898488"/>
    <n v="0.17005435947430603"/>
  </r>
  <r>
    <x v="0"/>
    <n v="1000"/>
    <n v="25"/>
    <x v="6"/>
    <n v="21.116950072496579"/>
    <n v="2.3787217764109503"/>
    <n v="22.929513318332592"/>
    <n v="11.089692899163611"/>
    <m/>
    <n v="0.3240538938916061"/>
    <n v="0.18"/>
    <n v="112.40283011071286"/>
    <n v="55.968214163010558"/>
    <n v="3.0702598608748346"/>
    <m/>
    <m/>
    <m/>
    <m/>
    <m/>
    <m/>
    <m/>
    <m/>
    <m/>
    <m/>
    <m/>
    <n v="0.27685706798124182"/>
    <m/>
    <m/>
    <m/>
    <m/>
    <m/>
    <m/>
    <m/>
    <m/>
    <m/>
    <m/>
    <m/>
    <n v="2202.462213188152"/>
    <n v="0.10374061339143714"/>
    <n v="0.26356260290020178"/>
    <n v="719.87880738720537"/>
    <n v="667.33228275073407"/>
    <x v="4"/>
    <n v="9.762677251918257"/>
    <n v="2.6643645582431001"/>
    <n v="0.2"/>
    <n v="1"/>
    <n v="0.3"/>
    <x v="0"/>
    <n v="0.27138439184282936"/>
    <n v="0.18"/>
    <n v="667.33228275073407"/>
    <n v="0.27138439184282936"/>
    <n v="38.787756455527173"/>
    <n v="196.18539039071942"/>
    <n v="93661.872853582463"/>
    <n v="53.095552661495752"/>
    <n v="370216.99246383214"/>
    <x v="1"/>
    <n v="8.1548283468404392E-6"/>
    <n v="2136618.7285358245"/>
    <n v="0.1732723707413785"/>
  </r>
  <r>
    <x v="0"/>
    <n v="1000"/>
    <n v="25"/>
    <x v="7"/>
    <n v="21.437215084394918"/>
    <n v="2.146652544651404"/>
    <n v="23.127745039070248"/>
    <n v="11.053066900055713"/>
    <m/>
    <n v="0.32154118381138519"/>
    <n v="0.18"/>
    <n v="112.009640584926"/>
    <n v="55.772435146021252"/>
    <n v="3.1615294823613969"/>
    <m/>
    <m/>
    <m/>
    <m/>
    <m/>
    <m/>
    <m/>
    <m/>
    <m/>
    <m/>
    <m/>
    <n v="0.28603187793475321"/>
    <m/>
    <m/>
    <m/>
    <m/>
    <m/>
    <m/>
    <m/>
    <m/>
    <m/>
    <m/>
    <m/>
    <n v="2345.7808070943661"/>
    <n v="9.2817200337733441E-2"/>
    <n v="0.26258064273782761"/>
    <n v="818.35949953935176"/>
    <n v="765.01606591366647"/>
    <x v="4"/>
    <n v="9.762677251918257"/>
    <n v="2.6643645582431001"/>
    <n v="0.2"/>
    <n v="1"/>
    <n v="0.3"/>
    <x v="0"/>
    <n v="0.27219447044155914"/>
    <n v="0.18"/>
    <n v="765.01606591366647"/>
    <n v="0.27219447044155914"/>
    <n v="37.446168168869121"/>
    <n v="195.11634560885685"/>
    <n v="92344.661597675818"/>
    <n v="51.765127330994225"/>
    <n v="373334.67906753795"/>
    <x v="1"/>
    <n v="8.3161612978946013E-6"/>
    <n v="2123446.6159767583"/>
    <n v="0.1758154296220952"/>
  </r>
  <r>
    <x v="0"/>
    <n v="1000"/>
    <n v="25"/>
    <x v="8"/>
    <n v="21.699221134677646"/>
    <n v="1.9565917057708051"/>
    <n v="23.289826647469869"/>
    <n v="11.023420108974042"/>
    <m/>
    <n v="0.3192596917969564"/>
    <n v="0.18"/>
    <n v="111.69232430346351"/>
    <n v="55.614435337824162"/>
    <n v="3.2413990480930739"/>
    <m/>
    <m/>
    <m/>
    <m/>
    <m/>
    <m/>
    <m/>
    <m/>
    <m/>
    <m/>
    <m/>
    <n v="0.29404658590978378"/>
    <m/>
    <m/>
    <m/>
    <m/>
    <m/>
    <m/>
    <m/>
    <m/>
    <m/>
    <m/>
    <m/>
    <n v="2483.8058616874914"/>
    <n v="8.4010574032476235E-2"/>
    <n v="0.26175780214651562"/>
    <n v="917.10191269663937"/>
    <n v="863.10633764095383"/>
    <x v="4"/>
    <n v="9.762677251918257"/>
    <n v="2.6643645582431001"/>
    <n v="0.2"/>
    <n v="1"/>
    <n v="0.3"/>
    <x v="0"/>
    <n v="0.27278370658637996"/>
    <n v="0.18"/>
    <n v="863.10633764095383"/>
    <n v="0.27278370658637996"/>
    <n v="36.345376067961041"/>
    <n v="194.25746027034438"/>
    <n v="91268.77441203747"/>
    <n v="50.66640369238408"/>
    <n v="375779.62961852696"/>
    <x v="1"/>
    <n v="8.4494432415173351E-6"/>
    <n v="2112687.7441203748"/>
    <n v="0.17786804068150835"/>
  </r>
  <r>
    <x v="0"/>
    <n v="1000"/>
    <n v="25"/>
    <x v="9"/>
    <n v="21.91714586843268"/>
    <n v="1.7980318513459486"/>
    <n v="23.424391416216103"/>
    <n v="10.998850091112967"/>
    <m/>
    <n v="0.3171368503611055"/>
    <n v="0.18"/>
    <n v="111.43001419761049"/>
    <n v="55.483824496735515"/>
    <n v="3.3124774192379114"/>
    <m/>
    <m/>
    <m/>
    <m/>
    <m/>
    <m/>
    <m/>
    <m/>
    <m/>
    <m/>
    <m/>
    <n v="0.30116579386006742"/>
    <m/>
    <m/>
    <m/>
    <m/>
    <m/>
    <m/>
    <m/>
    <m/>
    <m/>
    <m/>
    <m/>
    <n v="2617.7487502226327"/>
    <n v="7.6758956909387083E-2"/>
    <n v="0.26106668881591649"/>
    <n v="1016.0477119166785"/>
    <n v="961.51004060367643"/>
    <x v="4"/>
    <n v="9.762677251918257"/>
    <n v="2.6643645582431001"/>
    <n v="0.2"/>
    <n v="1"/>
    <n v="0.3"/>
    <x v="0"/>
    <n v="0.27318290731858846"/>
    <n v="0.18"/>
    <n v="961.51004060367643"/>
    <n v="0.27318290731858846"/>
    <n v="35.425327887800591"/>
    <n v="193.55004705595886"/>
    <n v="90371.152437948404"/>
    <n v="49.741801788221515"/>
    <n v="377728.01298345404"/>
    <x v="1"/>
    <n v="8.561395338615187E-6"/>
    <n v="2103711.5243794839"/>
    <n v="0.17955314148638782"/>
  </r>
  <r>
    <x v="0"/>
    <n v="1000"/>
    <n v="25"/>
    <x v="0"/>
    <n v="18.56387819240155"/>
    <n v="4.2030579883573438"/>
    <n v="21.335823994946153"/>
    <n v="11.393817777417359"/>
    <m/>
    <n v="0.34417665428079597"/>
    <n v="0.18"/>
    <n v="115.73306807249598"/>
    <n v="57.626423936512531"/>
    <n v="2.4574824970035678"/>
    <m/>
    <m/>
    <m/>
    <m/>
    <m/>
    <m/>
    <m/>
    <m/>
    <m/>
    <m/>
    <m/>
    <n v="0.21568560644126838"/>
    <m/>
    <m/>
    <m/>
    <m/>
    <m/>
    <m/>
    <m/>
    <m/>
    <m/>
    <m/>
    <m/>
    <n v="1513.9631696077802"/>
    <n v="0.19699534404450131"/>
    <n v="0.27067164357161699"/>
    <n v="331.41550423441481"/>
    <n v="285.22192110599576"/>
    <x v="4"/>
    <n v="9.762677251918257"/>
    <n v="2.6643645582431001"/>
    <n v="0.2"/>
    <n v="1"/>
    <n v="0.3"/>
    <x v="0"/>
    <n v="0.26761623771794585"/>
    <n v="0.18"/>
    <n v="285.22192110599576"/>
    <n v="0.26761623771794585"/>
    <n v="49.156910582035579"/>
    <n v="205.46045608996869"/>
    <n v="103899.12808066046"/>
    <n v="62.70626725640367"/>
    <n v="339888.28976492101"/>
    <x v="2"/>
    <n v="6.9369225097622465E-6"/>
    <n v="2238991.2808066048"/>
    <n v="0.15180420427652358"/>
  </r>
  <r>
    <x v="0"/>
    <n v="1000"/>
    <n v="25"/>
    <x v="0"/>
    <n v="17.923861349796926"/>
    <n v="4.0204601818256425"/>
    <n v="20.56930946414176"/>
    <n v="10.998647659952523"/>
    <m/>
    <n v="0.34742119266120897"/>
    <n v="0.18"/>
    <n v="111.75745941038248"/>
    <n v="55.646867756207044"/>
    <n v="2.3745869249417115"/>
    <m/>
    <m/>
    <m/>
    <m/>
    <m/>
    <m/>
    <m/>
    <m/>
    <m/>
    <m/>
    <m/>
    <n v="0.21589808114209214"/>
    <m/>
    <m/>
    <m/>
    <m/>
    <m/>
    <m/>
    <m/>
    <m/>
    <m/>
    <m/>
    <m/>
    <n v="1476.822151090957"/>
    <n v="0.1954591712879066"/>
    <n v="0.27210818654737889"/>
    <n v="334.12965049959621"/>
    <n v="289.52868862010001"/>
    <x v="4"/>
    <n v="9.762677251918257"/>
    <n v="2.6643645582431001"/>
    <n v="0.2"/>
    <n v="1"/>
    <n v="0.3"/>
    <x v="1"/>
    <n v="0.26963819928066729"/>
    <n v="0.18"/>
    <n v="289.52868862010001"/>
    <n v="0.26963819928066729"/>
    <n v="47.190112606334914"/>
    <n v="194.43348239010928"/>
    <n v="97323.246761531569"/>
    <n v="59.653726982696305"/>
    <n v="386892.30832753406"/>
    <x v="2"/>
    <n v="6.7306432923278859E-6"/>
    <n v="2173232.4676153157"/>
    <n v="0.17802619558324118"/>
  </r>
  <r>
    <x v="0"/>
    <n v="1000"/>
    <n v="25"/>
    <x v="0"/>
    <n v="15.614705757607146"/>
    <n v="3.4011038287087811"/>
    <n v="17.836466375356487"/>
    <n v="9.5837347464912366"/>
    <m/>
    <n v="0.35929542241563089"/>
    <n v="0.18"/>
    <n v="97.493350189963436"/>
    <n v="48.544406733591771"/>
    <n v="2.0826731392649513"/>
    <m/>
    <m/>
    <m/>
    <m/>
    <m/>
    <m/>
    <m/>
    <m/>
    <m/>
    <m/>
    <m/>
    <n v="0.21731331201830814"/>
    <m/>
    <m/>
    <m/>
    <m/>
    <m/>
    <m/>
    <m/>
    <m/>
    <m/>
    <m/>
    <m/>
    <n v="1346.0761533252594"/>
    <n v="0.19068260254777092"/>
    <n v="0.27682967148055265"/>
    <n v="343.59453712423277"/>
    <n v="304.73958369278387"/>
    <x v="4"/>
    <n v="9.762677251918257"/>
    <n v="2.6643645582431001"/>
    <n v="0.2"/>
    <n v="1"/>
    <n v="0.3"/>
    <x v="2"/>
    <n v="0.27688979210300324"/>
    <n v="0.18"/>
    <n v="304.73958369278387"/>
    <n v="0.27688979210300324"/>
    <n v="40.393390848547241"/>
    <n v="158.95157770328694"/>
    <n v="76461.125410580877"/>
    <n v="49.531903654692975"/>
    <n v="507145.27931117173"/>
    <x v="2"/>
    <n v="6.0215018966032695E-6"/>
    <n v="1964611.2541058087"/>
    <n v="0.25814026986320943"/>
  </r>
  <r>
    <x v="0"/>
    <n v="1000"/>
    <n v="25"/>
    <x v="0"/>
    <n v="13.496967190538886"/>
    <n v="2.8801554135481826"/>
    <n v="15.367367581267811"/>
    <n v="8.2931794116827451"/>
    <m/>
    <n v="0.37091778573200374"/>
    <n v="0.18"/>
    <n v="84.446636029110749"/>
    <n v="42.048117524868431"/>
    <n v="1.8169111075953932"/>
    <m/>
    <m/>
    <m/>
    <m/>
    <m/>
    <m/>
    <m/>
    <m/>
    <m/>
    <m/>
    <m/>
    <n v="0.21908498748210839"/>
    <m/>
    <m/>
    <m/>
    <m/>
    <m/>
    <m/>
    <m/>
    <m/>
    <m/>
    <m/>
    <m/>
    <n v="1226.7418082665831"/>
    <n v="0.18742022004204376"/>
    <n v="0.28043639213730082"/>
    <n v="351.87155601427503"/>
    <n v="318.28625446888651"/>
    <x v="4"/>
    <n v="9.762677251918257"/>
    <n v="2.6643645582431001"/>
    <n v="0.2"/>
    <n v="1"/>
    <n v="0.3"/>
    <x v="3"/>
    <n v="0.28373743544384622"/>
    <n v="0.18"/>
    <n v="318.28625446888651"/>
    <n v="0.28373743544384622"/>
    <n v="34.510998293402821"/>
    <n v="130.85619082918714"/>
    <n v="60478.476014767504"/>
    <n v="41.272882752746384"/>
    <n v="576162.32744593115"/>
    <x v="2"/>
    <n v="5.3558107555847676E-6"/>
    <n v="1804784.7601476749"/>
    <n v="0.31924157393637742"/>
  </r>
  <r>
    <x v="0"/>
    <n v="1000"/>
    <n v="25"/>
    <x v="0"/>
    <n v="12.350436822098224"/>
    <n v="2.6157367790154278"/>
    <n v="14.043132192101128"/>
    <n v="7.5687606839761639"/>
    <m/>
    <n v="0.37387464559969896"/>
    <n v="0.18"/>
    <n v="77.110103859480148"/>
    <n v="38.395072461151941"/>
    <n v="1.6905976466056272"/>
    <m/>
    <m/>
    <m/>
    <m/>
    <m/>
    <m/>
    <m/>
    <m/>
    <m/>
    <m/>
    <m/>
    <n v="0.22336518714150844"/>
    <m/>
    <m/>
    <m/>
    <m/>
    <m/>
    <m/>
    <m/>
    <m/>
    <m/>
    <m/>
    <m/>
    <n v="1170.5829328941068"/>
    <n v="0.18626448453477545"/>
    <n v="0.28079682076640733"/>
    <n v="356.01646490017617"/>
    <n v="325.2841095912932"/>
    <x v="4"/>
    <n v="9.762677251918257"/>
    <n v="2.6643645582431001"/>
    <n v="0.2"/>
    <n v="1"/>
    <n v="0.3"/>
    <x v="4"/>
    <n v="0.2850421810994585"/>
    <n v="0.18"/>
    <n v="325.2841095912932"/>
    <n v="0.2850421810994585"/>
    <n v="31.470828128974588"/>
    <n v="116.46201772203192"/>
    <n v="52849.582771868059"/>
    <n v="37.468774476043905"/>
    <n v="605970.59843238641"/>
    <x v="2"/>
    <n v="4.9693399432290061E-6"/>
    <n v="1728495.8277186807"/>
    <n v="0.35057683606454759"/>
  </r>
  <r>
    <x v="0"/>
    <n v="1000"/>
    <n v="25"/>
    <x v="0"/>
    <n v="10.907842456691577"/>
    <n v="2.2937972868933341"/>
    <n v="12.385776273088695"/>
    <n v="6.656652944694093"/>
    <m/>
    <n v="0.37618102172778889"/>
    <n v="0.18"/>
    <n v="67.859771196883514"/>
    <n v="33.789097691394289"/>
    <n v="1.5375920462946047"/>
    <m/>
    <m/>
    <m/>
    <m/>
    <m/>
    <m/>
    <m/>
    <m/>
    <m/>
    <m/>
    <m/>
    <n v="0.23098576102276649"/>
    <m/>
    <m/>
    <m/>
    <m/>
    <m/>
    <m/>
    <m/>
    <m/>
    <m/>
    <m/>
    <m/>
    <n v="1102.7935199478559"/>
    <n v="0.18519608592294715"/>
    <n v="0.280696658995855"/>
    <n v="361.14010585052011"/>
    <n v="333.9974968005539"/>
    <x v="4"/>
    <n v="9.762677251918257"/>
    <n v="2.6643645582431001"/>
    <n v="0.2"/>
    <n v="1"/>
    <n v="0.3"/>
    <x v="5"/>
    <n v="0.28565396929879977"/>
    <n v="0.18"/>
    <n v="333.9974968005539"/>
    <n v="0.28565396929879977"/>
    <n v="27.724212805890559"/>
    <n v="99.484837471157746"/>
    <n v="44110.058178712934"/>
    <n v="32.929231709022275"/>
    <n v="632334.07624214503"/>
    <x v="2"/>
    <n v="4.4681584551506613E-6"/>
    <n v="1641100.5817871294"/>
    <n v="0.38531098170323264"/>
  </r>
  <r>
    <x v="0"/>
    <n v="1000"/>
    <n v="25"/>
    <x v="0"/>
    <n v="9.0259212888558285"/>
    <n v="1.8895662184496067"/>
    <n v="10.236622382652856"/>
    <n v="5.4860343839004937"/>
    <m/>
    <n v="0.38129918729861118"/>
    <n v="0.18"/>
    <n v="55.967860573383973"/>
    <n v="27.867814393386212"/>
    <n v="1.321586534570879"/>
    <m/>
    <m/>
    <m/>
    <m/>
    <m/>
    <m/>
    <m/>
    <m/>
    <m/>
    <m/>
    <m/>
    <n v="0.24090015521033784"/>
    <m/>
    <m/>
    <m/>
    <m/>
    <m/>
    <m/>
    <m/>
    <m/>
    <m/>
    <m/>
    <m/>
    <n v="1006.1633618438268"/>
    <n v="0.18458883680731408"/>
    <n v="0.28056787309581704"/>
    <n v="367.82981176974107"/>
    <n v="345.37009455838705"/>
    <x v="4"/>
    <n v="9.762677251918257"/>
    <n v="2.6643645582431001"/>
    <n v="0.2"/>
    <n v="1"/>
    <n v="0.3"/>
    <x v="6"/>
    <n v="0.28769668074252575"/>
    <n v="0.18"/>
    <n v="345.37009455838705"/>
    <n v="0.28769668074252575"/>
    <n v="22.933290390922934"/>
    <n v="79.258934828997312"/>
    <n v="33965.576458519034"/>
    <n v="27.108258999892648"/>
    <n v="651102.85856970691"/>
    <x v="2"/>
    <n v="3.7813027304803503E-6"/>
    <n v="1539655.7645851905"/>
    <n v="0.42288859207767465"/>
  </r>
  <r>
    <x v="0"/>
    <n v="1000"/>
    <n v="25"/>
    <x v="0"/>
    <n v="7.825570820745777"/>
    <n v="1.6379477699995346"/>
    <n v="8.8713698338249038"/>
    <n v="4.7469869037782804"/>
    <m/>
    <n v="0.38403320683565578"/>
    <n v="0.18"/>
    <n v="48.449637817038223"/>
    <n v="24.124300987736877"/>
    <n v="1.1856107054428611"/>
    <m/>
    <m/>
    <m/>
    <m/>
    <m/>
    <m/>
    <m/>
    <m/>
    <m/>
    <m/>
    <m/>
    <n v="0.24976068598360682"/>
    <m/>
    <m/>
    <m/>
    <m/>
    <m/>
    <m/>
    <m/>
    <m/>
    <m/>
    <m/>
    <m/>
    <n v="945.4336218132463"/>
    <n v="0.18463301617235486"/>
    <n v="0.28049764737683497"/>
    <n v="372.10111780284382"/>
    <n v="352.62826909181632"/>
    <x v="4"/>
    <n v="9.762677251918257"/>
    <n v="2.6643645582431001"/>
    <n v="0.2"/>
    <n v="1"/>
    <n v="0.3"/>
    <x v="7"/>
    <n v="0.28871289706861514"/>
    <n v="0.18"/>
    <n v="352.62826909181632"/>
    <n v="0.28871289706861514"/>
    <n v="19.916823010926045"/>
    <n v="67.250659556052156"/>
    <n v="28138.368687366485"/>
    <n v="23.479391675691737"/>
    <n v="653622.4952521408"/>
    <x v="2"/>
    <n v="3.3224942450236718E-6"/>
    <n v="1481383.6868736648"/>
    <n v="0.44122431011209245"/>
  </r>
  <r>
    <x v="0"/>
    <n v="1000"/>
    <n v="25"/>
    <x v="0"/>
    <n v="6.349217743813159"/>
    <n v="1.3364541600403101"/>
    <n v="7.1983533272215752"/>
    <n v="3.8451110451781627"/>
    <m/>
    <n v="0.39008128521689267"/>
    <n v="0.18"/>
    <n v="39.264907959355973"/>
    <n v="19.550991515032024"/>
    <n v="0.99986636446206756"/>
    <m/>
    <m/>
    <m/>
    <m/>
    <m/>
    <m/>
    <m/>
    <m/>
    <m/>
    <m/>
    <m/>
    <n v="0.26003575780104393"/>
    <m/>
    <m/>
    <m/>
    <m/>
    <m/>
    <m/>
    <m/>
    <m/>
    <m/>
    <m/>
    <m/>
    <n v="861.46348008794882"/>
    <n v="0.18566109487656332"/>
    <n v="0.28006666013126291"/>
    <n v="377.32961952401837"/>
    <n v="361.53029785691501"/>
    <x v="4"/>
    <n v="9.762677251918257"/>
    <n v="2.6643645582431001"/>
    <n v="0.2"/>
    <n v="1"/>
    <n v="0.3"/>
    <x v="8"/>
    <n v="0.29181420822392068"/>
    <n v="0.18"/>
    <n v="361.53029785691501"/>
    <n v="0.29181420822392068"/>
    <n v="16.25091860659704"/>
    <n v="53.274243863264076"/>
    <n v="21597.977130605814"/>
    <n v="19.089157492040329"/>
    <n v="648791.95592483389"/>
    <x v="2"/>
    <n v="2.7283857797155071E-6"/>
    <n v="1415979.7713060582"/>
    <n v="0.45819295520472531"/>
  </r>
  <r>
    <x v="0"/>
    <n v="1000"/>
    <n v="25"/>
    <x v="0"/>
    <n v="4.3348059889017367"/>
    <n v="0.93029495744665824"/>
    <n v="4.9213932724817706"/>
    <n v="2.6279866551319513"/>
    <m/>
    <n v="0.4009239742491878"/>
    <n v="0.18"/>
    <n v="26.853499355630607"/>
    <n v="13.37103702355051"/>
    <n v="0.73268105241429593"/>
    <m/>
    <m/>
    <m/>
    <m/>
    <m/>
    <m/>
    <m/>
    <m/>
    <m/>
    <m/>
    <m/>
    <n v="0.2787993808809916"/>
    <m/>
    <m/>
    <m/>
    <m/>
    <m/>
    <m/>
    <m/>
    <m/>
    <m/>
    <m/>
    <m/>
    <n v="740.0581961527447"/>
    <n v="0.18903081016679799"/>
    <n v="0.27974170030536916"/>
    <n v="384.50425523198788"/>
    <n v="373.71766994559636"/>
    <x v="4"/>
    <n v="9.762677251918257"/>
    <n v="2.6643645582431001"/>
    <n v="0.2"/>
    <n v="1"/>
    <n v="0.3"/>
    <x v="9"/>
    <n v="0.29908685408729463"/>
    <n v="0.18"/>
    <n v="373.71766994559636"/>
    <n v="0.29908685408729463"/>
    <n v="11.266684234816161"/>
    <n v="35.422894255110151"/>
    <n v="13694.070963667698"/>
    <n v="13.153027687571738"/>
    <n v="615423.05043613596"/>
    <x v="2"/>
    <n v="1.8731836188220984E-6"/>
    <n v="1336940.7096366771"/>
    <n v="0.4603218721669276"/>
  </r>
  <r>
    <x v="0"/>
    <n v="1000"/>
    <n v="25"/>
    <x v="0"/>
    <n v="18.55917907281885"/>
    <n v="4.2010254672944987"/>
    <n v="21.329861308167203"/>
    <n v="11.391929681218576"/>
    <m/>
    <n v="0.3441332193045889"/>
    <n v="0.18"/>
    <n v="115.71403127386917"/>
    <n v="57.616945032631961"/>
    <n v="2.4585221010549745"/>
    <m/>
    <m/>
    <m/>
    <m/>
    <m/>
    <m/>
    <m/>
    <m/>
    <m/>
    <m/>
    <m/>
    <n v="0.21581261207293465"/>
    <m/>
    <m/>
    <m/>
    <m/>
    <m/>
    <m/>
    <m/>
    <m/>
    <m/>
    <m/>
    <m/>
    <n v="1514.5324618273444"/>
    <n v="0.19695512345811297"/>
    <n v="0.27075219617221263"/>
    <n v="331.45326488500859"/>
    <n v="285.27141129985773"/>
    <x v="4"/>
    <n v="9.762677251918257"/>
    <n v="2.6643645582431001"/>
    <n v="0.2"/>
    <n v="1"/>
    <n v="0.3"/>
    <x v="0"/>
    <n v="0.26760571946173056"/>
    <n v="0.18"/>
    <n v="285.27141129985773"/>
    <n v="0.26760571946173056"/>
    <n v="49.13833318270342"/>
    <n v="205.40627834594042"/>
    <n v="103846.57817275457"/>
    <n v="62.661522334500425"/>
    <n v="339671.52519858873"/>
    <x v="3"/>
    <n v="6.9371938356268612E-6"/>
    <n v="2238465.7817275459"/>
    <n v="0.15174300539740471"/>
  </r>
  <r>
    <x v="1"/>
    <n v="1000"/>
    <n v="25"/>
    <x v="0"/>
    <n v="18.461761273496823"/>
    <n v="4.2700843761774046"/>
    <n v="21.268770242784775"/>
    <n v="11.404371609425603"/>
    <m/>
    <n v="0.34518474049179476"/>
    <n v="0.18"/>
    <n v="115.85309658985946"/>
    <n v="57.686189173374018"/>
    <n v="2.4360136472394665"/>
    <m/>
    <m/>
    <m/>
    <m/>
    <m/>
    <m/>
    <m/>
    <m/>
    <m/>
    <m/>
    <m/>
    <n v="0.21360349615634452"/>
    <m/>
    <m/>
    <m/>
    <m/>
    <m/>
    <m/>
    <m/>
    <m/>
    <m/>
    <m/>
    <m/>
    <n v="1495.4254037123392"/>
    <n v="0.20076780779678549"/>
    <n v="0.2408833789674045"/>
    <n v="323.35809405930411"/>
    <n v="277.41858009260733"/>
    <x v="4"/>
    <n v="9.762677251918257"/>
    <n v="2.6643645582431001"/>
    <n v="0.2"/>
    <n v="1"/>
    <n v="0.3"/>
    <x v="0"/>
    <n v="0.2676929786912286"/>
    <n v="0.18"/>
    <n v="277.41858009260733"/>
    <n v="0.2676929786912286"/>
    <n v="49.522385918948402"/>
    <n v="205.80236731880069"/>
    <n v="104227.94488582843"/>
    <n v="62.984345160898386"/>
    <n v="338341.91398691491"/>
    <x v="3"/>
    <n v="6.8928144065747231E-6"/>
    <n v="2242279.4488582844"/>
    <n v="0.15089194799479191"/>
  </r>
  <r>
    <x v="2"/>
    <n v="1000"/>
    <n v="25"/>
    <x v="0"/>
    <n v="18.332590891444326"/>
    <n v="4.360191235620702"/>
    <n v="21.18694890497796"/>
    <n v="11.420370603438622"/>
    <m/>
    <n v="0.34661522235694836"/>
    <n v="0.18"/>
    <n v="116.03283281370051"/>
    <n v="57.775684388564578"/>
    <n v="2.4065775283037496"/>
    <m/>
    <m/>
    <m/>
    <m/>
    <m/>
    <m/>
    <m/>
    <m/>
    <m/>
    <m/>
    <m/>
    <n v="0.21072674538067443"/>
    <m/>
    <m/>
    <m/>
    <m/>
    <m/>
    <m/>
    <m/>
    <m/>
    <m/>
    <m/>
    <m/>
    <n v="1470.8003853787848"/>
    <n v="0.20579608961988186"/>
    <n v="0.21103403782509961"/>
    <n v="313.12969661018394"/>
    <n v="267.51162122691062"/>
    <x v="4"/>
    <n v="9.762677251918257"/>
    <n v="2.6643645582431001"/>
    <n v="0.2"/>
    <n v="1"/>
    <n v="0.3"/>
    <x v="0"/>
    <n v="0.26784455324252787"/>
    <n v="0.18"/>
    <n v="267.51162122691062"/>
    <n v="0.26784455324252787"/>
    <n v="50.020242242864825"/>
    <n v="206.31538476819941"/>
    <n v="104713.468114886"/>
    <n v="63.389573521112993"/>
    <n v="336521.02440923371"/>
    <x v="3"/>
    <n v="6.8348180323019964E-6"/>
    <n v="2247134.6811488597"/>
    <n v="0.1497556097693199"/>
  </r>
  <r>
    <x v="3"/>
    <n v="1000"/>
    <n v="25"/>
    <x v="0"/>
    <n v="18.1634095267422"/>
    <n v="4.4810202084706479"/>
    <n v="21.081850309553442"/>
    <n v="11.443616818432922"/>
    <m/>
    <n v="0.34568745367326259"/>
    <n v="0.18"/>
    <n v="116.29360049725642"/>
    <n v="57.90552721855093"/>
    <n v="2.40508697856413"/>
    <m/>
    <m/>
    <m/>
    <m/>
    <m/>
    <m/>
    <m/>
    <m/>
    <m/>
    <m/>
    <m/>
    <n v="0.21016842985253681"/>
    <m/>
    <m/>
    <m/>
    <m/>
    <m/>
    <m/>
    <m/>
    <m/>
    <m/>
    <m/>
    <m/>
    <n v="1457.094986778781"/>
    <n v="0.21255345914490392"/>
    <n v="0.18117863577895921"/>
    <n v="299.74861302685906"/>
    <n v="254.55149749671773"/>
    <x v="4"/>
    <n v="9.762677251918257"/>
    <n v="2.6643645582431001"/>
    <n v="0.2"/>
    <n v="1"/>
    <n v="0.3"/>
    <x v="0"/>
    <n v="0.26645266168304338"/>
    <n v="0.18"/>
    <n v="254.55149749671773"/>
    <n v="0.26645266168304338"/>
    <n v="50.719553009568685"/>
    <n v="207.06188261645821"/>
    <n v="105509.29771354816"/>
    <n v="64.110388813910035"/>
    <n v="334442.45656571479"/>
    <x v="3"/>
    <n v="6.7538868424005934E-6"/>
    <n v="2255092.9771354813"/>
    <n v="0.14830539581145713"/>
  </r>
  <r>
    <x v="4"/>
    <n v="1000"/>
    <n v="25"/>
    <x v="0"/>
    <n v="17.897562595783224"/>
    <n v="4.6535331480511637"/>
    <n v="20.906710298937789"/>
    <n v="11.476271500777914"/>
    <m/>
    <n v="0.34877500639291065"/>
    <n v="0.18"/>
    <n v="116.66309462610977"/>
    <n v="58.089507697648024"/>
    <n v="2.3495332257531913"/>
    <m/>
    <m/>
    <m/>
    <m/>
    <m/>
    <m/>
    <m/>
    <m/>
    <m/>
    <m/>
    <m/>
    <n v="0.20472966551845076"/>
    <m/>
    <m/>
    <m/>
    <m/>
    <m/>
    <m/>
    <m/>
    <m/>
    <m/>
    <m/>
    <m/>
    <n v="1411.9716557539145"/>
    <n v="0.22258562353961525"/>
    <n v="0.1513415424876888"/>
    <n v="281.7405829120637"/>
    <n v="237.20504287731828"/>
    <x v="4"/>
    <n v="9.762677251918257"/>
    <n v="2.6643645582431001"/>
    <n v="0.2"/>
    <n v="1"/>
    <n v="0.3"/>
    <x v="0"/>
    <n v="0.26703117934372739"/>
    <n v="0.18"/>
    <n v="237.20504287731828"/>
    <n v="0.26703117934372739"/>
    <n v="51.648847132978709"/>
    <n v="208.1241116045195"/>
    <n v="106434.58862823083"/>
    <n v="64.828340047072118"/>
    <n v="330442.61863384891"/>
    <x v="3"/>
    <n v="6.6380740884290646E-6"/>
    <n v="2264345.886282308"/>
    <n v="0.14593292510464581"/>
  </r>
  <r>
    <x v="5"/>
    <n v="1000"/>
    <n v="25"/>
    <x v="0"/>
    <n v="17.483256643697896"/>
    <n v="4.9274643615202907"/>
    <n v="20.636386585900723"/>
    <n v="11.531926746203634"/>
    <m/>
    <n v="0.35621165706578262"/>
    <n v="0.18"/>
    <n v="117.29351042881531"/>
    <n v="58.403407682397663"/>
    <n v="2.2371623835666394"/>
    <m/>
    <m/>
    <m/>
    <m/>
    <m/>
    <m/>
    <m/>
    <m/>
    <m/>
    <m/>
    <m/>
    <n v="0.19399727667391956"/>
    <m/>
    <m/>
    <m/>
    <m/>
    <m/>
    <m/>
    <m/>
    <m/>
    <m/>
    <m/>
    <m/>
    <n v="1331.1605777476234"/>
    <n v="0.23877554052446628"/>
    <n v="0.12148233900350777"/>
    <n v="256.08396424443993"/>
    <n v="212.57938596430444"/>
    <x v="4"/>
    <n v="9.762677251918257"/>
    <n v="2.6643645582431001"/>
    <n v="0.2"/>
    <n v="1"/>
    <n v="0.3"/>
    <x v="0"/>
    <n v="0.26937922191386982"/>
    <n v="0.18"/>
    <n v="212.57938596430444"/>
    <n v="0.26937922191386982"/>
    <n v="53.097674616114787"/>
    <n v="209.94871191057388"/>
    <n v="107856.00462259953"/>
    <n v="65.810392666499155"/>
    <n v="324053.28853454866"/>
    <x v="3"/>
    <n v="6.4594724403461008E-6"/>
    <n v="2278560.0462259953"/>
    <n v="0.14221845462061963"/>
  </r>
  <r>
    <x v="6"/>
    <n v="1000"/>
    <n v="25"/>
    <x v="0"/>
    <n v="16.731241953387332"/>
    <n v="5.3732160375932922"/>
    <n v="20.116962611616454"/>
    <n v="11.610208901584741"/>
    <m/>
    <n v="0.36827505677067413"/>
    <n v="0.18"/>
    <n v="118.22523433648"/>
    <n v="58.867336599077184"/>
    <n v="2.0774376298840522"/>
    <m/>
    <m/>
    <m/>
    <m/>
    <m/>
    <m/>
    <m/>
    <m/>
    <m/>
    <m/>
    <m/>
    <n v="0.17893197680538644"/>
    <m/>
    <m/>
    <m/>
    <m/>
    <m/>
    <m/>
    <m/>
    <m/>
    <m/>
    <m/>
    <m/>
    <n v="1214.9614960035105"/>
    <n v="0.26709877337499011"/>
    <n v="9.1867342102995533E-2"/>
    <n v="217.87606378522"/>
    <n v="176.24268106148418"/>
    <x v="4"/>
    <n v="9.762677251918257"/>
    <n v="2.6643645582431001"/>
    <n v="0.2"/>
    <n v="1"/>
    <n v="0.3"/>
    <x v="0"/>
    <n v="0.27322987180255437"/>
    <n v="0.18"/>
    <n v="176.24268106148418"/>
    <n v="0.27322987180255437"/>
    <n v="55.358181244993595"/>
    <n v="212.674216022884"/>
    <n v="109775.37533070194"/>
    <n v="66.970839750106094"/>
    <n v="310935.50647336745"/>
    <x v="3"/>
    <n v="6.1580354213707309E-6"/>
    <n v="2297753.7533070194"/>
    <n v="0.13532150955073258"/>
  </r>
  <r>
    <x v="7"/>
    <n v="1000"/>
    <n v="25"/>
    <x v="0"/>
    <n v="15.200104200647738"/>
    <n v="6.7120880113290067"/>
    <n v="19.293677115213107"/>
    <n v="11.795299220145214"/>
    <m/>
    <n v="0.39692527355336005"/>
    <n v="0.18"/>
    <n v="120.64749230447727"/>
    <n v="60.073440151606945"/>
    <n v="1.7026418653349022"/>
    <m/>
    <m/>
    <m/>
    <m/>
    <m/>
    <m/>
    <m/>
    <m/>
    <m/>
    <m/>
    <m/>
    <n v="0.14434918805849004"/>
    <m/>
    <m/>
    <m/>
    <m/>
    <m/>
    <m/>
    <m/>
    <m/>
    <m/>
    <m/>
    <m/>
    <n v="960.45531609177942"/>
    <n v="0.34789055353458309"/>
    <n v="6.0069412770700749E-2"/>
    <n v="146.95766947697399"/>
    <n v="109.13438342432873"/>
    <x v="4"/>
    <n v="9.762677251918257"/>
    <n v="2.6643645582431001"/>
    <n v="0.2"/>
    <n v="1"/>
    <n v="0.3"/>
    <x v="0"/>
    <n v="0.2805650098040629"/>
    <n v="0.18"/>
    <n v="109.13438342432873"/>
    <n v="0.2805650098040629"/>
    <n v="62.768435915540977"/>
    <n v="219.92687703642071"/>
    <n v="118351.26742330511"/>
    <n v="75.084686523925001"/>
    <n v="296521.34434280539"/>
    <x v="3"/>
    <n v="5.4199762648130162E-6"/>
    <n v="2383512.674233051"/>
    <n v="0.12440518884096885"/>
  </r>
  <r>
    <x v="8"/>
    <n v="1000"/>
    <n v="25"/>
    <x v="0"/>
    <n v="10.615802949924461"/>
    <n v="4.1894192198189204"/>
    <n v="13.1368319237788"/>
    <n v="7.8002951133911305"/>
    <m/>
    <n v="0.3946569392799516"/>
    <n v="0.18"/>
    <n v="80.003603431576366"/>
    <n v="39.835819136054624"/>
    <n v="1.4007249214976483"/>
    <m/>
    <m/>
    <m/>
    <m/>
    <m/>
    <m/>
    <m/>
    <m/>
    <m/>
    <m/>
    <m/>
    <n v="0.17957332397500686"/>
    <m/>
    <m/>
    <m/>
    <m/>
    <m/>
    <m/>
    <m/>
    <m/>
    <m/>
    <m/>
    <m/>
    <n v="840.19027777028987"/>
    <n v="0.3189063576459184"/>
    <n v="4.5413981241856777E-2"/>
    <n v="166.24372804073437"/>
    <n v="139.82781702146605"/>
    <x v="4"/>
    <n v="9.762677251918257"/>
    <n v="2.6643645582431001"/>
    <n v="0.2"/>
    <n v="1"/>
    <n v="0.3"/>
    <x v="0"/>
    <n v="0.28042249004439945"/>
    <n v="0.18"/>
    <n v="139.82781702146605"/>
    <n v="0.28042249004439945"/>
    <n v="40.818514567320655"/>
    <n v="122.03269305521529"/>
    <n v="61609.568387798732"/>
    <n v="48.495052522736025"/>
    <n v="662138.51794527704"/>
    <x v="3"/>
    <n v="3.9589309708099827E-6"/>
    <n v="1816095.6838779873"/>
    <n v="0.36459451108401081"/>
  </r>
  <r>
    <x v="9"/>
    <n v="1000"/>
    <n v="25"/>
    <x v="0"/>
    <n v="3.6673684933234698"/>
    <n v="0.96291969351146789"/>
    <n v="4.2586531930616989"/>
    <n v="2.3329617764999302"/>
    <m/>
    <n v="0.40462789938436117"/>
    <n v="0.18"/>
    <n v="23.875372708933924"/>
    <n v="11.888152386191166"/>
    <n v="0.67747169298460186"/>
    <m/>
    <m/>
    <m/>
    <m/>
    <m/>
    <m/>
    <m/>
    <m/>
    <m/>
    <m/>
    <m/>
    <n v="0.29039125278811534"/>
    <m/>
    <m/>
    <m/>
    <m/>
    <m/>
    <m/>
    <m/>
    <m/>
    <m/>
    <m/>
    <m/>
    <n v="638.07493825291647"/>
    <n v="0.22610897151246784"/>
    <n v="4.0065128927982877E-2"/>
    <n v="308.46482735858484"/>
    <n v="299.33909176061576"/>
    <x v="4"/>
    <n v="9.762677251918257"/>
    <n v="2.6643645582431001"/>
    <n v="0.2"/>
    <n v="1"/>
    <n v="0.3"/>
    <x v="0"/>
    <n v="0.2949133609533453"/>
    <n v="0.18"/>
    <n v="299.33909176061576"/>
    <n v="0.2949133609533453"/>
    <n v="10.838907385876134"/>
    <n v="31.294968179099943"/>
    <n v="12348.335389430098"/>
    <n v="12.634973013898129"/>
    <n v="854583.74019348493"/>
    <x v="3"/>
    <n v="1.3006712863768673E-6"/>
    <n v="1323483.353894301"/>
    <n v="0.64570796276273801"/>
  </r>
  <r>
    <x v="0"/>
    <n v="100"/>
    <n v="25"/>
    <x v="0"/>
    <n v="3.151616339973335"/>
    <n v="0.57728734480817501"/>
    <n v="3.6504403332591719"/>
    <n v="2.9833730950710113"/>
    <m/>
    <n v="0.54170153488062667"/>
    <n v="0.27"/>
    <n v="20.019527833860813"/>
    <n v="8.72220092346633"/>
    <n v="1.0064024300087904"/>
    <m/>
    <m/>
    <m/>
    <m/>
    <m/>
    <m/>
    <m/>
    <m/>
    <m/>
    <m/>
    <m/>
    <n v="0.33733710063669914"/>
    <m/>
    <m/>
    <m/>
    <m/>
    <m/>
    <m/>
    <m/>
    <m/>
    <m/>
    <m/>
    <m/>
    <n v="878.81889590713513"/>
    <n v="0.15814183827318268"/>
    <n v="0.19054555601112189"/>
    <n v="383.46003755768839"/>
    <n v="375.61768090273989"/>
    <x v="5"/>
    <n v="14.644015877877388"/>
    <n v="3.9965468373646496"/>
    <n v="0.3"/>
    <n v="1"/>
    <n v="0.4"/>
    <x v="0"/>
    <n v="0.41916290900943654"/>
    <n v="0.27"/>
    <n v="375.61768090273989"/>
    <n v="0.41916290900943654"/>
    <n v="7.5643332240809888"/>
    <n v="70.227082323401916"/>
    <n v="24890.278112618482"/>
    <n v="13.84504602929791"/>
    <n v="17371.267931640934"/>
    <x v="0"/>
    <n v="1.9438760034604768E-6"/>
    <n v="1448902.7811261849"/>
    <n v="1.1989257083307421E-2"/>
  </r>
  <r>
    <x v="0"/>
    <n v="200"/>
    <n v="25"/>
    <x v="0"/>
    <n v="5.9195743757184465"/>
    <n v="0.97867497687807026"/>
    <n v="6.7169016809025388"/>
    <n v="5.5129352054309253"/>
    <m/>
    <n v="0.55486629907072071"/>
    <n v="0.27"/>
    <n v="37.073307157031728"/>
    <n v="16.152270753063615"/>
    <n v="1.5486892820948457"/>
    <m/>
    <m/>
    <m/>
    <m/>
    <m/>
    <m/>
    <m/>
    <m/>
    <m/>
    <m/>
    <m/>
    <n v="0.28091918812490208"/>
    <m/>
    <m/>
    <m/>
    <m/>
    <m/>
    <m/>
    <m/>
    <m/>
    <m/>
    <m/>
    <m/>
    <n v="1132.0329318986362"/>
    <n v="0.14570333516428177"/>
    <n v="0.21461984265977851"/>
    <n v="372.41832673830481"/>
    <n v="357.68829085121325"/>
    <x v="5"/>
    <n v="14.644015877877388"/>
    <n v="3.9965468373646496"/>
    <n v="0.3"/>
    <n v="1"/>
    <n v="0.4"/>
    <x v="0"/>
    <n v="0.44968778613846766"/>
    <n v="0.27"/>
    <n v="357.68829085121325"/>
    <n v="0.44968778613846766"/>
    <n v="13.214923309775005"/>
    <n v="102.19978487259489"/>
    <n v="39514.154053544909"/>
    <n v="20.99614182542814"/>
    <n v="48797.081805663474"/>
    <x v="0"/>
    <n v="3.3869966944456689E-6"/>
    <n v="1595141.5405354491"/>
    <n v="3.05910670405358E-2"/>
  </r>
  <r>
    <x v="0"/>
    <n v="300"/>
    <n v="25"/>
    <x v="0"/>
    <n v="8.3301252687287821"/>
    <n v="1.3164437052845455"/>
    <n v="9.3676013677611287"/>
    <n v="7.7396001746839609"/>
    <m/>
    <n v="0.56603086760468724"/>
    <n v="0.27"/>
    <n v="52.131455893444503"/>
    <n v="22.712874974322297"/>
    <n v="1.9411742225422257"/>
    <m/>
    <m/>
    <m/>
    <m/>
    <m/>
    <m/>
    <m/>
    <m/>
    <m/>
    <m/>
    <m/>
    <n v="0.25081065930146601"/>
    <m/>
    <m/>
    <m/>
    <m/>
    <m/>
    <m/>
    <m/>
    <m/>
    <m/>
    <m/>
    <m/>
    <n v="1313.3221667758862"/>
    <n v="0.14053156764496028"/>
    <n v="0.22799393516895275"/>
    <n v="363.46339097767748"/>
    <n v="342.73505550477358"/>
    <x v="5"/>
    <n v="14.644015877877388"/>
    <n v="3.9965468373646496"/>
    <n v="0.3"/>
    <n v="1"/>
    <n v="0.4"/>
    <x v="0"/>
    <n v="0.46975414766381757"/>
    <n v="0.27"/>
    <n v="342.73505550477358"/>
    <n v="0.46975414766381757"/>
    <n v="17.961354696825225"/>
    <n v="125.1845706724128"/>
    <n v="51090.224662106608"/>
    <n v="26.51712788361684"/>
    <n v="84977.09913270743"/>
    <x v="0"/>
    <n v="4.4163843404824117E-6"/>
    <n v="1710902.246621066"/>
    <n v="4.9668003710049674E-2"/>
  </r>
  <r>
    <x v="0"/>
    <n v="400"/>
    <n v="25"/>
    <x v="0"/>
    <n v="10.452101121941343"/>
    <n v="1.6132716857527782"/>
    <n v="11.695085949780868"/>
    <n v="9.7292602405789506"/>
    <m/>
    <n v="0.57598904299670761"/>
    <n v="0.27"/>
    <n v="65.620151384719065"/>
    <n v="28.58969251201453"/>
    <n v="2.2475608776162588"/>
    <m/>
    <m/>
    <m/>
    <m/>
    <m/>
    <m/>
    <m/>
    <m/>
    <m/>
    <m/>
    <m/>
    <n v="0.23101045938128953"/>
    <m/>
    <m/>
    <m/>
    <m/>
    <m/>
    <m/>
    <m/>
    <m/>
    <m/>
    <m/>
    <m/>
    <n v="1453.6522980029806"/>
    <n v="0.13794440611041481"/>
    <n v="0.23690390216980453"/>
    <n v="355.88041806736624"/>
    <n v="329.87185919485046"/>
    <x v="5"/>
    <n v="14.644015877877388"/>
    <n v="3.9965468373646496"/>
    <n v="0.3"/>
    <n v="1"/>
    <n v="0.4"/>
    <x v="0"/>
    <n v="0.48514859556097822"/>
    <n v="0.27"/>
    <n v="329.87185919485046"/>
    <n v="0.48514859556097822"/>
    <n v="22.07668795208988"/>
    <n v="143.46423423237152"/>
    <n v="60825.111283238126"/>
    <n v="31.075359752882463"/>
    <n v="123033.24146714626"/>
    <x v="0"/>
    <n v="5.1822657373656413E-6"/>
    <n v="1808251.1128323814"/>
    <n v="6.8039909166394089E-2"/>
  </r>
  <r>
    <x v="0"/>
    <n v="600"/>
    <n v="25"/>
    <x v="0"/>
    <n v="14.002469801441038"/>
    <n v="2.1172968476732352"/>
    <n v="15.585010960557385"/>
    <n v="13.136513443690573"/>
    <m/>
    <n v="0.59461014313583316"/>
    <n v="0.27"/>
    <n v="88.791146054785813"/>
    <n v="38.684939152500043"/>
    <n v="2.6906164369983649"/>
    <m/>
    <m/>
    <m/>
    <m/>
    <m/>
    <m/>
    <m/>
    <m/>
    <m/>
    <m/>
    <m/>
    <n v="0.20481967673779222"/>
    <m/>
    <m/>
    <m/>
    <m/>
    <m/>
    <m/>
    <m/>
    <m/>
    <m/>
    <m/>
    <m/>
    <n v="1654.1102245408335"/>
    <n v="0.13585469096118696"/>
    <n v="0.24846997940122284"/>
    <n v="343.6452249274339"/>
    <n v="308.80200604165111"/>
    <x v="5"/>
    <n v="14.644015877877388"/>
    <n v="3.9965468373646496"/>
    <n v="0.3"/>
    <n v="1"/>
    <n v="0.4"/>
    <x v="0"/>
    <n v="0.50985003901008408"/>
    <n v="0.27"/>
    <n v="308.80200604165111"/>
    <n v="0.50985003901008408"/>
    <n v="28.888894832393223"/>
    <n v="171.3477701284061"/>
    <n v="76400.495168059875"/>
    <n v="38.209323983486414"/>
    <n v="199279.16513918759"/>
    <x v="0"/>
    <n v="6.2297947502880656E-6"/>
    <n v="1964004.9516805988"/>
    <n v="0.10146571421251481"/>
  </r>
  <r>
    <x v="0"/>
    <n v="800"/>
    <n v="25"/>
    <x v="0"/>
    <n v="16.804757303293147"/>
    <n v="2.5231119630193577"/>
    <n v="18.653151403298448"/>
    <n v="15.9113382756516"/>
    <m/>
    <n v="0.61116246492966353"/>
    <n v="0.27"/>
    <n v="107.73385155096383"/>
    <n v="46.937985115565155"/>
    <n v="2.9929262772051466"/>
    <m/>
    <m/>
    <m/>
    <m/>
    <m/>
    <m/>
    <m/>
    <m/>
    <m/>
    <m/>
    <m/>
    <n v="0.18810022295768081"/>
    <m/>
    <m/>
    <m/>
    <m/>
    <m/>
    <m/>
    <m/>
    <m/>
    <m/>
    <m/>
    <m/>
    <n v="1789.0197237776879"/>
    <n v="0.13526464823382039"/>
    <n v="0.25606398430042199"/>
    <n v="334.37281955443882"/>
    <n v="292.55658517511603"/>
    <x v="5"/>
    <n v="14.644015877877388"/>
    <n v="3.9965468373646496"/>
    <n v="0.3"/>
    <n v="1"/>
    <n v="0.4"/>
    <x v="0"/>
    <n v="0.52971294782064238"/>
    <n v="0.27"/>
    <n v="292.55658517511603"/>
    <n v="0.52971294782064238"/>
    <n v="34.204379744171469"/>
    <n v="191.34533841162735"/>
    <n v="87991.351748560817"/>
    <n v="43.389908986621265"/>
    <n v="270398.10517685657"/>
    <x v="0"/>
    <n v="6.8963234662404334E-6"/>
    <n v="2079913.5174856081"/>
    <n v="0.13000449437135195"/>
  </r>
  <r>
    <x v="0"/>
    <n v="1000"/>
    <n v="25"/>
    <x v="0"/>
    <n v="19.015469372604134"/>
    <n v="2.84895071543583"/>
    <n v="21.072634583683865"/>
    <n v="18.168888967400825"/>
    <m/>
    <n v="0.62720084431983092"/>
    <n v="0.27"/>
    <n v="123.20032510562568"/>
    <n v="53.676490191247709"/>
    <n v="3.1936319508557709"/>
    <m/>
    <m/>
    <m/>
    <m/>
    <m/>
    <m/>
    <m/>
    <m/>
    <m/>
    <m/>
    <m/>
    <n v="0.17577475191718561"/>
    <m/>
    <m/>
    <m/>
    <m/>
    <m/>
    <m/>
    <m/>
    <m/>
    <m/>
    <m/>
    <m/>
    <n v="1876.7806281083792"/>
    <n v="0.13519670281957613"/>
    <n v="0.26149670164606115"/>
    <n v="327.2821827085919"/>
    <n v="279.96465268049479"/>
    <x v="5"/>
    <n v="14.644015877877388"/>
    <n v="3.9965468373646496"/>
    <n v="0.3"/>
    <n v="1"/>
    <n v="0.4"/>
    <x v="0"/>
    <n v="0.54767405029479199"/>
    <n v="0.27"/>
    <n v="279.96465268049479"/>
    <n v="0.54767405029479199"/>
    <n v="38.34262116409424"/>
    <n v="205.95201119578223"/>
    <n v="96589.561045136419"/>
    <n v="47.12393014894306"/>
    <n v="333235.45763513696"/>
    <x v="0"/>
    <n v="7.3466067919418209E-6"/>
    <n v="2165895.610451364"/>
    <n v="0.15385573340983502"/>
  </r>
  <r>
    <x v="0"/>
    <n v="1300"/>
    <n v="25"/>
    <x v="0"/>
    <n v="21.526399221349156"/>
    <n v="3.2346273445159865"/>
    <n v="23.824192427449695"/>
    <n v="20.756560012976305"/>
    <m/>
    <n v="0.64249608605568398"/>
    <n v="0.27"/>
    <n v="141.00768295814666"/>
    <n v="61.434882616619916"/>
    <n v="3.4116710261091434"/>
    <m/>
    <m/>
    <m/>
    <m/>
    <m/>
    <m/>
    <m/>
    <m/>
    <m/>
    <m/>
    <m/>
    <n v="0.16436591727994818"/>
    <m/>
    <m/>
    <m/>
    <m/>
    <m/>
    <m/>
    <m/>
    <m/>
    <m/>
    <m/>
    <m/>
    <n v="1971.3144956307674"/>
    <n v="0.13577070259007487"/>
    <n v="0.26590356697174078"/>
    <n v="319.04433826704962"/>
    <n v="265.47898257619647"/>
    <x v="5"/>
    <n v="14.644015877877388"/>
    <n v="3.9965468373646496"/>
    <n v="0.3"/>
    <n v="1"/>
    <n v="0.4"/>
    <x v="0"/>
    <n v="0.56501411263698165"/>
    <n v="0.27"/>
    <n v="265.47898257619647"/>
    <n v="0.56501411263698165"/>
    <n v="43.08568785188119"/>
    <n v="220.55361951294816"/>
    <n v="105895.8895584494"/>
    <n v="51.63819402407082"/>
    <n v="412333.79465933639"/>
    <x v="0"/>
    <n v="7.7863868387608766E-6"/>
    <n v="2258958.8955844939"/>
    <n v="0.1825326682416889"/>
  </r>
  <r>
    <x v="0"/>
    <n v="1600"/>
    <n v="25"/>
    <x v="0"/>
    <n v="23.400021118605618"/>
    <n v="3.5585055084912893"/>
    <n v="25.892957574944568"/>
    <n v="22.590836750778724"/>
    <m/>
    <n v="0.64269701762579889"/>
    <n v="0.27"/>
    <n v="153.70643625945661"/>
    <n v="66.967534469887738"/>
    <n v="3.6026610076202914"/>
    <m/>
    <m/>
    <m/>
    <m/>
    <m/>
    <m/>
    <m/>
    <m/>
    <m/>
    <m/>
    <m/>
    <n v="0.15947443856837684"/>
    <m/>
    <m/>
    <m/>
    <m/>
    <m/>
    <m/>
    <m/>
    <m/>
    <m/>
    <m/>
    <m/>
    <n v="2055.187292229748"/>
    <n v="0.13743140381671551"/>
    <n v="0.26616462224615983"/>
    <n v="312.08440505303395"/>
    <n v="253.85678841960109"/>
    <x v="5"/>
    <n v="14.644015877877388"/>
    <n v="3.9965468373646496"/>
    <n v="0.3"/>
    <n v="1"/>
    <n v="0.4"/>
    <x v="0"/>
    <n v="0.56679720201337647"/>
    <n v="0.27"/>
    <n v="253.85678841960109"/>
    <n v="0.56679720201337647"/>
    <n v="46.921595515087503"/>
    <n v="229.11163965995053"/>
    <n v="112766.93305704459"/>
    <n v="56.361841177371282"/>
    <n v="477648.74043952621"/>
    <x v="0"/>
    <n v="8.0618504520319629E-6"/>
    <n v="2327669.3305704459"/>
    <n v="0.20520472309632917"/>
  </r>
  <r>
    <x v="0"/>
    <n v="1900"/>
    <n v="25"/>
    <x v="0"/>
    <n v="24.720828619570767"/>
    <n v="3.8001292639022366"/>
    <n v="27.355272826365692"/>
    <n v="23.88765801307667"/>
    <m/>
    <n v="0.6436981415183729"/>
    <n v="0.27"/>
    <n v="162.73562099978926"/>
    <n v="70.901411638912336"/>
    <n v="3.7178775034372329"/>
    <m/>
    <m/>
    <m/>
    <m/>
    <m/>
    <m/>
    <m/>
    <m/>
    <m/>
    <m/>
    <m/>
    <n v="0.15564010090072367"/>
    <m/>
    <m/>
    <m/>
    <m/>
    <m/>
    <m/>
    <m/>
    <m/>
    <m/>
    <m/>
    <m/>
    <n v="2104.5662817812622"/>
    <n v="0.13891761518969672"/>
    <n v="0.26622130735209509"/>
    <n v="307.14181045292571"/>
    <n v="245.62753006264685"/>
    <x v="5"/>
    <n v="14.644015877877388"/>
    <n v="3.9965468373646496"/>
    <n v="0.3"/>
    <n v="1"/>
    <n v="0.4"/>
    <x v="0"/>
    <n v="0.56867354846518214"/>
    <n v="0.27"/>
    <n v="245.62753006264685"/>
    <n v="0.56867354846518214"/>
    <n v="49.68388475542109"/>
    <n v="233.99714895775253"/>
    <n v="117188.20477485801"/>
    <n v="59.754680979769788"/>
    <n v="525952.96303935768"/>
    <x v="0"/>
    <n v="8.2460929667734044E-6"/>
    <n v="2371882.0477485801"/>
    <n v="0.2217449908770121"/>
  </r>
  <r>
    <x v="0"/>
    <n v="1000"/>
    <n v="25"/>
    <x v="1"/>
    <n v="17.583302605048338"/>
    <n v="4.6045614477133086"/>
    <n v="20.56428135760985"/>
    <n v="18.562560310699311"/>
    <m/>
    <n v="0.76525220938176619"/>
    <n v="0.27"/>
    <n v="127.47355234787962"/>
    <n v="55.538269695134268"/>
    <n v="1.8568043755148267"/>
    <m/>
    <m/>
    <m/>
    <m/>
    <m/>
    <m/>
    <m/>
    <m/>
    <m/>
    <m/>
    <m/>
    <n v="0.10002954034549746"/>
    <m/>
    <m/>
    <m/>
    <m/>
    <m/>
    <m/>
    <m/>
    <m/>
    <m/>
    <m/>
    <m/>
    <n v="1011.8114183523295"/>
    <n v="0.2239106423239722"/>
    <n v="0.24140537746047805"/>
    <n v="127.16275507190386"/>
    <n v="83.409230594915556"/>
    <x v="5"/>
    <n v="14.644015877877388"/>
    <n v="3.9965468373646496"/>
    <n v="0.3"/>
    <n v="1"/>
    <n v="0.4"/>
    <x v="0"/>
    <n v="0.66176098177908904"/>
    <n v="0.27"/>
    <n v="83.409230594915556"/>
    <n v="0.66176098177908904"/>
    <n v="46.513330051840867"/>
    <n v="217.74008081579368"/>
    <n v="106051.24424869005"/>
    <n v="53.739130666149649"/>
    <n v="322741.74016148935"/>
    <x v="1"/>
    <n v="6.5483447467413859E-6"/>
    <n v="2260512.4424869008"/>
    <n v="0.14277370657001351"/>
  </r>
  <r>
    <x v="0"/>
    <n v="1000"/>
    <n v="25"/>
    <x v="2"/>
    <n v="18.36641534247617"/>
    <n v="3.4341367860584091"/>
    <n v="20.730359117582033"/>
    <n v="18.335513997221096"/>
    <m/>
    <n v="0.66951275712144775"/>
    <n v="0.27"/>
    <n v="124.64260450219047"/>
    <n v="54.304869181452275"/>
    <n v="2.6549395282762163"/>
    <m/>
    <m/>
    <m/>
    <m/>
    <m/>
    <m/>
    <m/>
    <m/>
    <m/>
    <m/>
    <m/>
    <n v="0.14479766035894032"/>
    <m/>
    <m/>
    <m/>
    <m/>
    <m/>
    <m/>
    <m/>
    <m/>
    <m/>
    <m/>
    <m/>
    <n v="1510.4292453726366"/>
    <n v="0.16565737074693587"/>
    <n v="0.25745510044211611"/>
    <n v="228.66167610998443"/>
    <n v="182.95948123452831"/>
    <x v="5"/>
    <n v="14.644015877877388"/>
    <n v="3.9965468373646496"/>
    <n v="0.3"/>
    <n v="1"/>
    <n v="0.4"/>
    <x v="0"/>
    <n v="0.57690033346360048"/>
    <n v="0.27"/>
    <n v="182.95948123452831"/>
    <n v="0.57690033346360048"/>
    <n v="41.09877908977893"/>
    <n v="209.85844960729176"/>
    <n v="99438.838251092646"/>
    <n v="48.891703223370783"/>
    <n v="325952.83152300771"/>
    <x v="1"/>
    <n v="7.0269198788150794E-6"/>
    <n v="2194388.3825109266"/>
    <n v="0.14853926229323022"/>
  </r>
  <r>
    <x v="0"/>
    <n v="1000"/>
    <n v="25"/>
    <x v="0"/>
    <n v="19.015186943840742"/>
    <n v="2.8487589907808273"/>
    <n v="21.0722376025263"/>
    <n v="18.168380208167868"/>
    <m/>
    <n v="0.62710067295603011"/>
    <n v="0.27"/>
    <n v="123.19691345044349"/>
    <n v="53.675003785462934"/>
    <n v="3.1945682965507487"/>
    <m/>
    <m/>
    <m/>
    <m/>
    <m/>
    <m/>
    <m/>
    <m/>
    <m/>
    <m/>
    <m/>
    <n v="0.17583121114531622"/>
    <m/>
    <m/>
    <m/>
    <m/>
    <m/>
    <m/>
    <m/>
    <m/>
    <m/>
    <m/>
    <m/>
    <n v="1877.2522723799104"/>
    <n v="0.13519015135057591"/>
    <n v="0.2615018376858097"/>
    <n v="327.28469095239325"/>
    <n v="279.96812410453634"/>
    <x v="5"/>
    <n v="14.644015877877388"/>
    <n v="3.9965468373646496"/>
    <n v="0.3"/>
    <n v="1"/>
    <n v="0.4"/>
    <x v="0"/>
    <n v="0.54758818016480504"/>
    <n v="0.27"/>
    <n v="279.96812410453634"/>
    <n v="0.54758818016480504"/>
    <n v="38.341979242914817"/>
    <n v="205.942854727541"/>
    <n v="96586.819277714472"/>
    <n v="47.12561059051594"/>
    <n v="333223.14851293771"/>
    <x v="1"/>
    <n v="7.3466160425061882E-6"/>
    <n v="2165868.1927771447"/>
    <n v="0.1538519978381826"/>
  </r>
  <r>
    <x v="0"/>
    <n v="1000"/>
    <n v="25"/>
    <x v="3"/>
    <n v="19.589964932229314"/>
    <n v="2.4780673391772057"/>
    <n v="21.454191200633382"/>
    <n v="18.021128882294224"/>
    <m/>
    <n v="0.59400855198376157"/>
    <n v="0.27"/>
    <n v="122.06163338568756"/>
    <n v="53.180379690859723"/>
    <n v="3.6498910872644945"/>
    <m/>
    <m/>
    <m/>
    <m/>
    <m/>
    <m/>
    <m/>
    <m/>
    <m/>
    <m/>
    <m/>
    <n v="0.20253398724929578"/>
    <m/>
    <m/>
    <m/>
    <m/>
    <m/>
    <m/>
    <m/>
    <m/>
    <m/>
    <m/>
    <m/>
    <n v="2200.7604212408701"/>
    <n v="0.11550504589070908"/>
    <n v="0.25968197022498446"/>
    <n v="424.56170555369374"/>
    <n v="375.81487760862376"/>
    <x v="5"/>
    <n v="14.644015877877388"/>
    <n v="3.9965468373646496"/>
    <n v="0.3"/>
    <n v="1"/>
    <n v="0.4"/>
    <x v="0"/>
    <n v="0.52429236190141415"/>
    <n v="0.27"/>
    <n v="375.81487760862376"/>
    <n v="0.52429236190141415"/>
    <n v="36.709197597797939"/>
    <n v="202.91745316192478"/>
    <n v="95333.845979005739"/>
    <n v="47.159586364260015"/>
    <n v="342298.69665071147"/>
    <x v="1"/>
    <n v="7.5856772929963956E-6"/>
    <n v="2153338.4597900575"/>
    <n v="0.15896186458494979"/>
  </r>
  <r>
    <x v="0"/>
    <n v="1000"/>
    <n v="25"/>
    <x v="4"/>
    <n v="20.009522199245847"/>
    <n v="2.1916766126862735"/>
    <n v="21.724136302952111"/>
    <n v="17.917586270403586"/>
    <m/>
    <n v="0.57550832100400007"/>
    <n v="0.27"/>
    <n v="121.281165357327"/>
    <n v="52.840341753192263"/>
    <n v="3.9919643202995001"/>
    <m/>
    <m/>
    <m/>
    <m/>
    <m/>
    <m/>
    <m/>
    <m/>
    <m/>
    <m/>
    <m/>
    <n v="0.22279587551887273"/>
    <m/>
    <m/>
    <m/>
    <m/>
    <m/>
    <m/>
    <m/>
    <m/>
    <m/>
    <m/>
    <m/>
    <n v="2468.742263473508"/>
    <n v="0.10088670877969241"/>
    <n v="0.2583577121350551"/>
    <n v="522.55109385398964"/>
    <n v="472.76010332375853"/>
    <x v="5"/>
    <n v="14.644015877877388"/>
    <n v="3.9965468373646496"/>
    <n v="0.3"/>
    <n v="1"/>
    <n v="0.4"/>
    <x v="0"/>
    <n v="0.51275087499729732"/>
    <n v="0.27"/>
    <n v="472.76010332375853"/>
    <n v="0.51275087499729732"/>
    <n v="35.325536818275062"/>
    <n v="200.86211492771582"/>
    <n v="94128.240447584714"/>
    <n v="46.648204017535214"/>
    <n v="348090.03761923779"/>
    <x v="1"/>
    <n v="7.7727243083749533E-6"/>
    <n v="2141282.4044758473"/>
    <n v="0.16256148039681148"/>
  </r>
  <r>
    <x v="0"/>
    <n v="1000"/>
    <n v="25"/>
    <x v="5"/>
    <n v="20.329298850941836"/>
    <n v="1.9659193838128046"/>
    <n v="21.925729577824413"/>
    <n v="17.839285738162296"/>
    <m/>
    <n v="0.56291130290891955"/>
    <n v="0.27"/>
    <n v="120.6999573167078"/>
    <n v="52.587118333005471"/>
    <n v="4.2695655783745785"/>
    <m/>
    <m/>
    <m/>
    <m/>
    <m/>
    <m/>
    <m/>
    <m/>
    <m/>
    <m/>
    <m/>
    <n v="0.23933500707604033"/>
    <m/>
    <m/>
    <m/>
    <m/>
    <m/>
    <m/>
    <m/>
    <m/>
    <m/>
    <m/>
    <m/>
    <n v="2705.1993329273846"/>
    <n v="8.9662666723807766E-2"/>
    <n v="0.25734299949638589"/>
    <n v="621.00310134440883"/>
    <n v="570.41654374009431"/>
    <x v="5"/>
    <n v="14.644015877877388"/>
    <n v="3.9965468373646496"/>
    <n v="0.3"/>
    <n v="1"/>
    <n v="0.4"/>
    <x v="0"/>
    <n v="0.50543880313929723"/>
    <n v="0.27"/>
    <n v="570.41654374009431"/>
    <n v="0.50543880313929723"/>
    <n v="34.187987485361809"/>
    <n v="199.3442337246268"/>
    <n v="93089.011044005965"/>
    <n v="46.044180265843146"/>
    <n v="352097.92814606515"/>
    <x v="1"/>
    <n v="7.9212580049141582E-6"/>
    <n v="2130890.1104400596"/>
    <n v="0.16523514113703022"/>
  </r>
  <r>
    <x v="0"/>
    <n v="1000"/>
    <n v="25"/>
    <x v="6"/>
    <n v="20.581585942582549"/>
    <n v="1.7840219855881367"/>
    <n v="22.082691017459311"/>
    <n v="17.77781364854534"/>
    <m/>
    <n v="0.55327851059641464"/>
    <n v="0.27"/>
    <n v="120.24834585786135"/>
    <n v="52.390358153840012"/>
    <n v="4.5047387015731584"/>
    <m/>
    <m/>
    <m/>
    <m/>
    <m/>
    <m/>
    <m/>
    <m/>
    <m/>
    <m/>
    <m/>
    <n v="0.25339104068861451"/>
    <m/>
    <m/>
    <m/>
    <m/>
    <m/>
    <m/>
    <m/>
    <m/>
    <m/>
    <m/>
    <m/>
    <n v="2920.9260328788796"/>
    <n v="8.0788251041398418E-2"/>
    <n v="0.25653555534970851"/>
    <n v="719.77101998775265"/>
    <n v="668.55668209230078"/>
    <x v="5"/>
    <n v="14.644015877877388"/>
    <n v="3.9965468373646496"/>
    <n v="0.3"/>
    <n v="1"/>
    <n v="0.4"/>
    <x v="0"/>
    <n v="0.50001935807166731"/>
    <n v="0.27"/>
    <n v="668.55668209230078"/>
    <n v="0.50001935807166731"/>
    <n v="33.249600652072218"/>
    <n v="198.1721857894978"/>
    <n v="92213.275117789439"/>
    <n v="45.46544704357931"/>
    <n v="355040.72812964232"/>
    <x v="1"/>
    <n v="8.0416110296653074E-6"/>
    <n v="2122132.7511778944"/>
    <n v="0.16730373155617911"/>
  </r>
  <r>
    <x v="0"/>
    <n v="1000"/>
    <n v="25"/>
    <x v="7"/>
    <n v="20.786669183506607"/>
    <n v="1.6345602753540418"/>
    <n v="22.209420717081777"/>
    <n v="17.728527012866973"/>
    <m/>
    <n v="0.54537195517536186"/>
    <n v="0.27"/>
    <n v="119.88871713326962"/>
    <n v="52.233673439806267"/>
    <n v="4.709244003807779"/>
    <m/>
    <m/>
    <m/>
    <m/>
    <m/>
    <m/>
    <m/>
    <m/>
    <m/>
    <m/>
    <m/>
    <n v="0.26563086715494827"/>
    <m/>
    <m/>
    <m/>
    <m/>
    <m/>
    <m/>
    <m/>
    <m/>
    <m/>
    <m/>
    <m/>
    <n v="3121.6566391320216"/>
    <n v="7.3597609598924113E-2"/>
    <n v="0.25586517372598211"/>
    <n v="818.75928685094118"/>
    <n v="767.03463722813217"/>
    <x v="5"/>
    <n v="14.644015877877388"/>
    <n v="3.9965468373646496"/>
    <n v="0.3"/>
    <n v="1"/>
    <n v="0.4"/>
    <x v="0"/>
    <n v="0.49558704700181744"/>
    <n v="0.27"/>
    <n v="767.03463722813217"/>
    <n v="0.49558704700181744"/>
    <n v="32.467599469501039"/>
    <n v="197.24341906626347"/>
    <n v="91479.363889813991"/>
    <n v="44.945139292995876"/>
    <n v="357321.59892439732"/>
    <x v="1"/>
    <n v="8.141002388776494E-6"/>
    <n v="2114793.6388981398"/>
    <n v="0.16896286822130352"/>
  </r>
  <r>
    <x v="0"/>
    <n v="1000"/>
    <n v="25"/>
    <x v="8"/>
    <n v="20.956996340477854"/>
    <n v="1.5095324140918251"/>
    <n v="22.314196122930298"/>
    <n v="17.688077340628833"/>
    <m/>
    <n v="0.5385579600955871"/>
    <n v="0.27"/>
    <n v="119.59508596763359"/>
    <n v="52.105742848968987"/>
    <n v="4.8907630901233823"/>
    <m/>
    <m/>
    <m/>
    <m/>
    <m/>
    <m/>
    <m/>
    <m/>
    <m/>
    <m/>
    <m/>
    <n v="0.2765005486995179"/>
    <m/>
    <m/>
    <m/>
    <m/>
    <m/>
    <m/>
    <m/>
    <m/>
    <m/>
    <m/>
    <m/>
    <n v="3311.1442706989478"/>
    <n v="6.7648971344327929E-2"/>
    <n v="0.25529689546517498"/>
    <n v="917.91127619357758"/>
    <n v="865.76272563725388"/>
    <x v="5"/>
    <n v="14.644015877877388"/>
    <n v="3.9965468373646496"/>
    <n v="0.3"/>
    <n v="1"/>
    <n v="0.4"/>
    <x v="0"/>
    <n v="0.49171380246397589"/>
    <n v="0.27"/>
    <n v="865.76272563725388"/>
    <n v="0.49171380246397589"/>
    <n v="31.807222528648602"/>
    <n v="196.48806801698072"/>
    <n v="90858.938729639311"/>
    <n v="44.485362145632358"/>
    <n v="359148.58533139445"/>
    <x v="1"/>
    <n v="8.2244737074680079E-6"/>
    <n v="2108589.387296393"/>
    <n v="0.17032646920028857"/>
  </r>
  <r>
    <x v="0"/>
    <n v="1000"/>
    <n v="25"/>
    <x v="9"/>
    <n v="21.100003043808336"/>
    <n v="1.4031854435061955"/>
    <n v="22.401414528340105"/>
    <n v="17.653764541859484"/>
    <m/>
    <n v="0.53243689041762332"/>
    <n v="0.27"/>
    <n v="119.34726500732904"/>
    <n v="51.997771061284439"/>
    <n v="5.0554574730348438"/>
    <m/>
    <m/>
    <m/>
    <m/>
    <m/>
    <m/>
    <m/>
    <m/>
    <m/>
    <m/>
    <m/>
    <n v="0.28636710663312998"/>
    <m/>
    <m/>
    <m/>
    <m/>
    <m/>
    <m/>
    <m/>
    <m/>
    <m/>
    <m/>
    <m/>
    <n v="3492.4220356666328"/>
    <n v="6.2638251782315843E-2"/>
    <n v="0.25482594657599078"/>
    <n v="1017.198372742957"/>
    <n v="964.69329914921082"/>
    <x v="5"/>
    <n v="14.644015877877388"/>
    <n v="3.9965468373646496"/>
    <n v="0.3"/>
    <n v="1"/>
    <n v="0.4"/>
    <x v="0"/>
    <n v="0.4881397203801075"/>
    <n v="0.27"/>
    <n v="964.69329914921082"/>
    <n v="0.4881397203801075"/>
    <n v="31.240816941883196"/>
    <n v="195.85262514147291"/>
    <n v="90321.861476150792"/>
    <n v="44.074879969995351"/>
    <n v="360610.17159081571"/>
    <x v="1"/>
    <n v="8.2956058688051831E-6"/>
    <n v="2103218.6147615081"/>
    <n v="0.17145634270249488"/>
  </r>
  <r>
    <x v="0"/>
    <n v="1000"/>
    <n v="25"/>
    <x v="0"/>
    <n v="19.01545149877618"/>
    <n v="2.8489385488249557"/>
    <n v="21.072609371972717"/>
    <n v="18.168856409791406"/>
    <m/>
    <n v="0.62719521642351039"/>
    <n v="0.27"/>
    <n v="123.20010630049639"/>
    <n v="53.676394861212124"/>
    <n v="3.1936841670098204"/>
    <m/>
    <m/>
    <m/>
    <m/>
    <m/>
    <m/>
    <m/>
    <m/>
    <m/>
    <m/>
    <m/>
    <n v="0.17577794083334311"/>
    <m/>
    <m/>
    <m/>
    <m/>
    <m/>
    <m/>
    <m/>
    <m/>
    <m/>
    <m/>
    <m/>
    <n v="1876.8071829997928"/>
    <n v="0.13519628720561488"/>
    <n v="0.26149697402523731"/>
    <n v="327.28232680451214"/>
    <n v="279.96509949488262"/>
    <x v="5"/>
    <n v="14.644015877877388"/>
    <n v="3.9965468373646496"/>
    <n v="0.3"/>
    <n v="1"/>
    <n v="0.4"/>
    <x v="0"/>
    <n v="0.54766923372536647"/>
    <n v="0.27"/>
    <n v="279.96509949488262"/>
    <n v="0.54766923372536647"/>
    <n v="38.342573895808528"/>
    <n v="205.95142393762399"/>
    <n v="96589.37026492384"/>
    <n v="47.124015576000815"/>
    <n v="333234.63845762331"/>
    <x v="2"/>
    <n v="7.3466080275318059E-6"/>
    <n v="2165893.7026492385"/>
    <n v="0.15385549071499835"/>
  </r>
  <r>
    <x v="0"/>
    <n v="1000"/>
    <n v="25"/>
    <x v="0"/>
    <n v="18.354263314039624"/>
    <n v="2.7349464579434377"/>
    <n v="20.321922269894557"/>
    <n v="17.557622426888816"/>
    <m/>
    <n v="0.6317753366319574"/>
    <n v="0.27"/>
    <n v="119.09831072556044"/>
    <n v="51.889305502837537"/>
    <n v="3.093640452267497"/>
    <m/>
    <m/>
    <m/>
    <m/>
    <m/>
    <m/>
    <m/>
    <m/>
    <m/>
    <m/>
    <m/>
    <n v="0.17619928126086748"/>
    <m/>
    <m/>
    <m/>
    <m/>
    <m/>
    <m/>
    <m/>
    <m/>
    <m/>
    <m/>
    <m/>
    <n v="1831.3710793489815"/>
    <n v="0.13458109039197838"/>
    <n v="0.26304101940945546"/>
    <n v="330.2228095251221"/>
    <n v="284.55085321523188"/>
    <x v="5"/>
    <n v="14.644015877877388"/>
    <n v="3.9965468373646496"/>
    <n v="0.3"/>
    <n v="1"/>
    <n v="0.4"/>
    <x v="1"/>
    <n v="0.55168972028321017"/>
    <n v="0.27"/>
    <n v="284.55085321523188"/>
    <n v="0.55168972028321017"/>
    <n v="36.915203407298314"/>
    <n v="195.21616607566261"/>
    <n v="90573.998925801367"/>
    <n v="44.858124677623387"/>
    <n v="378839.85648738866"/>
    <x v="2"/>
    <n v="7.116114799908444E-6"/>
    <n v="2105739.9892580137"/>
    <n v="0.17990818354590782"/>
  </r>
  <r>
    <x v="0"/>
    <n v="1000"/>
    <n v="25"/>
    <x v="0"/>
    <n v="16.038797374804577"/>
    <n v="2.3656106648558528"/>
    <n v="17.717843874296001"/>
    <n v="15.344958577835797"/>
    <m/>
    <n v="0.63862033749717173"/>
    <n v="0.27"/>
    <n v="104.21949021944431"/>
    <n v="45.406831838347102"/>
    <n v="2.7771494441298472"/>
    <m/>
    <m/>
    <m/>
    <m/>
    <m/>
    <m/>
    <m/>
    <m/>
    <m/>
    <m/>
    <m/>
    <n v="0.18098122781127293"/>
    <m/>
    <m/>
    <m/>
    <m/>
    <m/>
    <m/>
    <m/>
    <m/>
    <m/>
    <m/>
    <m/>
    <n v="1688.3478712454705"/>
    <n v="0.13351571904794468"/>
    <n v="0.26591017954787649"/>
    <n v="339.68340210940727"/>
    <n v="299.77314918054901"/>
    <x v="5"/>
    <n v="14.644015877877388"/>
    <n v="3.9965468373646496"/>
    <n v="0.3"/>
    <n v="1"/>
    <n v="0.4"/>
    <x v="2"/>
    <n v="0.55674519478418449"/>
    <n v="0.27"/>
    <n v="299.77314918054901"/>
    <n v="0.55674519478418449"/>
    <n v="32.187886804669958"/>
    <n v="160.22978836045124"/>
    <n v="71976.752964620566"/>
    <n v="38.266678464947773"/>
    <n v="500602.93187342101"/>
    <x v="2"/>
    <n v="6.3300675762421844E-6"/>
    <n v="1919767.5296462057"/>
    <n v="0.26076226633840255"/>
  </r>
  <r>
    <x v="0"/>
    <n v="1000"/>
    <n v="25"/>
    <x v="0"/>
    <n v="13.915978988597164"/>
    <n v="2.0511072254722666"/>
    <n v="15.353831112336762"/>
    <n v="13.265369546401148"/>
    <m/>
    <n v="0.63527226081165933"/>
    <n v="0.27"/>
    <n v="90.193873081775905"/>
    <n v="39.296085782516478"/>
    <n v="2.5161331264173175"/>
    <m/>
    <m/>
    <m/>
    <m/>
    <m/>
    <m/>
    <m/>
    <m/>
    <m/>
    <m/>
    <m/>
    <n v="0.18967682111049339"/>
    <m/>
    <m/>
    <m/>
    <m/>
    <m/>
    <m/>
    <m/>
    <m/>
    <m/>
    <m/>
    <m/>
    <n v="1571.1743365653494"/>
    <n v="0.13358927882332947"/>
    <n v="0.2662616082464343"/>
    <n v="347.73569092350164"/>
    <n v="313.10777335669002"/>
    <x v="5"/>
    <n v="14.644015877877388"/>
    <n v="3.9965468373646496"/>
    <n v="0.3"/>
    <n v="1"/>
    <n v="0.4"/>
    <x v="3"/>
    <n v="0.55179776475203046"/>
    <n v="0.27"/>
    <n v="313.10777335669002"/>
    <n v="0.55179776475203046"/>
    <n v="28.059783176979785"/>
    <n v="131.68129363518415"/>
    <n v="57598.208819229912"/>
    <n v="33.238110766201054"/>
    <n v="575599.86218247784"/>
    <x v="2"/>
    <n v="5.6034829351380514E-6"/>
    <n v="1775982.088192299"/>
    <n v="0.32410229022543685"/>
  </r>
  <r>
    <x v="0"/>
    <n v="1000"/>
    <n v="25"/>
    <x v="0"/>
    <n v="12.727657072384986"/>
    <n v="1.8795168147377495"/>
    <n v="14.03670072132163"/>
    <n v="12.115103756652447"/>
    <m/>
    <n v="0.633874504688408"/>
    <n v="0.27"/>
    <n v="82.419546342698908"/>
    <n v="35.90893097918417"/>
    <n v="2.3623488293406218"/>
    <m/>
    <m/>
    <m/>
    <m/>
    <m/>
    <m/>
    <m/>
    <m/>
    <m/>
    <m/>
    <m/>
    <n v="0.19499204272546553"/>
    <m/>
    <m/>
    <m/>
    <m/>
    <m/>
    <m/>
    <m/>
    <m/>
    <m/>
    <m/>
    <m/>
    <n v="1501.7392374447893"/>
    <n v="0.13390018438469514"/>
    <n v="0.26646908210667652"/>
    <n v="352.23589554269688"/>
    <n v="320.56482277447788"/>
    <x v="5"/>
    <n v="14.644015877877388"/>
    <n v="3.9965468373646496"/>
    <n v="0.3"/>
    <n v="1"/>
    <n v="0.4"/>
    <x v="4"/>
    <n v="0.54927440697360341"/>
    <n v="0.27"/>
    <n v="320.56482277447788"/>
    <n v="0.54927440697360341"/>
    <n v="25.764996049666188"/>
    <n v="117.28025080317516"/>
    <n v="50461.323492621203"/>
    <n v="30.433845823932479"/>
    <n v="605866.80920928298"/>
    <x v="2"/>
    <n v="5.1862915889168812E-6"/>
    <n v="1704613.2349262121"/>
    <n v="0.35542772800042777"/>
  </r>
  <r>
    <x v="0"/>
    <n v="1000"/>
    <n v="25"/>
    <x v="0"/>
    <n v="11.22814499963696"/>
    <n v="1.6648570005530265"/>
    <n v="12.378832062055642"/>
    <n v="10.674040015958175"/>
    <m/>
    <n v="0.63050300783264179"/>
    <n v="0.27"/>
    <n v="72.664705864176696"/>
    <n v="31.658896745803123"/>
    <n v="2.1741324850676946"/>
    <m/>
    <m/>
    <m/>
    <m/>
    <m/>
    <m/>
    <m/>
    <m/>
    <m/>
    <m/>
    <m/>
    <n v="0.20368412351998566"/>
    <m/>
    <m/>
    <m/>
    <m/>
    <m/>
    <m/>
    <m/>
    <m/>
    <m/>
    <m/>
    <m/>
    <n v="1417.0561249465732"/>
    <n v="0.13449225195131687"/>
    <n v="0.26688962587730852"/>
    <n v="357.92963116221449"/>
    <n v="329.98988241272582"/>
    <x v="5"/>
    <n v="14.644015877877388"/>
    <n v="3.9965468373646496"/>
    <n v="0.3"/>
    <n v="1"/>
    <n v="0.4"/>
    <x v="5"/>
    <n v="0.54449560108074102"/>
    <n v="0.27"/>
    <n v="329.98988241272582"/>
    <n v="0.54449560108074102"/>
    <n v="22.875016231615611"/>
    <n v="100.37677846384319"/>
    <n v="42223.422752048209"/>
    <n v="26.926646393024217"/>
    <n v="632287.85014760331"/>
    <x v="2"/>
    <n v="4.6493991008254518E-6"/>
    <n v="1622234.2275204821"/>
    <n v="0.38976359851192949"/>
  </r>
  <r>
    <x v="0"/>
    <n v="1000"/>
    <n v="25"/>
    <x v="0"/>
    <n v="9.2905896094423088"/>
    <n v="1.399712548091121"/>
    <n v="10.247175472495783"/>
    <n v="8.8240261827746505"/>
    <m/>
    <n v="0.63121312458276546"/>
    <n v="0.27"/>
    <n v="60.119224080683473"/>
    <n v="26.193022939716869"/>
    <n v="1.8802158970425626"/>
    <m/>
    <m/>
    <m/>
    <m/>
    <m/>
    <m/>
    <m/>
    <m/>
    <m/>
    <m/>
    <m/>
    <n v="0.21307913849042348"/>
    <m/>
    <m/>
    <m/>
    <m/>
    <m/>
    <m/>
    <m/>
    <m/>
    <m/>
    <m/>
    <m/>
    <n v="1282.1281816315502"/>
    <n v="0.13659496237261268"/>
    <n v="0.26650056969843622"/>
    <n v="365.13857505087043"/>
    <n v="342.02023311026863"/>
    <x v="5"/>
    <n v="14.644015877877388"/>
    <n v="3.9965468373646496"/>
    <n v="0.3"/>
    <n v="1"/>
    <n v="0.4"/>
    <x v="6"/>
    <n v="0.54214376123648078"/>
    <n v="0.27"/>
    <n v="342.02023311026863"/>
    <n v="0.54214376123648078"/>
    <n v="19.1822269212877"/>
    <n v="80.227872407279222"/>
    <n v="32692.559893624893"/>
    <n v="22.463963195886635"/>
    <n v="654127.60485277674"/>
    <x v="2"/>
    <n v="3.9197207133238588E-6"/>
    <n v="1526925.598936249"/>
    <n v="0.42839520491927213"/>
  </r>
  <r>
    <x v="0"/>
    <n v="1000"/>
    <n v="25"/>
    <x v="0"/>
    <n v="8.0541969645278471"/>
    <n v="1.2300111817419088"/>
    <n v="8.8888241160522732"/>
    <n v="7.6516536056648334"/>
    <m/>
    <n v="0.62970217443240939"/>
    <n v="0.27"/>
    <n v="52.156911871671518"/>
    <n v="22.723965753217882"/>
    <n v="1.698511817406378"/>
    <m/>
    <m/>
    <m/>
    <m/>
    <m/>
    <m/>
    <m/>
    <m/>
    <m/>
    <m/>
    <m/>
    <n v="0.22197970594864619"/>
    <m/>
    <m/>
    <m/>
    <m/>
    <m/>
    <m/>
    <m/>
    <m/>
    <m/>
    <m/>
    <m/>
    <n v="1198.9842514773613"/>
    <n v="0.1383772662933716"/>
    <n v="0.26643109811337345"/>
    <n v="369.77005679306785"/>
    <n v="349.72834277417223"/>
    <x v="5"/>
    <n v="14.644015877877388"/>
    <n v="3.9965468373646496"/>
    <n v="0.3"/>
    <n v="1"/>
    <n v="0.4"/>
    <x v="7"/>
    <n v="0.53868809380875959"/>
    <n v="0.27"/>
    <n v="349.72834277417223"/>
    <n v="0.53868809380875959"/>
    <n v="16.813728716033623"/>
    <n v="68.219019783760857"/>
    <n v="27199.240555040022"/>
    <n v="19.629604477627783"/>
    <n v="659339.60006272909"/>
    <x v="2"/>
    <n v="3.4345839741362912E-6"/>
    <n v="1471992.4055504003"/>
    <n v="0.44792323491383235"/>
  </r>
  <r>
    <x v="0"/>
    <n v="1000"/>
    <n v="25"/>
    <x v="0"/>
    <n v="6.5025355079564058"/>
    <n v="1.0182300268874431"/>
    <n v="7.1866387975666175"/>
    <n v="6.1911894941676158"/>
    <m/>
    <n v="0.62985768791246999"/>
    <n v="0.27"/>
    <n v="42.225928000102748"/>
    <n v="18.39718854776261"/>
    <n v="1.4512606756413087"/>
    <m/>
    <m/>
    <m/>
    <m/>
    <m/>
    <m/>
    <m/>
    <m/>
    <m/>
    <m/>
    <m/>
    <n v="0.23440740701095689"/>
    <m/>
    <m/>
    <m/>
    <m/>
    <m/>
    <m/>
    <m/>
    <m/>
    <m/>
    <m/>
    <m/>
    <n v="1085.0452040923628"/>
    <n v="0.14168376282278358"/>
    <n v="0.26644816857395615"/>
    <n v="375.59549557890267"/>
    <n v="359.41486627170826"/>
    <x v="5"/>
    <n v="14.644015877877388"/>
    <n v="3.9965468373646496"/>
    <n v="0.3"/>
    <n v="1"/>
    <n v="0.4"/>
    <x v="8"/>
    <n v="0.53589456621558451"/>
    <n v="0.27"/>
    <n v="359.41486627170826"/>
    <n v="0.53589456621558451"/>
    <n v="13.826182418314641"/>
    <n v="53.958850018028684"/>
    <n v="20879.136944833812"/>
    <n v="16.036460448567606"/>
    <n v="650570.16890779638"/>
    <x v="2"/>
    <n v="2.8101252161617409E-6"/>
    <n v="1408791.3694483382"/>
    <n v="0.46179312495543612"/>
  </r>
  <r>
    <x v="0"/>
    <n v="1000"/>
    <n v="25"/>
    <x v="0"/>
    <n v="4.427977130571195"/>
    <n v="0.73289697753495164"/>
    <n v="4.9124737377066552"/>
    <n v="4.2427942494887612"/>
    <m/>
    <n v="0.63141697160422994"/>
    <n v="0.27"/>
    <n v="28.958013118336048"/>
    <n v="12.616561732055123"/>
    <n v="1.0886908148743815"/>
    <m/>
    <m/>
    <m/>
    <m/>
    <m/>
    <m/>
    <m/>
    <m/>
    <m/>
    <m/>
    <m/>
    <n v="0.25659759838827068"/>
    <m/>
    <m/>
    <m/>
    <m/>
    <m/>
    <m/>
    <m/>
    <m/>
    <m/>
    <m/>
    <m/>
    <n v="916.67697140314431"/>
    <n v="0.14919102201187504"/>
    <n v="0.26594508210869583"/>
    <n v="383.35003191086867"/>
    <n v="372.33156396595308"/>
    <x v="5"/>
    <n v="14.644015877877388"/>
    <n v="3.9965468373646496"/>
    <n v="0.3"/>
    <n v="1"/>
    <n v="0.4"/>
    <x v="9"/>
    <n v="0.53305999647662827"/>
    <n v="0.27"/>
    <n v="372.33156396595308"/>
    <n v="0.53305999647662827"/>
    <n v="9.7769424202475488"/>
    <n v="35.96750682354611"/>
    <n v="13337.099611936628"/>
    <n v="11.251740523647626"/>
    <n v="620532.51680093107"/>
    <x v="2"/>
    <n v="1.9180141506640708E-6"/>
    <n v="1333370.9961193663"/>
    <n v="0.46538624179386279"/>
  </r>
  <r>
    <x v="0"/>
    <n v="1000"/>
    <n v="25"/>
    <x v="0"/>
    <n v="19.016170149878036"/>
    <n v="2.8494232784855384"/>
    <n v="21.073618007507879"/>
    <n v="18.17016519691493"/>
    <m/>
    <n v="0.627452946882462"/>
    <n v="0.27"/>
    <n v="123.20888102166521"/>
    <n v="53.680217872509743"/>
    <n v="3.1912848850629736"/>
    <m/>
    <m/>
    <m/>
    <m/>
    <m/>
    <m/>
    <m/>
    <m/>
    <m/>
    <m/>
    <m/>
    <n v="0.1756332345071257"/>
    <m/>
    <m/>
    <m/>
    <m/>
    <m/>
    <m/>
    <m/>
    <m/>
    <m/>
    <m/>
    <m/>
    <n v="1875.5994439554011"/>
    <n v="0.13521281810604979"/>
    <n v="0.26148424754430855"/>
    <n v="327.27603927018299"/>
    <n v="279.95700142391405"/>
    <x v="5"/>
    <n v="14.644015877877388"/>
    <n v="3.9965468373646496"/>
    <n v="0.3"/>
    <n v="1"/>
    <n v="0.4"/>
    <x v="0"/>
    <n v="0.5478903824004423"/>
    <n v="0.27"/>
    <n v="279.95700142391405"/>
    <n v="0.5478903824004423"/>
    <n v="38.344162597922384"/>
    <n v="205.97497595927541"/>
    <n v="96596.301139920994"/>
    <n v="47.119511395553474"/>
    <n v="333265.85407030332"/>
    <x v="3"/>
    <n v="7.3465862071427383E-6"/>
    <n v="2165963.01139921"/>
    <n v="0.15386497937239191"/>
  </r>
  <r>
    <x v="1"/>
    <n v="1000"/>
    <n v="25"/>
    <x v="0"/>
    <n v="18.952542707092267"/>
    <n v="2.8875226904192042"/>
    <n v="21.029682684694158"/>
    <n v="18.185483365770356"/>
    <m/>
    <n v="0.63163432299225875"/>
    <n v="0.27"/>
    <n v="123.330323501409"/>
    <n v="53.733128496464495"/>
    <n v="3.1438227200185587"/>
    <m/>
    <m/>
    <m/>
    <m/>
    <m/>
    <m/>
    <m/>
    <m/>
    <m/>
    <m/>
    <m/>
    <n v="0.172875400493122"/>
    <m/>
    <m/>
    <m/>
    <m/>
    <m/>
    <m/>
    <m/>
    <m/>
    <m/>
    <m/>
    <m/>
    <n v="1843.2777212208846"/>
    <n v="0.13730700237910881"/>
    <n v="0.23262372675870976"/>
    <n v="318.52704377507075"/>
    <n v="271.36636121160637"/>
    <x v="5"/>
    <n v="14.644015877877388"/>
    <n v="3.9965468373646496"/>
    <n v="0.3"/>
    <n v="1"/>
    <n v="0.4"/>
    <x v="0"/>
    <n v="0.55102673867871488"/>
    <n v="0.27"/>
    <n v="271.36636121160637"/>
    <n v="0.55102673867871488"/>
    <n v="38.496828801718955"/>
    <n v="206.30120337266712"/>
    <n v="96687.717715252569"/>
    <n v="47.050249584248668"/>
    <n v="332142.59816077125"/>
    <x v="3"/>
    <n v="7.3219664180504386E-6"/>
    <n v="2166877.1771525256"/>
    <n v="0.1532816911188464"/>
  </r>
  <r>
    <x v="2"/>
    <n v="1000"/>
    <n v="25"/>
    <x v="0"/>
    <n v="18.867488441744076"/>
    <n v="2.9364681592450013"/>
    <n v="20.969837789052967"/>
    <n v="18.203670466777961"/>
    <m/>
    <n v="0.63696119265316187"/>
    <n v="0.27"/>
    <n v="123.47797613839543"/>
    <n v="53.797458483533276"/>
    <n v="3.085154293815048"/>
    <m/>
    <m/>
    <m/>
    <m/>
    <m/>
    <m/>
    <m/>
    <m/>
    <m/>
    <m/>
    <m/>
    <n v="0.16947979252016851"/>
    <m/>
    <m/>
    <m/>
    <m/>
    <m/>
    <m/>
    <m/>
    <m/>
    <m/>
    <m/>
    <m/>
    <n v="1803.0425692001852"/>
    <n v="0.14003294583317885"/>
    <n v="0.2037845482676425"/>
    <n v="307.41452871606208"/>
    <n v="260.46542229266061"/>
    <x v="5"/>
    <n v="14.644015877877388"/>
    <n v="3.9965468373646496"/>
    <n v="0.3"/>
    <n v="1"/>
    <n v="0.4"/>
    <x v="0"/>
    <n v="0.5550399283142976"/>
    <n v="0.27"/>
    <n v="260.46542229266061"/>
    <n v="0.5550399283142976"/>
    <n v="38.689026844380621"/>
    <n v="206.6985096053854"/>
    <n v="96786.838182095773"/>
    <n v="46.947597469169885"/>
    <n v="330587.11366859241"/>
    <x v="3"/>
    <n v="7.2899130639502201E-6"/>
    <n v="2167868.3818209576"/>
    <n v="0.15249408886664381"/>
  </r>
  <r>
    <x v="3"/>
    <n v="1000"/>
    <n v="25"/>
    <x v="0"/>
    <n v="18.752943500059175"/>
    <n v="3.0058128894824749"/>
    <n v="20.891147181989353"/>
    <n v="18.237085597895007"/>
    <m/>
    <n v="0.64665740000798555"/>
    <n v="0.27"/>
    <n v="123.73945549292067"/>
    <n v="53.911381023886598"/>
    <n v="2.9888507350211633"/>
    <m/>
    <m/>
    <m/>
    <m/>
    <m/>
    <m/>
    <m/>
    <m/>
    <m/>
    <m/>
    <m/>
    <n v="0.16388861690522238"/>
    <m/>
    <m/>
    <m/>
    <m/>
    <m/>
    <m/>
    <m/>
    <m/>
    <m/>
    <m/>
    <m/>
    <n v="1740.5507200784909"/>
    <n v="0.14387974309394758"/>
    <n v="0.17491688233288744"/>
    <n v="292.78940231526587"/>
    <n v="246.12535256790954"/>
    <x v="5"/>
    <n v="14.644015877877388"/>
    <n v="3.9965468373646496"/>
    <n v="0.3"/>
    <n v="1"/>
    <n v="0.4"/>
    <x v="0"/>
    <n v="0.56271170666569048"/>
    <n v="0.27"/>
    <n v="246.12535256790954"/>
    <n v="0.56271170666569048"/>
    <n v="38.944868089881304"/>
    <n v="207.4039181998514"/>
    <n v="96929.189675624424"/>
    <n v="46.714976675724856"/>
    <n v="328512.04466634186"/>
    <x v="3"/>
    <n v="7.2463962406199668E-6"/>
    <n v="2169291.8967562444"/>
    <n v="0.15143745530860458"/>
  </r>
  <r>
    <x v="4"/>
    <n v="1000"/>
    <n v="25"/>
    <x v="0"/>
    <n v="18.623503344025554"/>
    <n v="3.1256831707964166"/>
    <n v="20.824692725194222"/>
    <n v="18.271918751474903"/>
    <m/>
    <n v="0.65447754435814276"/>
    <n v="0.27"/>
    <n v="124.03628784589746"/>
    <n v="54.040706322901386"/>
    <n v="2.8836198790253782"/>
    <m/>
    <m/>
    <m/>
    <m/>
    <m/>
    <m/>
    <m/>
    <m/>
    <m/>
    <m/>
    <m/>
    <n v="0.15781702612883025"/>
    <m/>
    <m/>
    <m/>
    <m/>
    <m/>
    <m/>
    <m/>
    <m/>
    <m/>
    <m/>
    <m/>
    <n v="1667.2676784787764"/>
    <n v="0.15009504399625012"/>
    <n v="0.1452688207473366"/>
    <n v="271.79972103981572"/>
    <n v="225.457738966086"/>
    <x v="5"/>
    <n v="14.644015877877388"/>
    <n v="3.9965468373646496"/>
    <n v="0.3"/>
    <n v="1"/>
    <n v="0.4"/>
    <x v="0"/>
    <n v="0.56791217738911948"/>
    <n v="0.27"/>
    <n v="225.457738966086"/>
    <n v="0.56791217738911948"/>
    <n v="39.522359251575679"/>
    <n v="208.2075301553007"/>
    <n v="97593.994799068532"/>
    <n v="47.131588152883197"/>
    <n v="327300.04823517706"/>
    <x v="3"/>
    <n v="7.1787424894793121E-6"/>
    <n v="2175939.9479906852"/>
    <n v="0.15041777625224156"/>
  </r>
  <r>
    <x v="5"/>
    <n v="1000"/>
    <n v="25"/>
    <x v="0"/>
    <n v="18.457541439448338"/>
    <n v="3.3603743088691389"/>
    <n v="20.783604614557266"/>
    <n v="18.340147186161467"/>
    <m/>
    <n v="0.66598382995538075"/>
    <n v="0.27"/>
    <n v="124.62176248817714"/>
    <n v="54.295788635927799"/>
    <n v="2.7081401264905516"/>
    <m/>
    <m/>
    <m/>
    <m/>
    <m/>
    <m/>
    <m/>
    <m/>
    <m/>
    <m/>
    <m/>
    <n v="0.147661853473781"/>
    <m/>
    <m/>
    <m/>
    <m/>
    <m/>
    <m/>
    <m/>
    <m/>
    <m/>
    <m/>
    <m/>
    <n v="1547.3321322110858"/>
    <n v="0.16168390282576214"/>
    <n v="0.11477929379475837"/>
    <n v="239.19101756756723"/>
    <n v="193.26206896580945"/>
    <x v="5"/>
    <n v="14.644015877877388"/>
    <n v="3.9965468373646496"/>
    <n v="0.3"/>
    <n v="1"/>
    <n v="0.4"/>
    <x v="0"/>
    <n v="0.5747953730267864"/>
    <n v="0.27"/>
    <n v="193.26206896580945"/>
    <n v="0.5747953730267864"/>
    <n v="40.751526101004778"/>
    <n v="209.80148755474917"/>
    <n v="99171.650674006247"/>
    <n v="48.548920714993635"/>
    <n v="327301.71833713568"/>
    <x v="3"/>
    <n v="7.0666408108249015E-6"/>
    <n v="2191716.5067400625"/>
    <n v="0.14933579107088127"/>
  </r>
  <r>
    <x v="6"/>
    <n v="1000"/>
    <n v="25"/>
    <x v="0"/>
    <n v="18.082605610004503"/>
    <n v="3.856992691236123"/>
    <n v="20.670624319777204"/>
    <n v="18.442630044495072"/>
    <m/>
    <n v="0.69673355775634827"/>
    <n v="0.27"/>
    <n v="125.67522221346997"/>
    <n v="54.75476486478982"/>
    <n v="2.349938662596422"/>
    <m/>
    <m/>
    <m/>
    <m/>
    <m/>
    <m/>
    <m/>
    <m/>
    <m/>
    <m/>
    <m/>
    <n v="0.12741884736216641"/>
    <m/>
    <m/>
    <m/>
    <m/>
    <m/>
    <m/>
    <m/>
    <m/>
    <m/>
    <m/>
    <m/>
    <n v="1314.2180626588224"/>
    <n v="0.18659294618139988"/>
    <n v="8.3810714190757821E-2"/>
    <n v="184.24470206938588"/>
    <n v="139.24873136061208"/>
    <x v="5"/>
    <n v="14.644015877877388"/>
    <n v="3.9965468373646496"/>
    <n v="0.3"/>
    <n v="1"/>
    <n v="0.4"/>
    <x v="0"/>
    <n v="0.59673314739969729"/>
    <n v="0.27"/>
    <n v="139.24873136061208"/>
    <n v="0.59673314739969729"/>
    <n v="43.200219615973346"/>
    <n v="212.69980586473505"/>
    <n v="102123.73678967752"/>
    <n v="51.109139797121387"/>
    <n v="325623.78474147822"/>
    <x v="3"/>
    <n v="6.8402926461922496E-6"/>
    <n v="2221237.3678967752"/>
    <n v="0.14659567205543722"/>
  </r>
  <r>
    <x v="7"/>
    <n v="1000"/>
    <n v="25"/>
    <x v="0"/>
    <n v="17.326571805632803"/>
    <n v="5.5380452548218244"/>
    <n v="20.820698645529347"/>
    <n v="18.842580969833637"/>
    <m/>
    <n v="0.91845061587433763"/>
    <n v="0.27"/>
    <n v="132.9770210908992"/>
    <n v="57.936046533379319"/>
    <n v="1.3275833125658991"/>
    <m/>
    <m/>
    <m/>
    <m/>
    <m/>
    <m/>
    <m/>
    <m/>
    <m/>
    <m/>
    <m/>
    <n v="7.0456553414381881E-2"/>
    <m/>
    <m/>
    <m/>
    <m/>
    <m/>
    <m/>
    <m/>
    <m/>
    <m/>
    <m/>
    <m/>
    <n v="704.23119835930856"/>
    <n v="0.2659874843350159"/>
    <n v="5.4753690652731127E-2"/>
    <n v="83.554266405080227"/>
    <n v="40.439542076359132"/>
    <x v="5"/>
    <n v="14.644015877877388"/>
    <n v="3.9965468373646496"/>
    <n v="0.3"/>
    <n v="1"/>
    <n v="0.4"/>
    <x v="0"/>
    <n v="0.88286142914471766"/>
    <n v="0.27"/>
    <n v="40.439542076359132"/>
    <n v="0.88286142914471766"/>
    <n v="49.801535469192942"/>
    <n v="233.94717575219855"/>
    <n v="114626.00329204155"/>
    <n v="56.09450924205494"/>
    <n v="339265.82787146239"/>
    <x v="3"/>
    <n v="6.1928811869879892E-6"/>
    <n v="2346260.0329204155"/>
    <n v="0.14459856244031677"/>
  </r>
  <r>
    <x v="8"/>
    <n v="1000"/>
    <n v="25"/>
    <x v="0"/>
    <n v="11.946298586416701"/>
    <n v="3.5530937982848139"/>
    <n v="14.144931047256931"/>
    <n v="12.78920503771271"/>
    <m/>
    <n v="0.80789487034098939"/>
    <n v="0.27"/>
    <n v="88.963141390713233"/>
    <n v="38.759874879771331"/>
    <n v="1.2913917873302871"/>
    <m/>
    <m/>
    <m/>
    <m/>
    <m/>
    <m/>
    <m/>
    <m/>
    <m/>
    <m/>
    <m/>
    <n v="0.10097514141983344"/>
    <m/>
    <m/>
    <m/>
    <m/>
    <m/>
    <m/>
    <m/>
    <m/>
    <m/>
    <m/>
    <m/>
    <n v="719.11227521353248"/>
    <n v="0.25119201970050259"/>
    <n v="4.0242608408517726E-2"/>
    <n v="103.14303523406414"/>
    <n v="73.416381548389182"/>
    <x v="5"/>
    <n v="14.644015877877388"/>
    <n v="3.9965468373646496"/>
    <n v="0.3"/>
    <n v="1"/>
    <n v="0.4"/>
    <x v="0"/>
    <n v="0.71850706536134445"/>
    <n v="0.27"/>
    <n v="73.416381548389182"/>
    <n v="0.71850706536134445"/>
    <n v="34.773284878978146"/>
    <n v="129.34067672102654"/>
    <n v="60515.973404592332"/>
    <n v="39.493547958103036"/>
    <n v="676808.04792276642"/>
    <x v="3"/>
    <n v="4.4859813875159043E-6"/>
    <n v="1805159.7340459232"/>
    <n v="0.37492972791157353"/>
  </r>
  <r>
    <x v="9"/>
    <n v="1000"/>
    <n v="25"/>
    <x v="0"/>
    <n v="3.9550092600144207"/>
    <n v="0.79168318873371712"/>
    <n v="4.4615369918938095"/>
    <n v="3.9205427940653359"/>
    <m/>
    <n v="0.64167782493365033"/>
    <n v="0.27"/>
    <n v="26.81147673085291"/>
    <n v="11.681348783151684"/>
    <n v="0.99193935804350231"/>
    <m/>
    <m/>
    <m/>
    <m/>
    <m/>
    <m/>
    <m/>
    <m/>
    <m/>
    <m/>
    <m/>
    <n v="0.25301072074638131"/>
    <m/>
    <m/>
    <m/>
    <m/>
    <m/>
    <m/>
    <m/>
    <m/>
    <m/>
    <m/>
    <m/>
    <n v="781.65713956631578"/>
    <n v="0.17744629040891749"/>
    <n v="3.7857559959263237E-2"/>
    <n v="295.52920832007601"/>
    <n v="285.687460544565"/>
    <x v="5"/>
    <n v="14.644015877877388"/>
    <n v="3.9965468373646496"/>
    <n v="0.3"/>
    <n v="1"/>
    <n v="0.4"/>
    <x v="0"/>
    <n v="0.53391657868999287"/>
    <n v="0.27"/>
    <n v="285.687460544565"/>
    <n v="0.53391657868999287"/>
    <n v="9.726886325490689"/>
    <n v="33.157276718759078"/>
    <n v="12498.567765961079"/>
    <n v="11.117178286252976"/>
    <n v="876856.95487578958"/>
    <x v="3"/>
    <n v="1.4103827291490342E-6"/>
    <n v="1324985.6776596108"/>
    <n v="0.66178598732072813"/>
  </r>
  <r>
    <x v="0"/>
    <n v="100"/>
    <n v="25"/>
    <x v="0"/>
    <n v="3.2521605390297759"/>
    <n v="0.89151253129301733"/>
    <n v="3.9209968646186377"/>
    <n v="0.89089613536279"/>
    <m/>
    <n v="0.14514520417724394"/>
    <n v="0.08"/>
    <n v="17.921707513565753"/>
    <n v="10.010763052536729"/>
    <n v="0.32019656589769796"/>
    <m/>
    <m/>
    <m/>
    <m/>
    <m/>
    <m/>
    <m/>
    <m/>
    <m/>
    <m/>
    <m/>
    <n v="0.35940953517247864"/>
    <m/>
    <m/>
    <m/>
    <m/>
    <m/>
    <m/>
    <m/>
    <m/>
    <m/>
    <m/>
    <m/>
    <n v="536.3628989744941"/>
    <n v="0.22736884574880353"/>
    <n v="0.20790170316612913"/>
    <n v="384.35722031372177"/>
    <n v="376.26461602564524"/>
    <x v="6"/>
    <n v="4.8813386259591285"/>
    <n v="1.3321822791215501"/>
    <n v="0.1"/>
    <n v="0"/>
    <n v="0.2"/>
    <x v="0"/>
    <n v="8.2942077484156287E-2"/>
    <n v="0.08"/>
    <n v="376.26461602564524"/>
    <n v="8.2942077484156287E-2"/>
    <n v="10.114280011992973"/>
    <n v="69.866232366694206"/>
    <n v="26063.311507390139"/>
    <n v="19.365791610247022"/>
    <n v="18650.960906060805"/>
    <x v="0"/>
    <n v="1.9925854607236029E-6"/>
    <n v="1460633.1150739014"/>
    <n v="1.2769093561949779E-2"/>
  </r>
  <r>
    <x v="0"/>
    <n v="200"/>
    <n v="25"/>
    <x v="0"/>
    <n v="5.9361882762376625"/>
    <n v="1.6467033872639552"/>
    <n v="7.0899564261706871"/>
    <n v="1.6459499218261284"/>
    <m/>
    <n v="0.1423528474289473"/>
    <n v="0.08"/>
    <n v="33.172707057793666"/>
    <n v="18.529713751628616"/>
    <n v="0.51719402362162903"/>
    <m/>
    <m/>
    <m/>
    <m/>
    <m/>
    <m/>
    <m/>
    <m/>
    <m/>
    <m/>
    <m/>
    <n v="0.31422221099401304"/>
    <m/>
    <m/>
    <m/>
    <m/>
    <m/>
    <m/>
    <m/>
    <m/>
    <m/>
    <m/>
    <m/>
    <n v="618.23298313481951"/>
    <n v="0.23225860474763821"/>
    <n v="0.23194872352893414"/>
    <n v="374.40732509356894"/>
    <n v="359.63597132400497"/>
    <x v="6"/>
    <n v="4.8813386259591285"/>
    <n v="1.3321822791215501"/>
    <n v="0.1"/>
    <n v="0"/>
    <n v="0.2"/>
    <x v="0"/>
    <n v="8.3713031201933352E-2"/>
    <n v="0.08"/>
    <n v="359.63597132400497"/>
    <n v="8.3713031201933352E-2"/>
    <n v="18.510351910965646"/>
    <n v="101.66087735067768"/>
    <n v="42239.868974556637"/>
    <n v="30.50570516974129"/>
    <n v="51471.080439135796"/>
    <x v="0"/>
    <n v="3.3320360902670605E-6"/>
    <n v="1622398.6897455663"/>
    <n v="3.1725297095258245E-2"/>
  </r>
  <r>
    <x v="0"/>
    <n v="300"/>
    <n v="25"/>
    <x v="0"/>
    <n v="8.2117304713602035"/>
    <n v="2.3240817409819714"/>
    <n v="9.7840237236669338"/>
    <n v="2.3104705654818214"/>
    <m/>
    <n v="0.14101149688343578"/>
    <n v="0.08"/>
    <n v="46.630450146678356"/>
    <n v="26.046981689561481"/>
    <n v="0.66141465598420579"/>
    <m/>
    <m/>
    <m/>
    <m/>
    <m/>
    <m/>
    <m/>
    <m/>
    <m/>
    <m/>
    <m/>
    <n v="0.28626837574374187"/>
    <m/>
    <m/>
    <m/>
    <m/>
    <m/>
    <m/>
    <m/>
    <m/>
    <m/>
    <m/>
    <m/>
    <n v="676.77872728741875"/>
    <n v="0.23753844089320478"/>
    <n v="0.24516378279984744"/>
    <n v="366.5051241354671"/>
    <n v="346.0713992953161"/>
    <x v="6"/>
    <n v="4.8813386259591285"/>
    <n v="1.3321822791215501"/>
    <n v="0.1"/>
    <n v="0"/>
    <n v="0.2"/>
    <x v="0"/>
    <n v="8.4793428240139912E-2"/>
    <n v="0.08"/>
    <n v="346.0713992953161"/>
    <n v="8.4793428240139912E-2"/>
    <n v="25.879959673474065"/>
    <n v="124.52727266539229"/>
    <n v="55469.459196918891"/>
    <n v="39.573680060905524"/>
    <n v="88768.601297916728"/>
    <x v="0"/>
    <n v="4.232041363195267E-6"/>
    <n v="1754694.5919691888"/>
    <n v="5.0589203217579329E-2"/>
  </r>
  <r>
    <x v="0"/>
    <n v="400"/>
    <n v="25"/>
    <x v="0"/>
    <n v="10.175236600144389"/>
    <n v="2.9425259555979713"/>
    <n v="12.121783447887577"/>
    <n v="2.9042017188483253"/>
    <m/>
    <n v="0.1400964794567654"/>
    <n v="0.08"/>
    <n v="58.679487054152169"/>
    <n v="32.777370152864293"/>
    <n v="0.77540519697886001"/>
    <m/>
    <m/>
    <m/>
    <m/>
    <m/>
    <m/>
    <m/>
    <m/>
    <m/>
    <m/>
    <m/>
    <n v="0.26699426281117639"/>
    <m/>
    <m/>
    <m/>
    <m/>
    <m/>
    <m/>
    <m/>
    <m/>
    <m/>
    <m/>
    <m/>
    <n v="722.31380524216308"/>
    <n v="0.24274694959269838"/>
    <n v="0.25394179747179724"/>
    <n v="359.93083178331659"/>
    <n v="334.61120675273349"/>
    <x v="6"/>
    <n v="4.8813386259591285"/>
    <n v="1.3321822791215501"/>
    <n v="0.1"/>
    <n v="0"/>
    <n v="0.2"/>
    <x v="0"/>
    <n v="8.5634927636704619E-2"/>
    <n v="0.08"/>
    <n v="334.61120675273349"/>
    <n v="8.5634927636704619E-2"/>
    <n v="32.477223164918861"/>
    <n v="142.71580093115742"/>
    <n v="66878.361564644743"/>
    <n v="47.397747046522824"/>
    <n v="127609.82123180213"/>
    <x v="0"/>
    <n v="4.8669798664806579E-6"/>
    <n v="1868783.6156464475"/>
    <n v="6.8284963632699383E-2"/>
  </r>
  <r>
    <x v="0"/>
    <n v="600"/>
    <n v="25"/>
    <x v="0"/>
    <n v="13.387119251284959"/>
    <n v="4.0337981114682098"/>
    <n v="15.981329454206881"/>
    <n v="3.9210522301447117"/>
    <m/>
    <n v="0.13883593221828852"/>
    <n v="0.08"/>
    <n v="79.36766031048667"/>
    <n v="44.333434233378114"/>
    <n v="0.94784947327731883"/>
    <m/>
    <m/>
    <m/>
    <m/>
    <m/>
    <m/>
    <m/>
    <m/>
    <m/>
    <m/>
    <m/>
    <n v="0.24173344746349812"/>
    <m/>
    <m/>
    <m/>
    <m/>
    <m/>
    <m/>
    <m/>
    <m/>
    <m/>
    <m/>
    <m/>
    <n v="790.1588668886867"/>
    <n v="0.25240691789920922"/>
    <n v="0.26533379308371946"/>
    <n v="349.54612039537312"/>
    <n v="316.23413025002708"/>
    <x v="6"/>
    <n v="4.8813386259591285"/>
    <n v="1.3321822791215501"/>
    <n v="0.1"/>
    <n v="0"/>
    <n v="0.2"/>
    <x v="0"/>
    <n v="8.6775995559823862E-2"/>
    <n v="0.08"/>
    <n v="316.23413025002708"/>
    <n v="8.6775995559823862E-2"/>
    <n v="43.834517435780384"/>
    <n v="170.47465736747804"/>
    <n v="85749.470633149787"/>
    <n v="60.449801507648083"/>
    <n v="204601.19766471052"/>
    <x v="0"/>
    <n v="5.6758068872737933E-6"/>
    <n v="2057494.706331498"/>
    <n v="9.9441907206416755E-2"/>
  </r>
  <r>
    <x v="0"/>
    <n v="800"/>
    <n v="25"/>
    <x v="0"/>
    <n v="15.867135633676076"/>
    <n v="4.9535389251443291"/>
    <n v="18.997235828031275"/>
    <n v="4.7511320482679285"/>
    <m/>
    <n v="0.13814243454631273"/>
    <n v="0.08"/>
    <n v="96.307062727247185"/>
    <n v="53.795498253639444"/>
    <n v="1.0714991877950926"/>
    <m/>
    <m/>
    <m/>
    <m/>
    <m/>
    <m/>
    <m/>
    <m/>
    <m/>
    <m/>
    <m/>
    <n v="0.2255250279111308"/>
    <m/>
    <m/>
    <m/>
    <m/>
    <m/>
    <m/>
    <m/>
    <m/>
    <m/>
    <m/>
    <m/>
    <n v="838.09108444771073"/>
    <n v="0.26075050970495189"/>
    <n v="0.27274642607310878"/>
    <n v="341.8245882737142"/>
    <n v="302.34149055016519"/>
    <x v="6"/>
    <n v="4.8813386259591285"/>
    <n v="1.3321822791215501"/>
    <n v="0.1"/>
    <n v="0"/>
    <n v="0.2"/>
    <x v="0"/>
    <n v="8.7574566946104243E-2"/>
    <n v="0.08"/>
    <n v="302.34149055016519"/>
    <n v="8.7574566946104243E-2"/>
    <n v="53.153400741777546"/>
    <n v="190.51407723363934"/>
    <n v="100474.67312844607"/>
    <n v="70.818215479574235"/>
    <n v="275952.58722121891"/>
    <x v="0"/>
    <n v="6.1443230069172422E-6"/>
    <n v="2204746.731284461"/>
    <n v="0.12516294198583616"/>
  </r>
  <r>
    <x v="0"/>
    <n v="1000"/>
    <n v="25"/>
    <x v="0"/>
    <n v="17.799402665081093"/>
    <n v="5.7231310716471837"/>
    <n v="21.371974167885888"/>
    <n v="5.4286084378335273"/>
    <m/>
    <n v="0.1377331455743393"/>
    <n v="0.08"/>
    <n v="110.17021408764649"/>
    <n v="61.539220403181275"/>
    <n v="1.1633804123105334"/>
    <m/>
    <m/>
    <m/>
    <m/>
    <m/>
    <m/>
    <m/>
    <m/>
    <m/>
    <m/>
    <m/>
    <n v="0.21430545703068249"/>
    <m/>
    <m/>
    <m/>
    <m/>
    <m/>
    <m/>
    <m/>
    <m/>
    <m/>
    <m/>
    <m/>
    <n v="873.3616245105768"/>
    <n v="0.26778672979340001"/>
    <n v="0.27795383518397832"/>
    <n v="335.96273764922284"/>
    <n v="291.67141835530919"/>
    <x v="6"/>
    <n v="4.8813386259591285"/>
    <n v="1.3321822791215501"/>
    <n v="0.1"/>
    <n v="0"/>
    <n v="0.2"/>
    <x v="0"/>
    <n v="8.8166670434172645E-2"/>
    <n v="0.08"/>
    <n v="291.67141835530919"/>
    <n v="8.8166670434172645E-2"/>
    <n v="60.791975445816277"/>
    <n v="205.24854608125264"/>
    <n v="111999.12798406075"/>
    <n v="79.153840711228639"/>
    <n v="339216.65004421491"/>
    <x v="0"/>
    <n v="6.4339684698861494E-6"/>
    <n v="2319991.2798406072"/>
    <n v="0.14621462287027237"/>
  </r>
  <r>
    <x v="0"/>
    <n v="1300"/>
    <n v="25"/>
    <x v="0"/>
    <n v="19.913041823535682"/>
    <n v="6.6157197083631782"/>
    <n v="23.992237789718757"/>
    <n v="6.2103467709414479"/>
    <m/>
    <n v="0.13658075959461047"/>
    <n v="0.08"/>
    <n v="126.21834137307567"/>
    <n v="70.503433192045009"/>
    <n v="1.2768497154562244"/>
    <m/>
    <m/>
    <m/>
    <m/>
    <m/>
    <m/>
    <m/>
    <m/>
    <m/>
    <m/>
    <m/>
    <n v="0.20560038956772494"/>
    <m/>
    <m/>
    <m/>
    <m/>
    <m/>
    <m/>
    <m/>
    <m/>
    <m/>
    <m/>
    <m/>
    <n v="918.71804166244965"/>
    <n v="0.27574417052494249"/>
    <n v="0.28384006750460178"/>
    <n v="329.84414780266059"/>
    <n v="280.29318393433812"/>
    <x v="6"/>
    <n v="4.8813386259591285"/>
    <n v="1.3321822791215501"/>
    <n v="0.1"/>
    <n v="0"/>
    <n v="0.2"/>
    <x v="0"/>
    <n v="8.8562043948428495E-2"/>
    <n v="0.08"/>
    <n v="280.29318393433812"/>
    <n v="8.8562043948428495E-2"/>
    <n v="69.513123976233501"/>
    <n v="220.18658719521352"/>
    <n v="124356.35778631012"/>
    <n v="88.347857605380639"/>
    <n v="416126.80102675426"/>
    <x v="0"/>
    <n v="6.6954490534897725E-6"/>
    <n v="2443563.5778631009"/>
    <n v="0.17029505792137301"/>
  </r>
  <r>
    <x v="0"/>
    <n v="1600"/>
    <n v="25"/>
    <x v="0"/>
    <n v="21.379781331172232"/>
    <n v="7.2726370702062537"/>
    <n v="25.827355109566909"/>
    <n v="6.782437405724024"/>
    <m/>
    <n v="0.13687172126719013"/>
    <n v="0.08"/>
    <n v="138.00385677370693"/>
    <n v="77.086622993487538"/>
    <n v="1.3414033607534392"/>
    <m/>
    <m/>
    <m/>
    <m/>
    <m/>
    <m/>
    <m/>
    <m/>
    <m/>
    <m/>
    <m/>
    <n v="0.19777600300761561"/>
    <m/>
    <m/>
    <m/>
    <m/>
    <m/>
    <m/>
    <m/>
    <m/>
    <m/>
    <m/>
    <m/>
    <n v="943.22685748201286"/>
    <n v="0.28158659837035888"/>
    <n v="0.28784896532580101"/>
    <n v="325.72569678347259"/>
    <n v="272.52517710529389"/>
    <x v="6"/>
    <n v="4.8813386259591285"/>
    <n v="1.3321822791215501"/>
    <n v="0.1"/>
    <n v="0"/>
    <n v="0.2"/>
    <x v="0"/>
    <n v="8.9301044563149329E-2"/>
    <n v="0.08"/>
    <n v="272.52517710529389"/>
    <n v="8.9301044563149329E-2"/>
    <n v="75.823644236384339"/>
    <n v="229.69669897232461"/>
    <n v="132719.21237032171"/>
    <n v="94.805398344295753"/>
    <n v="474405.97569047823"/>
    <x v="0"/>
    <n v="6.8490422685581629E-6"/>
    <n v="2527192.1237032171"/>
    <n v="0.18772058176380677"/>
  </r>
  <r>
    <x v="0"/>
    <n v="1900"/>
    <n v="25"/>
    <x v="0"/>
    <n v="22.437447480365432"/>
    <n v="7.7669694665607807"/>
    <n v="27.159954107670181"/>
    <n v="7.2092522090549132"/>
    <m/>
    <n v="0.13718033637938157"/>
    <n v="0.08"/>
    <n v="146.82269123227778"/>
    <n v="82.012674939010751"/>
    <n v="1.3860689657487661"/>
    <m/>
    <m/>
    <m/>
    <m/>
    <m/>
    <m/>
    <m/>
    <m/>
    <m/>
    <m/>
    <m/>
    <n v="0.19226251566117297"/>
    <m/>
    <m/>
    <m/>
    <m/>
    <m/>
    <m/>
    <m/>
    <m/>
    <m/>
    <m/>
    <m/>
    <n v="959.99910953474239"/>
    <n v="0.28597137667354633"/>
    <n v="0.29062930072025195"/>
    <n v="322.79702210080046"/>
    <n v="266.96462666035939"/>
    <x v="6"/>
    <n v="4.8813386259591285"/>
    <n v="1.3321822791215501"/>
    <n v="0.1"/>
    <n v="0"/>
    <n v="0.2"/>
    <x v="0"/>
    <n v="8.9875003704233528E-2"/>
    <n v="0.08"/>
    <n v="266.96462666035939"/>
    <n v="8.9875003704233528E-2"/>
    <n v="80.518981079844465"/>
    <n v="236.03224288685976"/>
    <n v="138648.80079216123"/>
    <n v="99.576514722884454"/>
    <n v="519078.65184357017"/>
    <x v="0"/>
    <n v="6.9469117258780678E-6"/>
    <n v="2586488.0079216124"/>
    <n v="0.20068859791879681"/>
  </r>
  <r>
    <x v="0"/>
    <n v="1000"/>
    <n v="25"/>
    <x v="1"/>
    <n v="12.03811831590623"/>
    <n v="9.5991235746618848"/>
    <n v="17.650622052105877"/>
    <n v="5.7060119578684017"/>
    <m/>
    <n v="0.15912097146893969"/>
    <n v="0.08"/>
    <n v="116.32287087554397"/>
    <n v="64.975990543559988"/>
    <n v="0.78246823682149369"/>
    <m/>
    <m/>
    <m/>
    <m/>
    <m/>
    <m/>
    <m/>
    <m/>
    <m/>
    <m/>
    <m/>
    <n v="0.13713049369665198"/>
    <m/>
    <m/>
    <m/>
    <m/>
    <m/>
    <m/>
    <m/>
    <m/>
    <m/>
    <m/>
    <m/>
    <n v="519.53292688490899"/>
    <n v="0.5438405256383938"/>
    <n v="0.28836540406649175"/>
    <n v="158.2539439678053"/>
    <n v="128.29880847416203"/>
    <x v="6"/>
    <n v="4.8813386259591285"/>
    <n v="1.3321822791215501"/>
    <n v="0.1"/>
    <n v="0"/>
    <n v="0.2"/>
    <x v="0"/>
    <n v="8.2516297910836339E-2"/>
    <n v="0.08"/>
    <n v="128.29880847416203"/>
    <n v="8.2516297910836339E-2"/>
    <n v="83.481793930217904"/>
    <n v="224.45215555986061"/>
    <n v="134877.32363950135"/>
    <n v="100.72462398762117"/>
    <n v="238061.47393444044"/>
    <x v="1"/>
    <n v="4.0797740810374446E-6"/>
    <n v="2548773.2363950135"/>
    <n v="9.3402375125044373E-2"/>
  </r>
  <r>
    <x v="0"/>
    <n v="1000"/>
    <n v="25"/>
    <x v="2"/>
    <n v="15.572455072643614"/>
    <n v="7.2759337172425642"/>
    <n v="19.964273802332528"/>
    <n v="5.5409000702857893"/>
    <m/>
    <n v="0.13978409173543774"/>
    <n v="0.08"/>
    <n v="112.60729813943202"/>
    <n v="62.90053438306149"/>
    <n v="1.0390581117812294"/>
    <m/>
    <m/>
    <m/>
    <m/>
    <m/>
    <m/>
    <m/>
    <m/>
    <m/>
    <m/>
    <m/>
    <n v="0.18752514909146101"/>
    <m/>
    <m/>
    <m/>
    <m/>
    <m/>
    <m/>
    <m/>
    <m/>
    <m/>
    <m/>
    <m/>
    <n v="725.5518487437439"/>
    <n v="0.36444770239488899"/>
    <n v="0.28196985790223578"/>
    <n v="244.7726250298609"/>
    <n v="206.02279285312972"/>
    <x v="6"/>
    <n v="4.8813386259591285"/>
    <n v="1.3321822791215501"/>
    <n v="0.1"/>
    <n v="0"/>
    <n v="0.2"/>
    <x v="0"/>
    <n v="8.3240529432033084E-2"/>
    <n v="0.08"/>
    <n v="206.02279285312972"/>
    <n v="8.3240529432033084E-2"/>
    <n v="70.041903996843303"/>
    <n v="212.65019083187789"/>
    <n v="121667.72281411767"/>
    <n v="88.890557595174727"/>
    <n v="304159.95394371788"/>
    <x v="1"/>
    <n v="5.4712374641173054E-6"/>
    <n v="2416677.2281411765"/>
    <n v="0.12585874125096427"/>
  </r>
  <r>
    <x v="0"/>
    <n v="1000"/>
    <n v="25"/>
    <x v="0"/>
    <n v="17.791000586004603"/>
    <n v="5.7185271663857362"/>
    <n v="21.360771821478171"/>
    <n v="5.4272764779273661"/>
    <m/>
    <n v="0.13787750300490495"/>
    <n v="0.08"/>
    <n v="110.1433506491064"/>
    <n v="61.52421494023654"/>
    <n v="1.1620138867568244"/>
    <m/>
    <m/>
    <m/>
    <m/>
    <m/>
    <m/>
    <m/>
    <m/>
    <m/>
    <m/>
    <m/>
    <n v="0.21410626333165697"/>
    <m/>
    <m/>
    <m/>
    <m/>
    <m/>
    <m/>
    <m/>
    <m/>
    <m/>
    <m/>
    <m/>
    <n v="872.76531680833557"/>
    <n v="0.26771163580502183"/>
    <n v="0.27810932916693742"/>
    <n v="336.02875301128279"/>
    <n v="291.75837342992344"/>
    <x v="6"/>
    <n v="4.8813386259591285"/>
    <n v="1.3321822791215501"/>
    <n v="0.1"/>
    <n v="0"/>
    <n v="0.2"/>
    <x v="0"/>
    <n v="8.8240896024654847E-2"/>
    <n v="0.08"/>
    <n v="291.75837342992344"/>
    <n v="8.8240896024654847E-2"/>
    <n v="60.748416392982691"/>
    <n v="205.16836982167808"/>
    <n v="111885.61968023419"/>
    <n v="79.034691090602607"/>
    <n v="338803.71726092009"/>
    <x v="1"/>
    <n v="6.4347436296533031E-6"/>
    <n v="2318856.1968023418"/>
    <n v="0.14610811904943649"/>
  </r>
  <r>
    <x v="0"/>
    <n v="1000"/>
    <n v="25"/>
    <x v="3"/>
    <n v="19.234868765284968"/>
    <n v="4.6585011157248353"/>
    <n v="22.245697424936878"/>
    <n v="5.3557852007429911"/>
    <m/>
    <n v="0.13851705629263444"/>
    <n v="0.08"/>
    <n v="108.60726760914386"/>
    <n v="60.666184904290176"/>
    <n v="1.2453637631752956"/>
    <m/>
    <m/>
    <m/>
    <m/>
    <m/>
    <m/>
    <m/>
    <m/>
    <m/>
    <m/>
    <m/>
    <n v="0.23252683154704007"/>
    <m/>
    <m/>
    <m/>
    <m/>
    <m/>
    <m/>
    <m/>
    <m/>
    <m/>
    <m/>
    <m/>
    <n v="1004.9197307463884"/>
    <n v="0.20941133140212409"/>
    <n v="0.27518192956093762"/>
    <n v="430.10126502138104"/>
    <n v="382.23784915873966"/>
    <x v="6"/>
    <n v="4.8813386259591285"/>
    <n v="1.3321822791215501"/>
    <n v="0.1"/>
    <n v="0"/>
    <n v="0.2"/>
    <x v="0"/>
    <n v="9.3323321356250183E-2"/>
    <n v="0.08"/>
    <n v="382.23784915873966"/>
    <n v="9.3323321356250183E-2"/>
    <n v="54.338729567133434"/>
    <n v="200.63304410564618"/>
    <n v="105289.43294323936"/>
    <n v="71.998196610152121"/>
    <n v="357910.04819512734"/>
    <x v="1"/>
    <n v="7.1034365345497432E-6"/>
    <n v="2252894.3294323934"/>
    <n v="0.15886677129916749"/>
  </r>
  <r>
    <x v="0"/>
    <n v="1000"/>
    <n v="25"/>
    <x v="4"/>
    <n v="20.24927886453575"/>
    <n v="3.9176344288742344"/>
    <n v="22.869688014137513"/>
    <n v="5.307316152811687"/>
    <m/>
    <n v="0.13974755755861362"/>
    <n v="0.08"/>
    <n v="107.57168087655467"/>
    <n v="60.087723650391574"/>
    <n v="1.3009596993999288"/>
    <m/>
    <m/>
    <m/>
    <m/>
    <m/>
    <m/>
    <m/>
    <m/>
    <m/>
    <m/>
    <m/>
    <n v="0.24512572116336279"/>
    <m/>
    <m/>
    <m/>
    <m/>
    <m/>
    <m/>
    <m/>
    <m/>
    <m/>
    <m/>
    <m/>
    <n v="1125.8951030815708"/>
    <n v="0.17130248678742113"/>
    <n v="0.27291148154032469"/>
    <n v="525.80275937733393"/>
    <n v="475.41525338160699"/>
    <x v="6"/>
    <n v="4.8813386259591285"/>
    <n v="1.3321822791215501"/>
    <n v="0.1"/>
    <n v="0"/>
    <n v="0.2"/>
    <x v="0"/>
    <n v="9.7861645032528116E-2"/>
    <n v="0.08"/>
    <n v="475.41525338160699"/>
    <n v="9.7861645032528116E-2"/>
    <n v="49.858284598886058"/>
    <n v="197.62876286535175"/>
    <n v="100729.80902937024"/>
    <n v="67.008011200506203"/>
    <n v="369828.87371114502"/>
    <x v="1"/>
    <n v="7.5903387521136193E-6"/>
    <n v="2207298.0902937027"/>
    <n v="0.1675482234762119"/>
  </r>
  <r>
    <x v="0"/>
    <n v="1000"/>
    <n v="25"/>
    <x v="5"/>
    <n v="20.997002554122837"/>
    <n v="3.3755012740454902"/>
    <n v="23.331909717408227"/>
    <n v="5.2728470321692607"/>
    <m/>
    <n v="0.14095401294049864"/>
    <n v="0.08"/>
    <n v="106.83754352429946"/>
    <n v="59.677646927742209"/>
    <n v="1.3402950668091949"/>
    <m/>
    <m/>
    <m/>
    <m/>
    <m/>
    <m/>
    <m/>
    <m/>
    <m/>
    <m/>
    <m/>
    <n v="0.25418811860692164"/>
    <m/>
    <m/>
    <m/>
    <m/>
    <m/>
    <m/>
    <m/>
    <m/>
    <m/>
    <m/>
    <m/>
    <n v="1240.4468100945051"/>
    <n v="0.14467316713157805"/>
    <n v="0.2710946333680066"/>
    <n v="622.54733229772296"/>
    <n v="570.29927668990717"/>
    <x v="6"/>
    <n v="4.8813386259591285"/>
    <n v="1.3321822791215501"/>
    <n v="0.1"/>
    <n v="0"/>
    <n v="0.2"/>
    <x v="0"/>
    <n v="0.10179638850434429"/>
    <n v="0.08"/>
    <n v="570.29927668990717"/>
    <n v="0.10179638850434429"/>
    <n v="46.583289884740587"/>
    <n v="195.52421892731263"/>
    <n v="97437.059859177607"/>
    <n v="63.338391577744744"/>
    <n v="377840.9665640457"/>
    <x v="1"/>
    <n v="7.9578960984196884E-6"/>
    <n v="2174370.5985917761"/>
    <n v="0.17377027026062308"/>
  </r>
  <r>
    <x v="0"/>
    <n v="1000"/>
    <n v="25"/>
    <x v="6"/>
    <n v="21.567100583642699"/>
    <n v="2.9629406721438221"/>
    <n v="23.684801716617535"/>
    <n v="5.2470905552827709"/>
    <m/>
    <n v="0.14204026745492424"/>
    <n v="0.08"/>
    <n v="106.29029675814027"/>
    <n v="59.371964129206418"/>
    <n v="1.3685048448288777"/>
    <m/>
    <m/>
    <m/>
    <m/>
    <m/>
    <m/>
    <m/>
    <m/>
    <m/>
    <m/>
    <m/>
    <n v="0.26081212634134299"/>
    <m/>
    <m/>
    <m/>
    <m/>
    <m/>
    <m/>
    <m/>
    <m/>
    <m/>
    <m/>
    <m/>
    <n v="1350.6045307302979"/>
    <n v="0.12509881685287608"/>
    <n v="0.26965198866451956"/>
    <n v="720.01875940001003"/>
    <n v="666.35210831585846"/>
    <x v="6"/>
    <n v="4.8813386259591285"/>
    <n v="1.3321822791215501"/>
    <n v="0.1"/>
    <n v="0"/>
    <n v="0.2"/>
    <x v="0"/>
    <n v="0.10522381137649825"/>
    <n v="0.08"/>
    <n v="666.35210831585846"/>
    <n v="0.10522381137649825"/>
    <n v="44.091336852441437"/>
    <n v="193.96875593491779"/>
    <n v="94945.682101388607"/>
    <n v="60.52356282625199"/>
    <n v="383441.12610818323"/>
    <x v="1"/>
    <n v="8.2441465222712796E-6"/>
    <n v="2149456.821013886"/>
    <n v="0.17838977845915338"/>
  </r>
  <r>
    <x v="0"/>
    <n v="1000"/>
    <n v="25"/>
    <x v="7"/>
    <n v="22.018307187299978"/>
    <n v="2.6397467708512048"/>
    <n v="23.965987948028392"/>
    <n v="5.2274644242171195"/>
    <m/>
    <n v="0.14291381160242528"/>
    <n v="0.08"/>
    <n v="105.87371660478263"/>
    <n v="59.139269493134719"/>
    <n v="1.3899683982292999"/>
    <m/>
    <m/>
    <m/>
    <m/>
    <m/>
    <m/>
    <m/>
    <m/>
    <m/>
    <m/>
    <m/>
    <n v="0.2658972468162642"/>
    <m/>
    <m/>
    <m/>
    <m/>
    <m/>
    <m/>
    <m/>
    <m/>
    <m/>
    <m/>
    <m/>
    <n v="1458.1665887879617"/>
    <n v="0.11014554361688096"/>
    <n v="0.26842555347283792"/>
    <n v="817.97238786534524"/>
    <n v="763.18238967331149"/>
    <x v="6"/>
    <n v="4.8813386259591285"/>
    <n v="1.3321822791215501"/>
    <n v="0.1"/>
    <n v="0"/>
    <n v="0.2"/>
    <x v="0"/>
    <n v="0.10818237253826306"/>
    <n v="0.08"/>
    <n v="763.18238967331149"/>
    <n v="0.10818237253826306"/>
    <n v="42.143758296932582"/>
    <n v="192.79220312150454"/>
    <n v="93025.552800087287"/>
    <n v="58.330746999619976"/>
    <n v="387667.581920397"/>
    <x v="1"/>
    <n v="8.4727809769192171E-6"/>
    <n v="2130255.5280008726"/>
    <n v="0.18198172793110959"/>
  </r>
  <r>
    <x v="0"/>
    <n v="1000"/>
    <n v="25"/>
    <x v="8"/>
    <n v="22.381844296659352"/>
    <n v="2.3796792207186894"/>
    <n v="24.192740250144706"/>
    <n v="5.2118880875315634"/>
    <m/>
    <n v="0.14365391695480675"/>
    <n v="0.08"/>
    <n v="105.54351729803335"/>
    <n v="58.954825738683482"/>
    <n v="1.4058979812976835"/>
    <m/>
    <m/>
    <m/>
    <m/>
    <m/>
    <m/>
    <m/>
    <m/>
    <m/>
    <m/>
    <m/>
    <n v="0.26974830573607733"/>
    <m/>
    <m/>
    <m/>
    <m/>
    <m/>
    <m/>
    <m/>
    <m/>
    <m/>
    <m/>
    <m/>
    <n v="1563.5577195173869"/>
    <n v="9.8363360087101157E-2"/>
    <n v="0.2674149258904811"/>
    <n v="916.3029355144306"/>
    <n v="860.60872886854543"/>
    <x v="6"/>
    <n v="4.8813386259591285"/>
    <n v="1.3321822791215501"/>
    <n v="0.1"/>
    <n v="0"/>
    <n v="0.2"/>
    <x v="0"/>
    <n v="0.11078602346638336"/>
    <n v="0.08"/>
    <n v="860.60872886854543"/>
    <n v="0.11078602346638336"/>
    <n v="40.576967675928145"/>
    <n v="191.86417542087028"/>
    <n v="91487.050928789919"/>
    <n v="56.558361829532572"/>
    <n v="390870.10760587256"/>
    <x v="1"/>
    <n v="8.659431856902528E-6"/>
    <n v="2114870.5092878994"/>
    <n v="0.18481987709851933"/>
  </r>
  <r>
    <x v="0"/>
    <n v="1000"/>
    <n v="25"/>
    <x v="9"/>
    <n v="22.681977417846806"/>
    <n v="2.1662086482284648"/>
    <n v="24.380650944893823"/>
    <n v="5.1993370936931607"/>
    <m/>
    <n v="0.1442532726404121"/>
    <n v="0.08"/>
    <n v="105.27761528102877"/>
    <n v="58.806297364062395"/>
    <n v="1.418148575339111"/>
    <m/>
    <m/>
    <m/>
    <m/>
    <m/>
    <m/>
    <m/>
    <m/>
    <m/>
    <m/>
    <m/>
    <n v="0.27275565130395896"/>
    <m/>
    <m/>
    <m/>
    <m/>
    <m/>
    <m/>
    <m/>
    <m/>
    <m/>
    <m/>
    <m/>
    <n v="1667.5375836639187"/>
    <n v="8.8849500086138844E-2"/>
    <n v="0.26654624095445545"/>
    <n v="1014.9041557043663"/>
    <n v="958.46329599436308"/>
    <x v="6"/>
    <n v="4.8813386259591285"/>
    <n v="1.3321822791215501"/>
    <n v="0.1"/>
    <n v="0"/>
    <n v="0.2"/>
    <x v="0"/>
    <n v="0.11307673113267204"/>
    <n v="0.08"/>
    <n v="958.46329599436308"/>
    <n v="0.11307673113267204"/>
    <n v="39.292744170864175"/>
    <n v="191.11975908689874"/>
    <n v="90236.9199526999"/>
    <n v="55.107922086215339"/>
    <n v="393419.58493483235"/>
    <x v="1"/>
    <n v="8.8145375087881169E-6"/>
    <n v="2102369.1995269991"/>
    <n v="0.18713153951425171"/>
  </r>
  <r>
    <x v="0"/>
    <n v="1000"/>
    <n v="25"/>
    <x v="0"/>
    <n v="17.794864330775518"/>
    <n v="5.7206429805352919"/>
    <n v="21.365922385757095"/>
    <n v="5.4278881845566556"/>
    <m/>
    <n v="0.13781111584651332"/>
    <n v="0.08"/>
    <n v="110.15568778764995"/>
    <n v="61.531106257406663"/>
    <n v="1.1626417524130668"/>
    <m/>
    <m/>
    <m/>
    <m/>
    <m/>
    <m/>
    <m/>
    <m/>
    <m/>
    <m/>
    <m/>
    <n v="0.21419780822327869"/>
    <m/>
    <m/>
    <m/>
    <m/>
    <m/>
    <m/>
    <m/>
    <m/>
    <m/>
    <m/>
    <m/>
    <n v="873.0393080983348"/>
    <n v="0.26774612756006144"/>
    <n v="0.2780378366422443"/>
    <n v="335.99840746253375"/>
    <n v="291.71843189180157"/>
    <x v="6"/>
    <n v="4.8813386259591285"/>
    <n v="1.3321822791215501"/>
    <n v="0.1"/>
    <n v="0"/>
    <n v="0.2"/>
    <x v="0"/>
    <n v="8.8206759285715947E-2"/>
    <n v="0.08"/>
    <n v="291.71843189180157"/>
    <n v="8.8206759285715947E-2"/>
    <n v="60.768437193867506"/>
    <n v="205.20518735037254"/>
    <n v="111937.76422584396"/>
    <n v="79.089438535200685"/>
    <n v="338993.48132355657"/>
    <x v="2"/>
    <n v="6.4343887113324376E-6"/>
    <n v="2319377.6422584397"/>
    <n v="0.14615708763729809"/>
  </r>
  <r>
    <x v="0"/>
    <n v="1000"/>
    <n v="25"/>
    <x v="0"/>
    <n v="17.19518916561972"/>
    <n v="5.4542536714760974"/>
    <n v="20.594910229457291"/>
    <n v="5.2350886136580952"/>
    <m/>
    <n v="0.1398793864999564"/>
    <n v="0.08"/>
    <n v="106.27817862924478"/>
    <n v="59.365195147125839"/>
    <n v="1.1216802583904082"/>
    <m/>
    <m/>
    <m/>
    <m/>
    <m/>
    <m/>
    <m/>
    <m/>
    <m/>
    <m/>
    <m/>
    <n v="0.21426194304791674"/>
    <m/>
    <m/>
    <m/>
    <m/>
    <m/>
    <m/>
    <m/>
    <m/>
    <m/>
    <m/>
    <m/>
    <n v="856.54029657912054"/>
    <n v="0.26483503014617538"/>
    <n v="0.27954174862667669"/>
    <n v="338.48793874226061"/>
    <n v="295.70016738391649"/>
    <x v="6"/>
    <n v="4.8813386259591285"/>
    <n v="1.3321822791215501"/>
    <n v="0.1"/>
    <n v="0"/>
    <n v="0.2"/>
    <x v="1"/>
    <n v="8.9332267779728455E-2"/>
    <n v="0.08"/>
    <n v="295.70016738391649"/>
    <n v="8.9332267779728455E-2"/>
    <n v="58.164799524801907"/>
    <n v="193.93443932632158"/>
    <n v="104721.49108094451"/>
    <n v="75.103251913487227"/>
    <n v="386469.36044743308"/>
    <x v="2"/>
    <n v="6.260469458357245E-6"/>
    <n v="2247214.9108094452"/>
    <n v="0.1719770363699781"/>
  </r>
  <r>
    <x v="0"/>
    <n v="1000"/>
    <n v="25"/>
    <x v="0"/>
    <n v="15.020558425017324"/>
    <n v="4.558870605134878"/>
    <n v="17.849479715845312"/>
    <n v="4.5434455133847838"/>
    <m/>
    <n v="0.1475093820448771"/>
    <n v="0.08"/>
    <n v="92.340448227772157"/>
    <n v="51.579814405158835"/>
    <n v="0.97485040583937499"/>
    <m/>
    <m/>
    <m/>
    <m/>
    <m/>
    <m/>
    <m/>
    <m/>
    <m/>
    <m/>
    <m/>
    <n v="0.21456192287714468"/>
    <m/>
    <m/>
    <m/>
    <m/>
    <m/>
    <m/>
    <m/>
    <m/>
    <m/>
    <m/>
    <m/>
    <n v="797.15996297910146"/>
    <n v="0.25540635792806243"/>
    <n v="0.28400299972129506"/>
    <n v="347.11126840294759"/>
    <n v="309.73476005941393"/>
    <x v="6"/>
    <n v="4.8813386259591285"/>
    <n v="1.3321822791215501"/>
    <n v="0.1"/>
    <n v="0"/>
    <n v="0.2"/>
    <x v="2"/>
    <n v="9.345828699544545E-2"/>
    <n v="0.08"/>
    <n v="309.73476005941393"/>
    <n v="9.345828699544545E-2"/>
    <n v="49.262192702487759"/>
    <n v="157.6864254218597"/>
    <n v="81914.117905699255"/>
    <n v="62.107969882360486"/>
    <n v="508840.41936794005"/>
    <x v="2"/>
    <n v="5.6477876468152623E-6"/>
    <n v="2019141.1790569925"/>
    <n v="0.25200834129170985"/>
  </r>
  <r>
    <x v="0"/>
    <n v="1000"/>
    <n v="25"/>
    <x v="0"/>
    <n v="12.99776264548038"/>
    <n v="3.8060680796884636"/>
    <n v="15.352059379027015"/>
    <n v="3.9123331788306763"/>
    <m/>
    <n v="0.15534075558207719"/>
    <n v="0.08"/>
    <n v="79.588041976039833"/>
    <n v="44.456535708687099"/>
    <n v="0.83803523185080397"/>
    <m/>
    <m/>
    <m/>
    <m/>
    <m/>
    <m/>
    <m/>
    <m/>
    <m/>
    <m/>
    <m/>
    <n v="0.21420344166630439"/>
    <m/>
    <m/>
    <m/>
    <m/>
    <m/>
    <m/>
    <m/>
    <m/>
    <m/>
    <m/>
    <m/>
    <n v="741.45303812218003"/>
    <n v="0.24791905670245559"/>
    <n v="0.28742452466604224"/>
    <n v="354.77851912399456"/>
    <n v="322.43542219677835"/>
    <x v="6"/>
    <n v="4.8813386259591285"/>
    <n v="1.3321822791215501"/>
    <n v="0.1"/>
    <n v="0"/>
    <n v="0.2"/>
    <x v="3"/>
    <n v="9.7698322101497495E-2"/>
    <n v="0.08"/>
    <n v="322.43542219677835"/>
    <n v="9.7698322101497495E-2"/>
    <n v="41.589017489611855"/>
    <n v="129.05386782773249"/>
    <n v="64385.711426393966"/>
    <n v="51.451209653228481"/>
    <n v="577632.37118666759"/>
    <x v="2"/>
    <n v="5.0563519060217537E-6"/>
    <n v="1843857.1142639397"/>
    <n v="0.313273933602635"/>
  </r>
  <r>
    <x v="0"/>
    <n v="1000"/>
    <n v="25"/>
    <x v="0"/>
    <n v="11.865310490033075"/>
    <n v="3.4119599435229655"/>
    <n v="13.9727354029365"/>
    <n v="3.5645221730975405"/>
    <m/>
    <n v="0.16027145060565737"/>
    <n v="0.08"/>
    <n v="72.547438131317278"/>
    <n v="40.523773343106384"/>
    <n v="0.76090953994611521"/>
    <m/>
    <m/>
    <m/>
    <m/>
    <m/>
    <m/>
    <m/>
    <m/>
    <m/>
    <m/>
    <m/>
    <n v="0.21346747277627146"/>
    <m/>
    <m/>
    <m/>
    <m/>
    <m/>
    <m/>
    <m/>
    <m/>
    <m/>
    <m/>
    <m/>
    <n v="709.91077246825512"/>
    <n v="0.24418697163662817"/>
    <n v="0.28926469685271894"/>
    <n v="358.98113174842632"/>
    <n v="329.45600249519731"/>
    <x v="6"/>
    <n v="4.8813386259591285"/>
    <n v="1.3321822791215501"/>
    <n v="0.1"/>
    <n v="0"/>
    <n v="0.2"/>
    <x v="4"/>
    <n v="0.10040761407320721"/>
    <n v="0.08"/>
    <n v="329.45600249519731"/>
    <n v="0.10040761407320721"/>
    <n v="37.499776147263894"/>
    <n v="114.66429649798354"/>
    <n v="55790.701578841217"/>
    <n v="45.913679958793523"/>
    <n v="602001.63639250293"/>
    <x v="2"/>
    <n v="4.7088240692469919E-6"/>
    <n v="1757907.0157884122"/>
    <n v="0.34245362865367956"/>
  </r>
  <r>
    <x v="0"/>
    <n v="1000"/>
    <n v="25"/>
    <x v="0"/>
    <n v="10.494564085124386"/>
    <n v="2.9588118038626825"/>
    <n v="12.318918277366549"/>
    <n v="3.1425791516553452"/>
    <m/>
    <n v="0.16636689063938639"/>
    <n v="0.08"/>
    <n v="63.995371090745962"/>
    <n v="35.746733170580171"/>
    <n v="0.66810080052035881"/>
    <m/>
    <m/>
    <m/>
    <m/>
    <m/>
    <m/>
    <m/>
    <m/>
    <m/>
    <m/>
    <m/>
    <n v="0.21259633195505626"/>
    <m/>
    <m/>
    <m/>
    <m/>
    <m/>
    <m/>
    <m/>
    <m/>
    <m/>
    <m/>
    <m/>
    <n v="671.84841959999551"/>
    <n v="0.24018438447626395"/>
    <n v="0.29080708085182561"/>
    <n v="363.91228145345036"/>
    <n v="337.79801933981611"/>
    <x v="6"/>
    <n v="4.8813386259591285"/>
    <n v="1.3321822791215501"/>
    <n v="0.1"/>
    <n v="0"/>
    <n v="0.2"/>
    <x v="5"/>
    <n v="0.10384699936877553"/>
    <n v="0.08"/>
    <n v="337.79801933981611"/>
    <n v="0.10384699936877553"/>
    <n v="32.730796595903449"/>
    <n v="98.289276816651054"/>
    <n v="46381.408539108255"/>
    <n v="39.690039307677772"/>
    <n v="627705.31980386935"/>
    <x v="2"/>
    <n v="4.2519085951247576E-6"/>
    <n v="1663814.0853910826"/>
    <n v="0.37726890601261259"/>
  </r>
  <r>
    <x v="0"/>
    <n v="1000"/>
    <n v="25"/>
    <x v="0"/>
    <n v="8.7022616495218017"/>
    <n v="2.3982486580520157"/>
    <n v="10.177930489240591"/>
    <n v="2.5973969350509907"/>
    <m/>
    <n v="0.17553741928239916"/>
    <n v="0.08"/>
    <n v="52.92896660405944"/>
    <n v="29.565226577199418"/>
    <n v="0.5460229782356163"/>
    <m/>
    <m/>
    <m/>
    <m/>
    <m/>
    <m/>
    <m/>
    <m/>
    <m/>
    <m/>
    <m/>
    <n v="0.21021930489992555"/>
    <m/>
    <m/>
    <m/>
    <m/>
    <m/>
    <m/>
    <m/>
    <m/>
    <m/>
    <m/>
    <m/>
    <n v="621.62960576788782"/>
    <n v="0.23563224965893403"/>
    <n v="0.29273444685122363"/>
    <n v="370.27250553145683"/>
    <n v="348.61811665007968"/>
    <x v="6"/>
    <n v="4.8813386259591285"/>
    <n v="1.3321822791215501"/>
    <n v="0.1"/>
    <n v="0"/>
    <n v="0.2"/>
    <x v="6"/>
    <n v="0.10930875182407368"/>
    <n v="0.08"/>
    <n v="348.61811665007968"/>
    <n v="0.10930875182407368"/>
    <n v="26.734753423703456"/>
    <n v="78.602481151249577"/>
    <n v="35495.794991417999"/>
    <n v="32.015323125863205"/>
    <n v="644783.69009874517"/>
    <x v="2"/>
    <n v="3.6192496979295371E-6"/>
    <n v="1554957.94991418"/>
    <n v="0.41466310399862039"/>
  </r>
  <r>
    <x v="0"/>
    <n v="1000"/>
    <n v="25"/>
    <x v="0"/>
    <n v="7.5645672106423998"/>
    <n v="2.0582548904818969"/>
    <n v="8.8292648166553587"/>
    <n v="2.2465854434122305"/>
    <m/>
    <n v="0.17983727835304272"/>
    <n v="0.08"/>
    <n v="45.799130358558607"/>
    <n v="25.582620500012304"/>
    <n v="0.47662863166019198"/>
    <m/>
    <m/>
    <m/>
    <m/>
    <m/>
    <m/>
    <m/>
    <m/>
    <m/>
    <m/>
    <m/>
    <n v="0.21215691264173051"/>
    <m/>
    <m/>
    <m/>
    <m/>
    <m/>
    <m/>
    <m/>
    <m/>
    <m/>
    <m/>
    <m/>
    <n v="593.65092261814971"/>
    <n v="0.23311735837838318"/>
    <n v="0.29274581520155307"/>
    <n v="374.15994757966308"/>
    <n v="355.33660678805376"/>
    <x v="6"/>
    <n v="4.8813386259591285"/>
    <n v="1.3321822791215501"/>
    <n v="0.1"/>
    <n v="0"/>
    <n v="0.2"/>
    <x v="7"/>
    <n v="0.11240588192421663"/>
    <n v="0.08"/>
    <n v="355.33660678805376"/>
    <n v="0.11240588192421663"/>
    <n v="23.049539360608986"/>
    <n v="66.675210543863543"/>
    <n v="29335.915192370619"/>
    <n v="27.552853764940462"/>
    <n v="647960.56088910333"/>
    <x v="2"/>
    <n v="3.1914532108898887E-6"/>
    <n v="1493359.1519237063"/>
    <n v="0.43389465960309509"/>
  </r>
  <r>
    <x v="0"/>
    <n v="1000"/>
    <n v="25"/>
    <x v="0"/>
    <n v="6.1540961982660214"/>
    <n v="1.6515608975344935"/>
    <n v="7.167200811440722"/>
    <n v="1.8174540589389332"/>
    <m/>
    <n v="0.18640877974915943"/>
    <n v="0.08"/>
    <n v="37.068571489620105"/>
    <n v="20.705877807553467"/>
    <n v="0.38706436363072916"/>
    <m/>
    <m/>
    <m/>
    <m/>
    <m/>
    <m/>
    <m/>
    <m/>
    <m/>
    <m/>
    <m/>
    <n v="0.21297064524244713"/>
    <m/>
    <m/>
    <m/>
    <m/>
    <m/>
    <m/>
    <m/>
    <m/>
    <m/>
    <m/>
    <m/>
    <n v="557.19466889011323"/>
    <n v="0.23043318318891967"/>
    <n v="0.29271935150161277"/>
    <n v="378.97612109791754"/>
    <n v="363.66248707474864"/>
    <x v="6"/>
    <n v="4.8813386259591285"/>
    <n v="1.3321822791215501"/>
    <n v="0.1"/>
    <n v="0"/>
    <n v="0.2"/>
    <x v="8"/>
    <n v="0.1175625041585773"/>
    <n v="0.08"/>
    <n v="363.66248707474864"/>
    <n v="0.1175625041585773"/>
    <n v="18.588958698644806"/>
    <n v="52.755830153923185"/>
    <n v="22409.198939260285"/>
    <n v="22.173835609058557"/>
    <n v="642105.82340566325"/>
    <x v="2"/>
    <n v="2.6334396531382093E-6"/>
    <n v="1424091.9893926028"/>
    <n v="0.45088788378026851"/>
  </r>
  <r>
    <x v="0"/>
    <n v="1000"/>
    <n v="25"/>
    <x v="0"/>
    <n v="4.2317772526666371"/>
    <n v="1.1193770541259855"/>
    <n v="4.9168686760330527"/>
    <n v="1.242173535100016"/>
    <m/>
    <n v="0.19881177029189057"/>
    <n v="0.08"/>
    <n v="25.350459119154426"/>
    <n v="14.160338200072637"/>
    <n v="0.25921771385579806"/>
    <m/>
    <m/>
    <m/>
    <m/>
    <m/>
    <m/>
    <m/>
    <m/>
    <m/>
    <m/>
    <m/>
    <n v="0.20868075718174645"/>
    <m/>
    <m/>
    <m/>
    <m/>
    <m/>
    <m/>
    <m/>
    <m/>
    <m/>
    <m/>
    <m/>
    <n v="504.62563675172311"/>
    <n v="0.22766055550401704"/>
    <n v="0.29279614193631159"/>
    <n v="385.54701839757462"/>
    <n v="375.01677982382404"/>
    <x v="6"/>
    <n v="4.8813386259591285"/>
    <n v="1.3321822791215501"/>
    <n v="0.1"/>
    <n v="0"/>
    <n v="0.2"/>
    <x v="9"/>
    <n v="0.12897367632859616"/>
    <n v="0.08"/>
    <n v="375.01677982382404"/>
    <n v="0.12897367632859616"/>
    <n v="12.669784113409497"/>
    <n v="35.087933366606201"/>
    <n v="14127.33167792086"/>
    <n v="15.073225154762795"/>
    <n v="610521.35769844055"/>
    <x v="2"/>
    <n v="1.8221734065326219E-6"/>
    <n v="1341273.3167792086"/>
    <n v="0.45518042449728424"/>
  </r>
  <r>
    <x v="0"/>
    <n v="1000"/>
    <n v="25"/>
    <x v="0"/>
    <n v="17.789506830372812"/>
    <n v="5.7177119229927813"/>
    <n v="21.358782282718519"/>
    <n v="5.4270421397874182"/>
    <m/>
    <n v="0.13790325282690888"/>
    <n v="0.08"/>
    <n v="110.13862440360232"/>
    <n v="61.521574939341903"/>
    <n v="1.1617707234600578"/>
    <m/>
    <m/>
    <m/>
    <m/>
    <m/>
    <m/>
    <m/>
    <m/>
    <m/>
    <m/>
    <m/>
    <n v="0.2140707025181797"/>
    <m/>
    <m/>
    <m/>
    <m/>
    <m/>
    <m/>
    <m/>
    <m/>
    <m/>
    <m/>
    <m/>
    <n v="872.6590476249811"/>
    <n v="0.26769840374369125"/>
    <n v="0.2781370518004776"/>
    <n v="336.04049976364109"/>
    <n v="291.77368589495239"/>
    <x v="6"/>
    <n v="4.8813386259591285"/>
    <n v="1.3321822791215501"/>
    <n v="0.1"/>
    <n v="0"/>
    <n v="0.2"/>
    <x v="0"/>
    <n v="8.825412858439266E-2"/>
    <n v="0.08"/>
    <n v="291.77368589495239"/>
    <n v="8.825412858439266E-2"/>
    <n v="60.740696312490272"/>
    <n v="205.15426703952215"/>
    <n v="111865.5164629865"/>
    <n v="79.01352930020397"/>
    <n v="338730.47240168805"/>
    <x v="3"/>
    <n v="6.4348791700454811E-6"/>
    <n v="2318655.164629865"/>
    <n v="0.14608919755247898"/>
  </r>
  <r>
    <x v="1"/>
    <n v="1000"/>
    <n v="25"/>
    <x v="0"/>
    <n v="17.659446989422168"/>
    <n v="5.8239160344335792"/>
    <n v="21.285238971825361"/>
    <n v="5.4352730819010491"/>
    <m/>
    <n v="0.13656258960584772"/>
    <n v="0.08"/>
    <n v="110.31462090068054"/>
    <n v="61.619883609371975"/>
    <n v="1.1714585441986234"/>
    <m/>
    <m/>
    <m/>
    <m/>
    <m/>
    <m/>
    <m/>
    <m/>
    <m/>
    <m/>
    <m/>
    <n v="0.21552892127894563"/>
    <m/>
    <m/>
    <m/>
    <m/>
    <m/>
    <m/>
    <m/>
    <m/>
    <m/>
    <m/>
    <m/>
    <n v="870.4032034164718"/>
    <n v="0.27361290339011574"/>
    <n v="0.24739009015440794"/>
    <n v="328.61699925651806"/>
    <n v="284.67393131715983"/>
    <x v="6"/>
    <n v="4.8813386259591285"/>
    <n v="1.3321822791215501"/>
    <n v="0.1"/>
    <n v="0"/>
    <n v="0.2"/>
    <x v="0"/>
    <n v="8.7280860730873794E-2"/>
    <n v="0.08"/>
    <n v="284.67393131715983"/>
    <n v="8.7280860730873794E-2"/>
    <n v="61.405569341915729"/>
    <n v="205.68005627885759"/>
    <n v="112650.1816277786"/>
    <n v="79.853529795703622"/>
    <n v="337245.25707610731"/>
    <x v="3"/>
    <n v="6.3704683618541405E-6"/>
    <n v="2326501.8162777862"/>
    <n v="0.14495808888542899"/>
  </r>
  <r>
    <x v="2"/>
    <n v="1000"/>
    <n v="25"/>
    <x v="0"/>
    <n v="17.463822765615284"/>
    <n v="5.9514564081076697"/>
    <n v="21.156603289173304"/>
    <n v="5.4435502953230781"/>
    <m/>
    <n v="0.13671419603943211"/>
    <n v="0.08"/>
    <n v="110.49472525716072"/>
    <n v="61.720486860266881"/>
    <n v="1.1602204017394291"/>
    <m/>
    <m/>
    <m/>
    <m/>
    <m/>
    <m/>
    <m/>
    <m/>
    <m/>
    <m/>
    <m/>
    <n v="0.21313671019743363"/>
    <m/>
    <m/>
    <m/>
    <m/>
    <m/>
    <m/>
    <m/>
    <m/>
    <m/>
    <m/>
    <m/>
    <n v="856.11311116298259"/>
    <n v="0.28130491113161216"/>
    <n v="0.21683209883004964"/>
    <n v="319.45923661743819"/>
    <n v="276.00291029326826"/>
    <x v="6"/>
    <n v="4.8813386259591285"/>
    <n v="1.3321822791215501"/>
    <n v="0.1"/>
    <n v="0"/>
    <n v="0.2"/>
    <x v="0"/>
    <n v="8.6836563598617952E-2"/>
    <n v="0.08"/>
    <n v="276.00291029326826"/>
    <n v="8.6836563598617952E-2"/>
    <n v="62.153287077138813"/>
    <n v="206.21945871431083"/>
    <n v="113378.11449734864"/>
    <n v="80.60146908736462"/>
    <n v="334109.77328637126"/>
    <x v="3"/>
    <n v="6.2874859586478604E-6"/>
    <n v="2333781.1449734867"/>
    <n v="0.14316242720787212"/>
  </r>
  <r>
    <x v="3"/>
    <n v="1000"/>
    <n v="25"/>
    <x v="0"/>
    <n v="17.209365123624636"/>
    <n v="6.1311356512945627"/>
    <n v="20.997057826581464"/>
    <n v="5.4567726019086598"/>
    <m/>
    <n v="0.13677463871063877"/>
    <n v="0.08"/>
    <n v="110.77972576348265"/>
    <n v="61.879683328375876"/>
    <n v="1.1465766040258663"/>
    <m/>
    <m/>
    <m/>
    <m/>
    <m/>
    <m/>
    <m/>
    <m/>
    <m/>
    <m/>
    <m/>
    <n v="0.21011991660140261"/>
    <m/>
    <m/>
    <m/>
    <m/>
    <m/>
    <m/>
    <m/>
    <m/>
    <m/>
    <m/>
    <m/>
    <n v="838.01163334426622"/>
    <n v="0.29199975072377909"/>
    <n v="0.18614049198001217"/>
    <n v="307.54636489586272"/>
    <n v="264.72333133133316"/>
    <x v="6"/>
    <n v="4.8813386259591285"/>
    <n v="1.3321822791215501"/>
    <n v="0.1"/>
    <n v="0"/>
    <n v="0.2"/>
    <x v="0"/>
    <n v="8.6169883081905208E-2"/>
    <n v="0.08"/>
    <n v="264.72333133133316"/>
    <n v="8.6169883081905208E-2"/>
    <n v="63.228893265485382"/>
    <n v="207.07580769742665"/>
    <n v="114524.91028637619"/>
    <n v="81.774143226391786"/>
    <n v="330347.79586422554"/>
    <x v="3"/>
    <n v="6.1743543831270896E-6"/>
    <n v="2345249.1028637621"/>
    <n v="0.14085829750913917"/>
  </r>
  <r>
    <x v="4"/>
    <n v="1000"/>
    <n v="25"/>
    <x v="0"/>
    <n v="16.84954305628791"/>
    <n v="6.3927627636231596"/>
    <n v="20.775624543302818"/>
    <n v="5.476793409497815"/>
    <m/>
    <n v="0.13730453745350771"/>
    <n v="0.08"/>
    <n v="111.21071031734479"/>
    <n v="62.120424019225283"/>
    <n v="1.1216176694467102"/>
    <m/>
    <m/>
    <m/>
    <m/>
    <m/>
    <m/>
    <m/>
    <m/>
    <m/>
    <m/>
    <m/>
    <n v="0.20479459157645219"/>
    <m/>
    <m/>
    <m/>
    <m/>
    <m/>
    <m/>
    <m/>
    <m/>
    <m/>
    <m/>
    <m/>
    <n v="810.44861284690796"/>
    <n v="0.30770496214439513"/>
    <n v="0.15539192288415349"/>
    <n v="291.567446083736"/>
    <n v="249.6397781235527"/>
    <x v="6"/>
    <n v="4.8813386259591285"/>
    <n v="1.3321822791215501"/>
    <n v="0.1"/>
    <n v="0"/>
    <n v="0.2"/>
    <x v="0"/>
    <n v="8.5401067624246027E-2"/>
    <n v="0.08"/>
    <n v="249.6397781235527"/>
    <n v="8.5401067624246027E-2"/>
    <n v="64.802486488639786"/>
    <n v="208.37734605987134"/>
    <n v="116233.81136431186"/>
    <n v="83.502696021460011"/>
    <n v="325058.56531703396"/>
    <x v="3"/>
    <n v="6.0133920123771754E-6"/>
    <n v="2362338.1136431186"/>
    <n v="0.13760035595232367"/>
  </r>
  <r>
    <x v="5"/>
    <n v="1000"/>
    <n v="25"/>
    <x v="0"/>
    <n v="16.283206773859227"/>
    <n v="6.7802020981859412"/>
    <n v="20.413432990674043"/>
    <n v="5.5042356712293588"/>
    <m/>
    <n v="0.13823342336557959"/>
    <n v="0.08"/>
    <n v="111.80798810518318"/>
    <n v="62.454053301260366"/>
    <n v="1.0855793429362848"/>
    <m/>
    <m/>
    <m/>
    <m/>
    <m/>
    <m/>
    <m/>
    <m/>
    <m/>
    <m/>
    <m/>
    <n v="0.19722617412815521"/>
    <m/>
    <m/>
    <m/>
    <m/>
    <m/>
    <m/>
    <m/>
    <m/>
    <m/>
    <m/>
    <m/>
    <n v="771.79003206573577"/>
    <n v="0.33214413770008716"/>
    <n v="0.12479350044059204"/>
    <n v="269.51879131228594"/>
    <n v="229.0003605975939"/>
    <x v="6"/>
    <n v="4.8813386259591285"/>
    <n v="1.3321822791215501"/>
    <n v="0.1"/>
    <n v="0"/>
    <n v="0.2"/>
    <x v="0"/>
    <n v="8.4359931350748846E-2"/>
    <n v="0.08"/>
    <n v="229.0003605975939"/>
    <n v="8.4359931350748846E-2"/>
    <n v="67.096889163934748"/>
    <n v="210.19427169366995"/>
    <n v="118583.42668363202"/>
    <n v="85.855795395069165"/>
    <n v="315874.38653492811"/>
    <x v="3"/>
    <n v="5.7724421827183355E-6"/>
    <n v="2385834.2668363201"/>
    <n v="0.13239577908895825"/>
  </r>
  <r>
    <x v="6"/>
    <n v="1000"/>
    <n v="25"/>
    <x v="0"/>
    <n v="15.312688608408557"/>
    <n v="7.4082791358147357"/>
    <n v="19.772608861130859"/>
    <n v="5.5455302872451941"/>
    <m/>
    <n v="0.14068065617913836"/>
    <n v="0.08"/>
    <n v="112.72103837363574"/>
    <n v="62.964067756390534"/>
    <n v="1.0227424659243365"/>
    <m/>
    <m/>
    <m/>
    <m/>
    <m/>
    <m/>
    <m/>
    <m/>
    <m/>
    <m/>
    <m/>
    <n v="0.18442645030298727"/>
    <m/>
    <m/>
    <m/>
    <m/>
    <m/>
    <m/>
    <m/>
    <m/>
    <m/>
    <m/>
    <m/>
    <n v="710.90712821128727"/>
    <n v="0.37467383226186129"/>
    <n v="9.4312795392569856E-2"/>
    <n v="237.63933043580511"/>
    <n v="199.53589524911914"/>
    <x v="6"/>
    <n v="4.8813386259591285"/>
    <n v="1.3321822791215501"/>
    <n v="0.1"/>
    <n v="0"/>
    <n v="0.2"/>
    <x v="0"/>
    <n v="8.3106841932222481E-2"/>
    <n v="0.08"/>
    <n v="199.53589524911914"/>
    <n v="8.3106841932222481E-2"/>
    <n v="70.753248874488776"/>
    <n v="213.00196737132575"/>
    <n v="122099.96429212572"/>
    <n v="89.310306554647937"/>
    <n v="298746.41504890588"/>
    <x v="3"/>
    <n v="5.378930271910527E-6"/>
    <n v="2420999.6429212573"/>
    <n v="0.12339795915394217"/>
  </r>
  <r>
    <x v="7"/>
    <n v="1000"/>
    <n v="25"/>
    <x v="0"/>
    <n v="13.453396818822366"/>
    <n v="8.6414123135742251"/>
    <n v="18.561359890867795"/>
    <n v="5.6281189734770685"/>
    <m/>
    <n v="0.14865164007045839"/>
    <n v="0.08"/>
    <n v="114.57330582599329"/>
    <n v="63.998713063565745"/>
    <n v="0.8904959928246603"/>
    <m/>
    <m/>
    <m/>
    <m/>
    <m/>
    <m/>
    <m/>
    <m/>
    <m/>
    <m/>
    <m/>
    <n v="0.158222666759745"/>
    <m/>
    <m/>
    <m/>
    <m/>
    <m/>
    <m/>
    <m/>
    <m/>
    <m/>
    <m/>
    <m/>
    <n v="600.07486817658514"/>
    <n v="0.46555922434464553"/>
    <n v="6.3550464719621641E-2"/>
    <n v="188.3037224325987"/>
    <n v="154.82687176425503"/>
    <x v="6"/>
    <n v="4.8813386259591285"/>
    <n v="1.3321822791215501"/>
    <n v="0.1"/>
    <n v="0"/>
    <n v="0.2"/>
    <x v="0"/>
    <n v="8.1936581322564553E-2"/>
    <n v="0.08"/>
    <n v="154.82687176425503"/>
    <n v="8.1936581322564553E-2"/>
    <n v="77.935877206393542"/>
    <n v="218.81367711650586"/>
    <n v="129157.52720327784"/>
    <n v="96.089088986820542"/>
    <n v="271055.77285728219"/>
    <x v="3"/>
    <n v="4.6239898518018165E-6"/>
    <n v="2491575.2720327787"/>
    <n v="0.10878891595201072"/>
  </r>
  <r>
    <x v="8"/>
    <n v="1000"/>
    <n v="25"/>
    <x v="0"/>
    <n v="9.3371257271394725"/>
    <n v="5.033105955093065"/>
    <n v="12.285645328764685"/>
    <n v="3.5928550707609412"/>
    <m/>
    <n v="0.16227683203579554"/>
    <n v="0.08"/>
    <n v="73.389765810812023"/>
    <n v="40.994283354813263"/>
    <n v="0.66930932884646177"/>
    <m/>
    <m/>
    <m/>
    <m/>
    <m/>
    <m/>
    <m/>
    <m/>
    <m/>
    <m/>
    <m/>
    <n v="0.18628898624199355"/>
    <m/>
    <m/>
    <m/>
    <m/>
    <m/>
    <m/>
    <m/>
    <m/>
    <m/>
    <m/>
    <m/>
    <n v="518.59205629171879"/>
    <n v="0.4096737143558043"/>
    <n v="4.8421937772124217E-2"/>
    <n v="207.17158055341775"/>
    <n v="183.93739186848774"/>
    <x v="6"/>
    <n v="4.8813386259591285"/>
    <n v="1.3321822791215501"/>
    <n v="0.1"/>
    <n v="0"/>
    <n v="0.2"/>
    <x v="0"/>
    <n v="9.0167198977120791E-2"/>
    <n v="0.08"/>
    <n v="183.93739186848774"/>
    <n v="9.0167198977120791E-2"/>
    <n v="46.977734748723741"/>
    <n v="116.33977905730649"/>
    <n v="62866.066162476578"/>
    <n v="56.446870574165573"/>
    <n v="650407.51971329469"/>
    <x v="3"/>
    <n v="3.4439506932254308E-6"/>
    <n v="1828660.6616247657"/>
    <n v="0.35567425567923977"/>
  </r>
  <r>
    <x v="9"/>
    <n v="1000"/>
    <n v="25"/>
    <x v="0"/>
    <n v="3.3833070776866827"/>
    <n v="1.0983741685234425"/>
    <n v="4.0410804302790861"/>
    <n v="1.0565016132751071"/>
    <m/>
    <n v="0.20053557987444856"/>
    <n v="0.08"/>
    <n v="21.587959836885197"/>
    <n v="12.05866966365522"/>
    <n v="0.23770611539111886"/>
    <m/>
    <m/>
    <m/>
    <m/>
    <m/>
    <m/>
    <m/>
    <m/>
    <m/>
    <m/>
    <m/>
    <n v="0.2249936132650481"/>
    <m/>
    <m/>
    <m/>
    <m/>
    <m/>
    <m/>
    <m/>
    <m/>
    <m/>
    <m/>
    <m/>
    <n v="430.41547669349541"/>
    <n v="0.27180210527202653"/>
    <n v="4.2281548976411801E-2"/>
    <n v="319.98147750986664"/>
    <n v="311.56241899793611"/>
    <x v="6"/>
    <n v="4.8813386259591285"/>
    <n v="1.3321822791215501"/>
    <n v="0.1"/>
    <n v="0"/>
    <n v="0.2"/>
    <x v="0"/>
    <n v="0.12668541404373385"/>
    <n v="0.08"/>
    <n v="311.56241899793611"/>
    <n v="0.12668541404373385"/>
    <n v="11.65463236041715"/>
    <n v="29.630917435851412"/>
    <n v="12163.683712710703"/>
    <n v="13.803589896421531"/>
    <n v="828659.06318195025"/>
    <x v="3"/>
    <n v="1.1935754211491288E-6"/>
    <n v="1321636.837127107"/>
    <n v="0.62699452671373668"/>
  </r>
  <r>
    <x v="0"/>
    <n v="100"/>
    <n v="25"/>
    <x v="0"/>
    <n v="3.1068849627033979"/>
    <n v="0.38997252784246622"/>
    <n v="3.5038244230983566"/>
    <n v="4.3003173198683626"/>
    <m/>
    <n v="0.94517981768203951"/>
    <n v="0.36"/>
    <n v="21.654691157146821"/>
    <n v="7.9873860825541554"/>
    <n v="1.2012476090979876"/>
    <m/>
    <m/>
    <m/>
    <m/>
    <m/>
    <m/>
    <m/>
    <m/>
    <m/>
    <m/>
    <m/>
    <n v="0.27933929516037648"/>
    <m/>
    <m/>
    <m/>
    <m/>
    <m/>
    <m/>
    <m/>
    <m/>
    <m/>
    <m/>
    <m/>
    <n v="975.15324907408262"/>
    <n v="0.11129910656242926"/>
    <n v="0.17514008170792805"/>
    <n v="382.26057146710377"/>
    <n v="374.52944452508927"/>
    <x v="7"/>
    <n v="19.525354503836514"/>
    <n v="5.3287291164862003"/>
    <n v="0.4"/>
    <n v="0"/>
    <n v="0.5"/>
    <x v="0"/>
    <n v="0.91533701495142561"/>
    <n v="0.36"/>
    <n v="374.52944452508927"/>
    <n v="0.91533701495142561"/>
    <n v="6.0208238430872969"/>
    <n v="70.625033092502179"/>
    <n v="23918.745551881049"/>
    <n v="10.15624549698809"/>
    <n v="16556.182181707831"/>
    <x v="0"/>
    <n v="1.9289179386333036E-6"/>
    <n v="1439187.4555188105"/>
    <n v="1.1503839974577542E-2"/>
  </r>
  <r>
    <x v="0"/>
    <n v="200"/>
    <n v="25"/>
    <x v="0"/>
    <n v="5.9219560235041291"/>
    <n v="0.59108358542928796"/>
    <n v="6.5113360817597759"/>
    <n v="7.9458790304930318"/>
    <m/>
    <n v="0.99999999932410799"/>
    <n v="0.36"/>
    <n v="40.107630633538655"/>
    <n v="14.793798184501963"/>
    <n v="1.8770038763718544"/>
    <m/>
    <m/>
    <m/>
    <m/>
    <m/>
    <m/>
    <m/>
    <m/>
    <m/>
    <m/>
    <m/>
    <n v="0.23622356559528301"/>
    <m/>
    <m/>
    <m/>
    <m/>
    <m/>
    <m/>
    <m/>
    <m/>
    <m/>
    <m/>
    <m/>
    <n v="1293.9818627339901"/>
    <n v="9.0777618910670585E-2"/>
    <n v="0.19882934790428256"/>
    <n v="370.21588570337718"/>
    <n v="355.47992454806217"/>
    <x v="7"/>
    <n v="19.525354503836514"/>
    <n v="5.3287291164862003"/>
    <n v="0.4"/>
    <n v="0"/>
    <n v="0.5"/>
    <x v="0"/>
    <n v="0.99999999900000003"/>
    <n v="0.36"/>
    <n v="355.47992454806217"/>
    <n v="0.99999999900000003"/>
    <n v="10.063746151706253"/>
    <n v="102.66362268309435"/>
    <n v="37485.674154861423"/>
    <n v="14.871683533306607"/>
    <n v="46886.973554196185"/>
    <x v="0"/>
    <n v="3.4381059355432549E-6"/>
    <n v="1574856.7415486141"/>
    <n v="2.9772215032137155E-2"/>
  </r>
  <r>
    <x v="0"/>
    <n v="300"/>
    <n v="25"/>
    <x v="0"/>
    <n v="8.4196818588875146"/>
    <n v="0.73134572025405409"/>
    <n v="9.1463274413527085"/>
    <n v="11.147441879762898"/>
    <m/>
    <n v="0.99999999928676842"/>
    <n v="0.36"/>
    <n v="56.370645912866337"/>
    <n v="20.792451361303158"/>
    <n v="2.547273662610543"/>
    <m/>
    <m/>
    <m/>
    <m/>
    <m/>
    <m/>
    <m/>
    <m/>
    <m/>
    <m/>
    <m/>
    <n v="0.22850746297541788"/>
    <m/>
    <m/>
    <m/>
    <m/>
    <m/>
    <m/>
    <m/>
    <m/>
    <m/>
    <m/>
    <m/>
    <n v="1613.1113390252087"/>
    <n v="7.9960588000323185E-2"/>
    <n v="0.21275625567165099"/>
    <n v="360.42569074029154"/>
    <n v="339.47450771993613"/>
    <x v="7"/>
    <n v="19.525354503836514"/>
    <n v="5.3287291164862003"/>
    <n v="0.4"/>
    <n v="0"/>
    <n v="0.5"/>
    <x v="0"/>
    <n v="0.99999999900000003"/>
    <n v="0.36"/>
    <n v="339.47450771993613"/>
    <n v="0.99999999900000003"/>
    <n v="13.339492888392089"/>
    <n v="125.47036886035792"/>
    <n v="48297.371932091242"/>
    <n v="18.918720074908581"/>
    <n v="82494.648536931883"/>
    <x v="0"/>
    <n v="4.547286617435334E-6"/>
    <n v="1682973.7193209124"/>
    <n v="4.9017193548464233E-2"/>
  </r>
  <r>
    <x v="0"/>
    <n v="400"/>
    <n v="25"/>
    <x v="0"/>
    <n v="10.647711515455416"/>
    <n v="0.84210919466299128"/>
    <n v="11.483383403943721"/>
    <n v="14.001632088640481"/>
    <m/>
    <n v="0.99999999926132332"/>
    <n v="0.36"/>
    <n v="70.910889372888136"/>
    <n v="26.155655916229232"/>
    <n v="3.1466119311239051"/>
    <m/>
    <m/>
    <m/>
    <m/>
    <m/>
    <m/>
    <m/>
    <m/>
    <m/>
    <m/>
    <m/>
    <n v="0.22473179635085186"/>
    <m/>
    <m/>
    <m/>
    <m/>
    <m/>
    <m/>
    <m/>
    <m/>
    <m/>
    <m/>
    <m/>
    <n v="1898.8475517561503"/>
    <n v="7.3332846691662928E-2"/>
    <n v="0.22199794293116445"/>
    <n v="352.03689108616209"/>
    <n v="325.54158619419889"/>
    <x v="7"/>
    <n v="19.525354503836514"/>
    <n v="5.3287291164862003"/>
    <n v="0.4"/>
    <n v="0"/>
    <n v="0.5"/>
    <x v="0"/>
    <n v="0.99999999900000003"/>
    <n v="0.36"/>
    <n v="325.54158619419889"/>
    <n v="0.99999999900000003"/>
    <n v="16.136640805912954"/>
    <n v="143.52225335652253"/>
    <n v="57372.741337908781"/>
    <n v="22.324663106200656"/>
    <n v="120441.77582721208"/>
    <x v="0"/>
    <n v="5.3916363827250299E-6"/>
    <n v="1773727.4133790878"/>
    <n v="6.7903204809673198E-2"/>
  </r>
  <r>
    <x v="0"/>
    <n v="600"/>
    <n v="25"/>
    <x v="0"/>
    <n v="14.43402335387885"/>
    <n v="1.0106381987692969"/>
    <n v="15.435774023068646"/>
    <n v="18.86309026091833"/>
    <m/>
    <n v="0.99999999922840777"/>
    <n v="0.36"/>
    <n v="95.7693864798742"/>
    <n v="35.324773701592939"/>
    <n v="4.1808511265747086"/>
    <m/>
    <m/>
    <m/>
    <m/>
    <m/>
    <m/>
    <m/>
    <m/>
    <m/>
    <m/>
    <m/>
    <n v="0.22164189794695752"/>
    <m/>
    <m/>
    <m/>
    <m/>
    <m/>
    <m/>
    <m/>
    <m/>
    <m/>
    <m/>
    <m/>
    <n v="2392.8182903077977"/>
    <n v="6.547376226543003E-2"/>
    <n v="0.23397570326447928"/>
    <n v="338.30973407711889"/>
    <n v="302.3927270204436"/>
    <x v="7"/>
    <n v="19.525354503836514"/>
    <n v="5.3287291164862003"/>
    <n v="0.4"/>
    <n v="0"/>
    <n v="0.5"/>
    <x v="0"/>
    <n v="0.99999999900000003"/>
    <n v="0.36"/>
    <n v="302.3927270204436"/>
    <n v="0.99999999900000003"/>
    <n v="20.726835575587575"/>
    <n v="170.75660139074398"/>
    <n v="71853.357362875482"/>
    <n v="27.81602653131533"/>
    <n v="197687.03509061685"/>
    <x v="0"/>
    <n v="6.5770672608886455E-6"/>
    <n v="1918533.5736287548"/>
    <n v="0.10304069619001112"/>
  </r>
  <r>
    <x v="0"/>
    <n v="800"/>
    <n v="25"/>
    <x v="0"/>
    <n v="17.474888635282245"/>
    <n v="1.1331299613450507"/>
    <n v="18.596340684172336"/>
    <n v="22.784805064220137"/>
    <m/>
    <n v="0.99999999920793681"/>
    <n v="0.36"/>
    <n v="115.91823916918415"/>
    <n v="42.756727562403988"/>
    <n v="5.0324728998948984"/>
    <m/>
    <m/>
    <m/>
    <m/>
    <m/>
    <m/>
    <m/>
    <m/>
    <m/>
    <m/>
    <m/>
    <n v="0.22086969301298021"/>
    <m/>
    <m/>
    <m/>
    <m/>
    <m/>
    <m/>
    <m/>
    <m/>
    <m/>
    <m/>
    <m/>
    <n v="2800.4519563250392"/>
    <n v="6.0932953455164272E-2"/>
    <n v="0.24169722118356773"/>
    <n v="327.69925715442889"/>
    <n v="284.21550637759304"/>
    <x v="7"/>
    <n v="19.525354503836514"/>
    <n v="5.3287291164862003"/>
    <n v="0.4"/>
    <n v="0"/>
    <n v="0.5"/>
    <x v="0"/>
    <n v="0.99999999900000003"/>
    <n v="0.36"/>
    <n v="284.21550637759304"/>
    <n v="0.99999999900000003"/>
    <n v="24.313324562588878"/>
    <n v="189.95068528430775"/>
    <n v="82616.617474812796"/>
    <n v="32.004142002719192"/>
    <n v="271086.93423244159"/>
    <x v="0"/>
    <n v="7.3517936319196592E-6"/>
    <n v="2026166.1747481278"/>
    <n v="0.13379304106986206"/>
  </r>
  <r>
    <x v="0"/>
    <n v="1000"/>
    <n v="25"/>
    <x v="0"/>
    <n v="19.899987805277377"/>
    <n v="1.2241659855918021"/>
    <n v="21.108967759366866"/>
    <n v="25.927291544123708"/>
    <m/>
    <n v="0.99999999919405846"/>
    <n v="0.36"/>
    <n v="132.13908445475582"/>
    <n v="48.739826233311575"/>
    <n v="5.7288552636941752"/>
    <m/>
    <m/>
    <m/>
    <m/>
    <m/>
    <m/>
    <m/>
    <m/>
    <m/>
    <m/>
    <m/>
    <n v="0.22095849286627828"/>
    <m/>
    <m/>
    <m/>
    <m/>
    <m/>
    <m/>
    <m/>
    <m/>
    <m/>
    <m/>
    <m/>
    <n v="3134.4088502026611"/>
    <n v="5.7992697679335473E-2"/>
    <n v="0.2472032553137139"/>
    <n v="319.49949129907998"/>
    <n v="269.98121835557305"/>
    <x v="7"/>
    <n v="19.525354503836514"/>
    <n v="5.3287291164862003"/>
    <n v="0.4"/>
    <n v="0"/>
    <n v="0.5"/>
    <x v="0"/>
    <n v="0.99999999900000003"/>
    <n v="0.36"/>
    <n v="269.98121835557305"/>
    <n v="0.99999999900000003"/>
    <n v="27.125480103781456"/>
    <n v="203.54974579644585"/>
    <n v="90551.845100350634"/>
    <n v="35.209038720989824"/>
    <n v="336701.07107498473"/>
    <x v="0"/>
    <n v="7.8839828116570094E-6"/>
    <n v="2105518.4510035063"/>
    <n v="0.15991361695952386"/>
  </r>
  <r>
    <x v="0"/>
    <n v="1300"/>
    <n v="25"/>
    <x v="0"/>
    <n v="22.625208789146608"/>
    <n v="1.3199289454293852"/>
    <n v="23.92393916654596"/>
    <n v="29.478428872250138"/>
    <m/>
    <n v="0.9999999991802152"/>
    <n v="0.36"/>
    <n v="150.57285138135259"/>
    <n v="55.539166493121861"/>
    <n v="6.5338371366610559"/>
    <m/>
    <m/>
    <m/>
    <m/>
    <m/>
    <m/>
    <m/>
    <m/>
    <m/>
    <m/>
    <m/>
    <n v="0.22164807917601603"/>
    <m/>
    <m/>
    <m/>
    <m/>
    <m/>
    <m/>
    <m/>
    <m/>
    <m/>
    <m/>
    <m/>
    <n v="3521.2038510078769"/>
    <n v="5.5171890224294994E-2"/>
    <n v="0.25303558737168508"/>
    <n v="310.58487454607587"/>
    <n v="254.28528267734924"/>
    <x v="7"/>
    <n v="19.525354503836514"/>
    <n v="5.3287291164862003"/>
    <n v="0.4"/>
    <n v="0"/>
    <n v="0.5"/>
    <x v="0"/>
    <n v="0.99999999900000003"/>
    <n v="0.36"/>
    <n v="254.28528267734924"/>
    <n v="0.99999999900000003"/>
    <n v="30.241225599089148"/>
    <n v="216.84475470987942"/>
    <n v="98633.505425437543"/>
    <n v="38.661607163985572"/>
    <n v="417566.20280143101"/>
    <x v="0"/>
    <n v="8.4141302403049937E-6"/>
    <n v="2186335.0542543754"/>
    <n v="0.19098911760523238"/>
  </r>
  <r>
    <x v="0"/>
    <n v="1600"/>
    <n v="25"/>
    <x v="0"/>
    <n v="24.546873832414246"/>
    <n v="1.3833105210877839"/>
    <n v="25.902990976528848"/>
    <n v="31.997594355568381"/>
    <m/>
    <n v="0.99999999917121496"/>
    <n v="0.36"/>
    <n v="163.73594868036616"/>
    <n v="60.394407300135065"/>
    <n v="7.1184895875056604"/>
    <m/>
    <m/>
    <m/>
    <m/>
    <m/>
    <m/>
    <m/>
    <m/>
    <m/>
    <m/>
    <m/>
    <n v="0.22246952406491974"/>
    <m/>
    <m/>
    <m/>
    <m/>
    <m/>
    <m/>
    <m/>
    <m/>
    <m/>
    <m/>
    <m/>
    <n v="3802.6730456327955"/>
    <n v="5.3403505500242254E-2"/>
    <n v="0.25706123499449041"/>
    <n v="304.50962459220909"/>
    <n v="243.42825187996522"/>
    <x v="7"/>
    <n v="19.525354503836514"/>
    <n v="5.3287291164862003"/>
    <n v="0.4"/>
    <n v="0"/>
    <n v="0.5"/>
    <x v="0"/>
    <n v="0.99999999900000003"/>
    <n v="0.36"/>
    <n v="243.42825187996522"/>
    <n v="0.99999999900000003"/>
    <n v="32.41136578181986"/>
    <n v="224.78901046578289"/>
    <n v="103694.26947833301"/>
    <n v="40.995742962501339"/>
    <n v="478729.96537407837"/>
    <x v="0"/>
    <n v="8.7567004418823489E-6"/>
    <n v="2236942.69478333"/>
    <n v="0.21401083116277508"/>
  </r>
  <r>
    <x v="0"/>
    <n v="1900"/>
    <n v="25"/>
    <x v="0"/>
    <n v="25.922751053734338"/>
    <n v="1.4265296549277087"/>
    <n v="27.316669571151451"/>
    <n v="33.810189791119257"/>
    <m/>
    <n v="0.99999999916502502"/>
    <n v="0.36"/>
    <n v="173.26400899208946"/>
    <n v="63.908855775770711"/>
    <n v="7.5471118986904031"/>
    <m/>
    <m/>
    <m/>
    <m/>
    <m/>
    <m/>
    <m/>
    <m/>
    <m/>
    <m/>
    <m/>
    <n v="0.22322003944126817"/>
    <m/>
    <m/>
    <m/>
    <m/>
    <m/>
    <m/>
    <m/>
    <m/>
    <m/>
    <m/>
    <m/>
    <n v="4009.3293618330554"/>
    <n v="5.222194642769469E-2"/>
    <n v="0.25995136403432789"/>
    <n v="300.2784572797583"/>
    <n v="235.77341248785478"/>
    <x v="7"/>
    <n v="19.525354503836514"/>
    <n v="5.3287291164862003"/>
    <n v="0.4"/>
    <n v="0"/>
    <n v="0.5"/>
    <x v="0"/>
    <n v="0.99999999900000003"/>
    <n v="0.36"/>
    <n v="235.77341248785478"/>
    <n v="0.99999999900000003"/>
    <n v="33.951539672168693"/>
    <n v="229.6484644438969"/>
    <n v="106935.99472887492"/>
    <n v="42.613011537407452"/>
    <n v="524338.36399802554"/>
    <x v="0"/>
    <n v="8.9914218917126502E-6"/>
    <n v="2269359.9472887493"/>
    <n v="0.23105121099209638"/>
  </r>
  <r>
    <x v="0"/>
    <n v="1000"/>
    <n v="25"/>
    <x v="1"/>
    <n v="19.890895616211104"/>
    <n v="1.3499026317173846"/>
    <n v="21.174772354789528"/>
    <n v="25.753862655126738"/>
    <m/>
    <n v="0.99999999917671123"/>
    <n v="0.36"/>
    <n v="133.86554712035417"/>
    <n v="49.376636232917519"/>
    <n v="5.5585043284397138"/>
    <m/>
    <m/>
    <m/>
    <m/>
    <m/>
    <m/>
    <m/>
    <m/>
    <m/>
    <m/>
    <m/>
    <n v="0.21583186968395207"/>
    <m/>
    <m/>
    <m/>
    <m/>
    <m/>
    <m/>
    <m/>
    <m/>
    <m/>
    <m/>
    <m/>
    <n v="2851.0956760199197"/>
    <n v="6.3750514484848739E-2"/>
    <n v="0.25286907006616044"/>
    <n v="121.33915147864123"/>
    <n v="71.843511800063183"/>
    <x v="7"/>
    <n v="19.525354503836514"/>
    <n v="5.3287291164862003"/>
    <n v="0.4"/>
    <n v="0"/>
    <n v="0.5"/>
    <x v="0"/>
    <n v="0.99999999900000003"/>
    <n v="0.36"/>
    <n v="71.843511800063183"/>
    <n v="0.99999999900000003"/>
    <n v="27.809461389040433"/>
    <n v="207.83315396630144"/>
    <n v="92755.656073800419"/>
    <n v="35.737015121590971"/>
    <n v="342142.85702948319"/>
    <x v="1"/>
    <n v="7.7893240479578712E-6"/>
    <n v="2127556.5607380043"/>
    <n v="0.16081492889232571"/>
  </r>
  <r>
    <x v="0"/>
    <n v="1000"/>
    <n v="25"/>
    <x v="2"/>
    <n v="19.884200381771059"/>
    <n v="1.2639808168047826"/>
    <n v="21.115761083440578"/>
    <n v="25.91433382677473"/>
    <m/>
    <n v="0.99999999919398619"/>
    <n v="0.36"/>
    <n v="132.53842568223146"/>
    <n v="48.887124227052595"/>
    <n v="5.7303483018425609"/>
    <m/>
    <m/>
    <m/>
    <m/>
    <m/>
    <m/>
    <m/>
    <m/>
    <m/>
    <m/>
    <m/>
    <n v="0.22112659118105349"/>
    <m/>
    <m/>
    <m/>
    <m/>
    <m/>
    <m/>
    <m/>
    <m/>
    <m/>
    <m/>
    <m/>
    <n v="3035.5545792361277"/>
    <n v="5.9859590748828032E-2"/>
    <n v="0.24811652560646211"/>
    <n v="219.859427608988"/>
    <n v="170.38042831484483"/>
    <x v="7"/>
    <n v="19.525354503836514"/>
    <n v="5.3287291164862003"/>
    <n v="0.4"/>
    <n v="0"/>
    <n v="0.5"/>
    <x v="0"/>
    <n v="0.99999999900000003"/>
    <n v="0.36"/>
    <n v="170.38042831484483"/>
    <n v="0.99999999900000003"/>
    <n v="27.328869995516392"/>
    <n v="204.53292857583594"/>
    <n v="91033.746481789945"/>
    <n v="35.295188731015301"/>
    <n v="337617.37950757204"/>
    <x v="1"/>
    <n v="7.858418908500397E-6"/>
    <n v="2110337.4648178993"/>
    <n v="0.15998264975914883"/>
  </r>
  <r>
    <x v="0"/>
    <n v="1000"/>
    <n v="25"/>
    <x v="0"/>
    <n v="19.899988523896418"/>
    <n v="1.2241658072993826"/>
    <n v="21.10896843505968"/>
    <n v="25.927293657879993"/>
    <m/>
    <n v="0.99999999919405802"/>
    <n v="0.36"/>
    <n v="132.13909526620708"/>
    <n v="48.739830221141958"/>
    <n v="5.7288566357214279"/>
    <m/>
    <m/>
    <m/>
    <m/>
    <m/>
    <m/>
    <m/>
    <m/>
    <m/>
    <m/>
    <m/>
    <n v="0.22095852777060965"/>
    <m/>
    <m/>
    <m/>
    <m/>
    <m/>
    <m/>
    <m/>
    <m/>
    <m/>
    <m/>
    <m/>
    <n v="3134.4094652538633"/>
    <n v="5.7992687376716028E-2"/>
    <n v="0.24720329985984973"/>
    <n v="319.49950289830849"/>
    <n v="269.98114739315173"/>
    <x v="7"/>
    <n v="19.525354503836514"/>
    <n v="5.3287291164862003"/>
    <n v="0.4"/>
    <n v="0"/>
    <n v="0.5"/>
    <x v="0"/>
    <n v="0.99999999900000014"/>
    <n v="0.36"/>
    <n v="269.98114739315173"/>
    <n v="0.99999999900000014"/>
    <n v="27.125479857724113"/>
    <n v="203.54977235332629"/>
    <n v="90551.851234629416"/>
    <n v="35.2090306521008"/>
    <n v="336701.10139978665"/>
    <x v="1"/>
    <n v="7.8839827966822055E-6"/>
    <n v="2105518.5123462942"/>
    <n v="0.15991362670308809"/>
  </r>
  <r>
    <x v="0"/>
    <n v="1000"/>
    <n v="25"/>
    <x v="3"/>
    <n v="19.916974054612496"/>
    <n v="1.1927690218091178"/>
    <n v="21.108470538842226"/>
    <n v="25.911338730243301"/>
    <m/>
    <n v="0.9999999991918842"/>
    <n v="0.36"/>
    <n v="131.85761159793202"/>
    <n v="48.63600427792575"/>
    <n v="5.6968086960815008"/>
    <m/>
    <m/>
    <m/>
    <m/>
    <m/>
    <m/>
    <m/>
    <m/>
    <m/>
    <m/>
    <m/>
    <n v="0.2198577524453523"/>
    <m/>
    <m/>
    <m/>
    <m/>
    <m/>
    <m/>
    <m/>
    <m/>
    <m/>
    <m/>
    <m/>
    <n v="3218.1356143320481"/>
    <n v="5.6506653081011889E-2"/>
    <n v="0.24677784519554427"/>
    <n v="419.29188765372965"/>
    <n v="369.73126629129757"/>
    <x v="7"/>
    <n v="19.525354503836514"/>
    <n v="5.3287291164862003"/>
    <n v="0.4"/>
    <n v="0"/>
    <n v="0.5"/>
    <x v="0"/>
    <n v="0.99999999900000003"/>
    <n v="0.36"/>
    <n v="369.73126629129757"/>
    <n v="0.99999999900000003"/>
    <n v="26.969712424808279"/>
    <n v="202.85945966879288"/>
    <n v="90238.064476193307"/>
    <n v="35.185329661275333"/>
    <n v="336236.5415489134"/>
    <x v="1"/>
    <n v="7.9029789257121862E-6"/>
    <n v="2102380.644761933"/>
    <n v="0.15993133421706696"/>
  </r>
  <r>
    <x v="0"/>
    <n v="1000"/>
    <n v="25"/>
    <x v="4"/>
    <n v="19.934134434272661"/>
    <n v="1.1647423548527567"/>
    <n v="21.110155907146755"/>
    <n v="25.88627906857208"/>
    <m/>
    <n v="0.99999999918904314"/>
    <n v="0.36"/>
    <n v="131.61944043620628"/>
    <n v="48.548154259256421"/>
    <n v="5.6553194950135577"/>
    <m/>
    <m/>
    <m/>
    <m/>
    <m/>
    <m/>
    <m/>
    <m/>
    <m/>
    <m/>
    <m/>
    <n v="0.21846784082149326"/>
    <m/>
    <m/>
    <m/>
    <m/>
    <m/>
    <m/>
    <m/>
    <m/>
    <m/>
    <m/>
    <m/>
    <n v="3297.1905473805709"/>
    <n v="5.5174502735834276E-2"/>
    <n v="0.24650841783641689"/>
    <n v="519.13406199580186"/>
    <n v="469.53079987379101"/>
    <x v="7"/>
    <n v="19.525354503836514"/>
    <n v="5.3287291164862003"/>
    <n v="0.4"/>
    <n v="0"/>
    <n v="0.5"/>
    <x v="0"/>
    <n v="0.99999999900000003"/>
    <n v="0.36"/>
    <n v="469.53079987379101"/>
    <n v="0.99999999900000003"/>
    <n v="26.832717983568905"/>
    <n v="202.2771003919778"/>
    <n v="89985.170454391453"/>
    <n v="35.183017787108277"/>
    <n v="335929.66702632309"/>
    <x v="1"/>
    <n v="7.9195165901024499E-6"/>
    <n v="2099851.7045439146"/>
    <n v="0.15997780524186428"/>
  </r>
  <r>
    <x v="0"/>
    <n v="1000"/>
    <n v="25"/>
    <x v="5"/>
    <n v="19.951288491291624"/>
    <n v="1.1386485352687432"/>
    <n v="21.112977375499995"/>
    <n v="25.857953487967194"/>
    <m/>
    <n v="0.99999999918594928"/>
    <n v="0.36"/>
    <n v="131.40558038174788"/>
    <n v="48.469271452284055"/>
    <n v="5.6104826979308875"/>
    <m/>
    <m/>
    <m/>
    <m/>
    <m/>
    <m/>
    <m/>
    <m/>
    <m/>
    <m/>
    <m/>
    <n v="0.21697319165423062"/>
    <m/>
    <m/>
    <m/>
    <m/>
    <m/>
    <m/>
    <m/>
    <m/>
    <m/>
    <m/>
    <m/>
    <n v="3374.5947439027136"/>
    <n v="5.3931215622390533E-2"/>
    <n v="0.24631020263203154"/>
    <n v="618.99934197570656"/>
    <n v="569.35339493726963"/>
    <x v="7"/>
    <n v="19.525354503836514"/>
    <n v="5.3287291164862003"/>
    <n v="0.4"/>
    <n v="0"/>
    <n v="0.5"/>
    <x v="0"/>
    <n v="0.99999999900000003"/>
    <n v="0.36"/>
    <n v="569.35339493726963"/>
    <n v="0.99999999900000003"/>
    <n v="26.706396631355915"/>
    <n v="201.75553118095817"/>
    <n v="89764.960654551789"/>
    <n v="35.190315448641101"/>
    <n v="335704.95469478873"/>
    <x v="1"/>
    <n v="7.9347069162872794E-6"/>
    <n v="2097649.6065455182"/>
    <n v="0.16003862306042582"/>
  </r>
  <r>
    <x v="0"/>
    <n v="1000"/>
    <n v="25"/>
    <x v="6"/>
    <n v="20.00031194438867"/>
    <n v="1.0920268839548735"/>
    <n v="21.138064032990453"/>
    <n v="25.800887181168168"/>
    <m/>
    <n v="0.97163010960886786"/>
    <n v="0.36"/>
    <n v="131.06947921179599"/>
    <n v="48.345299709269014"/>
    <n v="5.8689028069075242"/>
    <m/>
    <m/>
    <m/>
    <m/>
    <m/>
    <m/>
    <m/>
    <m/>
    <m/>
    <m/>
    <m/>
    <n v="0.22746903103359883"/>
    <m/>
    <m/>
    <m/>
    <m/>
    <m/>
    <m/>
    <m/>
    <m/>
    <m/>
    <m/>
    <m/>
    <n v="3603.4982821438775"/>
    <n v="5.1661631938030507E-2"/>
    <n v="0.24635442583219436"/>
    <n v="718.81488681671999"/>
    <n v="669.04687869011684"/>
    <x v="7"/>
    <n v="19.525354503836514"/>
    <n v="5.3287291164862003"/>
    <n v="0.4"/>
    <n v="0"/>
    <n v="0.5"/>
    <x v="0"/>
    <n v="0.96581334624448223"/>
    <n v="0.36"/>
    <n v="669.04687869011684"/>
    <n v="0.96581334624448223"/>
    <n v="26.626423817573709"/>
    <n v="200.9383945826167"/>
    <n v="89786.853471909708"/>
    <n v="35.757064067121902"/>
    <n v="336748.95132349594"/>
    <x v="1"/>
    <n v="7.9504230325830711E-6"/>
    <n v="2097868.534719097"/>
    <n v="0.16051956819524268"/>
  </r>
  <r>
    <x v="0"/>
    <n v="1000"/>
    <n v="25"/>
    <x v="7"/>
    <n v="20.063700019773215"/>
    <n v="1.036257405849526"/>
    <n v="21.173013485778025"/>
    <n v="25.739426145062218"/>
    <m/>
    <n v="0.93653829883638373"/>
    <n v="0.36"/>
    <n v="130.7245214430632"/>
    <n v="48.218061188015106"/>
    <n v="6.2538960863310322"/>
    <m/>
    <m/>
    <m/>
    <m/>
    <m/>
    <m/>
    <m/>
    <m/>
    <m/>
    <m/>
    <m/>
    <n v="0.24296952275024836"/>
    <m/>
    <m/>
    <m/>
    <m/>
    <m/>
    <m/>
    <m/>
    <m/>
    <m/>
    <m/>
    <m/>
    <n v="3895.6060851704156"/>
    <n v="4.894236744077942E-2"/>
    <n v="0.24643355860760752"/>
    <n v="818.58373456465665"/>
    <n v="768.65804200489788"/>
    <x v="7"/>
    <n v="19.525354503836514"/>
    <n v="5.3287291164862003"/>
    <n v="0.4"/>
    <n v="0"/>
    <n v="0.5"/>
    <x v="0"/>
    <n v="0.9251462715712907"/>
    <n v="0.36"/>
    <n v="768.65804200489788"/>
    <n v="0.9251462715712907"/>
    <n v="26.521755904287961"/>
    <n v="200.10295489765033"/>
    <n v="89831.991834200569"/>
    <n v="36.370950334368786"/>
    <n v="338144.609790991"/>
    <x v="1"/>
    <n v="7.9699934359906964E-6"/>
    <n v="2098319.9183420055"/>
    <n v="0.1611501691592277"/>
  </r>
  <r>
    <x v="0"/>
    <n v="1000"/>
    <n v="25"/>
    <x v="8"/>
    <n v="20.121856360193238"/>
    <n v="0.98523658335582698"/>
    <n v="21.204971624323832"/>
    <n v="25.689364416180371"/>
    <m/>
    <n v="0.90952380681810452"/>
    <n v="0.36"/>
    <n v="130.44531956897632"/>
    <n v="48.115076890196185"/>
    <n v="6.5882887216875332"/>
    <m/>
    <m/>
    <m/>
    <m/>
    <m/>
    <m/>
    <m/>
    <m/>
    <m/>
    <m/>
    <m/>
    <n v="0.25645977903361122"/>
    <m/>
    <m/>
    <m/>
    <m/>
    <m/>
    <m/>
    <m/>
    <m/>
    <m/>
    <m/>
    <m/>
    <n v="4162.4265474450021"/>
    <n v="4.646252778879837E-2"/>
    <n v="0.24644803232567172"/>
    <n v="918.35253797602661"/>
    <n v="868.28218660123434"/>
    <x v="7"/>
    <n v="19.525354503836514"/>
    <n v="5.3287291164862003"/>
    <n v="0.4"/>
    <n v="0"/>
    <n v="0.5"/>
    <x v="0"/>
    <n v="0.89497764381418576"/>
    <n v="0.36"/>
    <n v="868.28218660123434"/>
    <n v="0.89497764381418576"/>
    <n v="26.388713206274289"/>
    <n v="199.42914442764055"/>
    <n v="89804.695944554172"/>
    <n v="36.769644553431064"/>
    <n v="339246.98494844011"/>
    <x v="1"/>
    <n v="7.9908631277194789E-6"/>
    <n v="2098046.9594455417"/>
    <n v="0.16169656423614756"/>
  </r>
  <r>
    <x v="0"/>
    <n v="1000"/>
    <n v="25"/>
    <x v="9"/>
    <n v="20.174875746252521"/>
    <n v="0.93838910430999511"/>
    <n v="21.233824749990593"/>
    <n v="25.646388433888827"/>
    <m/>
    <n v="0.88716459988755925"/>
    <n v="0.36"/>
    <n v="130.2075328714746"/>
    <n v="48.02736868210129"/>
    <n v="6.8921024218096356"/>
    <m/>
    <m/>
    <m/>
    <m/>
    <m/>
    <m/>
    <m/>
    <m/>
    <m/>
    <m/>
    <m/>
    <n v="0.26873578865016701"/>
    <m/>
    <m/>
    <m/>
    <m/>
    <m/>
    <m/>
    <m/>
    <m/>
    <m/>
    <m/>
    <m/>
    <n v="4413.9809205373194"/>
    <n v="4.4193126549676873E-2"/>
    <n v="0.24643183765920743"/>
    <n v="1018.1320241009097"/>
    <n v="967.92970963250332"/>
    <x v="7"/>
    <n v="19.525354503836514"/>
    <n v="5.3287291164862003"/>
    <n v="0.4"/>
    <n v="0"/>
    <n v="0.5"/>
    <x v="0"/>
    <n v="0.87069035982752963"/>
    <n v="0.36"/>
    <n v="967.92970963250332"/>
    <n v="0.87069035982752963"/>
    <n v="26.245499090933194"/>
    <n v="198.85694916219563"/>
    <n v="89739.649982232018"/>
    <n v="37.044831471032765"/>
    <n v="340146.72515932331"/>
    <x v="1"/>
    <n v="8.0116043739062594E-6"/>
    <n v="2097396.4998223204"/>
    <n v="0.16217569028466416"/>
  </r>
  <r>
    <x v="0"/>
    <n v="1000"/>
    <n v="25"/>
    <x v="0"/>
    <n v="19.900000301855922"/>
    <n v="1.224165836197425"/>
    <n v="21.10898077032801"/>
    <n v="25.927311036232705"/>
    <m/>
    <n v="0.99999999919405802"/>
    <n v="0.36"/>
    <n v="132.13918239905126"/>
    <n v="48.739862360305793"/>
    <n v="5.7288619646847394"/>
    <m/>
    <m/>
    <m/>
    <m/>
    <m/>
    <m/>
    <m/>
    <m/>
    <m/>
    <m/>
    <m/>
    <n v="0.22095858520302442"/>
    <m/>
    <m/>
    <m/>
    <m/>
    <m/>
    <m/>
    <m/>
    <m/>
    <m/>
    <m/>
    <m/>
    <n v="3134.4121685391256"/>
    <n v="5.7992654857035184E-2"/>
    <n v="0.24720337870554357"/>
    <n v="319.49948092918333"/>
    <n v="269.98118619675637"/>
    <x v="7"/>
    <n v="19.525354503836514"/>
    <n v="5.3287291164862003"/>
    <n v="0.4"/>
    <n v="0"/>
    <n v="0.5"/>
    <x v="0"/>
    <n v="0.99999999900000003"/>
    <n v="0.36"/>
    <n v="269.98118619675637"/>
    <n v="0.99999999900000003"/>
    <n v="27.125491596176623"/>
    <n v="203.54998638359751"/>
    <n v="90551.945749511418"/>
    <n v="35.209033765752999"/>
    <n v="336701.58292995335"/>
    <x v="2"/>
    <n v="7.8839828048702629E-6"/>
    <n v="2105519.4574951143"/>
    <n v="0.15991378361828065"/>
  </r>
  <r>
    <x v="0"/>
    <n v="1000"/>
    <n v="25"/>
    <x v="0"/>
    <n v="19.183814385021108"/>
    <n v="1.1852833496863147"/>
    <n v="20.342688501126378"/>
    <n v="25.041663817733781"/>
    <m/>
    <n v="0.99999999919537885"/>
    <n v="0.36"/>
    <n v="127.67587756567644"/>
    <n v="47.093561397175741"/>
    <n v="5.5747332174742468"/>
    <m/>
    <m/>
    <m/>
    <m/>
    <m/>
    <m/>
    <m/>
    <m/>
    <m/>
    <m/>
    <m/>
    <n v="0.22261832352874181"/>
    <m/>
    <m/>
    <m/>
    <m/>
    <m/>
    <m/>
    <m/>
    <m/>
    <m/>
    <m/>
    <m/>
    <n v="3062.5762400023932"/>
    <n v="5.8265816222899218E-2"/>
    <n v="0.24896524367310263"/>
    <n v="322.94581323082218"/>
    <n v="275.2096312652713"/>
    <x v="7"/>
    <n v="19.525354503836514"/>
    <n v="5.3287291164862003"/>
    <n v="0.4"/>
    <n v="0"/>
    <n v="0.5"/>
    <x v="1"/>
    <n v="0.99999999900000003"/>
    <n v="0.36"/>
    <n v="275.2096312652713"/>
    <n v="0.99999999900000003"/>
    <n v="26.212341086548022"/>
    <n v="192.85776356632539"/>
    <n v="84921.425983485635"/>
    <n v="33.63521293851899"/>
    <n v="381859.07130872447"/>
    <x v="2"/>
    <n v="7.6177870003356762E-6"/>
    <n v="2049214.2598348563"/>
    <n v="0.18634414116340281"/>
  </r>
  <r>
    <x v="0"/>
    <n v="1000"/>
    <n v="25"/>
    <x v="0"/>
    <n v="16.681097916596407"/>
    <n v="1.0534097475422428"/>
    <n v="17.676306567904792"/>
    <n v="21.928322493142641"/>
    <m/>
    <n v="0.99999999920116855"/>
    <n v="0.36"/>
    <n v="111.95035996442201"/>
    <n v="41.293165560647466"/>
    <n v="5.0129726927484981"/>
    <m/>
    <m/>
    <m/>
    <m/>
    <m/>
    <m/>
    <m/>
    <m/>
    <m/>
    <m/>
    <m/>
    <n v="0.2286072130832689"/>
    <m/>
    <m/>
    <m/>
    <m/>
    <m/>
    <m/>
    <m/>
    <m/>
    <m/>
    <m/>
    <m/>
    <n v="2799.4290196278967"/>
    <n v="5.9594448845718656E-2"/>
    <n v="0.25448362892508058"/>
    <n v="334.45119441648922"/>
    <n v="292.94267325364939"/>
    <x v="7"/>
    <n v="19.525354503836514"/>
    <n v="5.3287291164862003"/>
    <n v="0.4"/>
    <n v="0"/>
    <n v="0.5"/>
    <x v="2"/>
    <n v="0.99999999900000003"/>
    <n v="0.36"/>
    <n v="292.94267325364939"/>
    <n v="0.99999999900000003"/>
    <n v="23.042336005338086"/>
    <n v="158.92011226432257"/>
    <n v="67391.990869075409"/>
    <n v="28.481398750583985"/>
    <n v="499437.29483246629"/>
    <x v="2"/>
    <n v="6.7302788280630587E-6"/>
    <n v="1873919.9086907541"/>
    <n v="0.26652008579246411"/>
  </r>
  <r>
    <x v="0"/>
    <n v="1000"/>
    <n v="25"/>
    <x v="0"/>
    <n v="14.417626528265767"/>
    <n v="0.93828613781803016"/>
    <n v="15.27688755278816"/>
    <n v="19.087160580627099"/>
    <m/>
    <n v="0.99999999920828109"/>
    <n v="0.36"/>
    <n v="97.554883275759863"/>
    <n v="35.983358585321263"/>
    <n v="4.4744750790654688"/>
    <m/>
    <m/>
    <m/>
    <m/>
    <m/>
    <m/>
    <m/>
    <m/>
    <m/>
    <m/>
    <m/>
    <n v="0.23442329518655217"/>
    <m/>
    <m/>
    <m/>
    <m/>
    <m/>
    <m/>
    <m/>
    <m/>
    <m/>
    <m/>
    <m/>
    <n v="2545.6469655078945"/>
    <n v="6.1418671478457344E-2"/>
    <n v="0.25877752875587584"/>
    <n v="344.28563176415912"/>
    <n v="308.40942597516045"/>
    <x v="7"/>
    <n v="19.525354503836514"/>
    <n v="5.3287291164862003"/>
    <n v="0.4"/>
    <n v="0"/>
    <n v="0.5"/>
    <x v="3"/>
    <n v="0.99999999899999992"/>
    <n v="0.36"/>
    <n v="308.40942597516045"/>
    <n v="0.99999999899999992"/>
    <n v="20.193568989224556"/>
    <n v="131.86724555257072"/>
    <n v="53896.483615430843"/>
    <n v="24.179936692780952"/>
    <n v="569842.93521850999"/>
    <x v="2"/>
    <n v="5.929440484665896E-6"/>
    <n v="1738964.8361543084"/>
    <n v="0.32769089021875109"/>
  </r>
  <r>
    <x v="0"/>
    <n v="1000"/>
    <n v="25"/>
    <x v="0"/>
    <n v="13.167889502288956"/>
    <n v="0.87582560630525275"/>
    <n v="13.955817512140808"/>
    <n v="17.507901736533004"/>
    <m/>
    <n v="0.99999999921314697"/>
    <n v="0.36"/>
    <n v="89.536216330399924"/>
    <n v="33.025653564491776"/>
    <n v="4.1650046351222603"/>
    <m/>
    <m/>
    <m/>
    <m/>
    <m/>
    <m/>
    <m/>
    <m/>
    <m/>
    <m/>
    <m/>
    <n v="0.23789284962865195"/>
    <m/>
    <m/>
    <m/>
    <m/>
    <m/>
    <m/>
    <m/>
    <m/>
    <m/>
    <m/>
    <m/>
    <n v="2399.2697429284472"/>
    <n v="6.275702627548202E-2"/>
    <n v="0.26092605612357767"/>
    <n v="349.53401857247832"/>
    <n v="316.76742536731814"/>
    <x v="7"/>
    <n v="19.525354503836514"/>
    <n v="5.3287291164862003"/>
    <n v="0.4"/>
    <n v="0"/>
    <n v="0.5"/>
    <x v="4"/>
    <n v="0.99999999900000003"/>
    <n v="0.36"/>
    <n v="316.76742536731814"/>
    <n v="0.99999999900000003"/>
    <n v="18.623384962732334"/>
    <n v="118.08980572708926"/>
    <n v="47231.785874294816"/>
    <n v="21.916276952600754"/>
    <n v="598253.57564069808"/>
    <x v="2"/>
    <n v="5.4764144501897069E-6"/>
    <n v="1672317.8587429482"/>
    <n v="0.35773915378168281"/>
  </r>
  <r>
    <x v="0"/>
    <n v="1000"/>
    <n v="25"/>
    <x v="0"/>
    <n v="11.624942992046796"/>
    <n v="0.80931020436147327"/>
    <n v="12.332341832252007"/>
    <n v="15.49485438239989"/>
    <m/>
    <n v="0.99999999922198479"/>
    <n v="0.36"/>
    <n v="79.299785458708115"/>
    <n v="29.249920865916927"/>
    <n v="3.718539525193739"/>
    <m/>
    <m/>
    <m/>
    <m/>
    <m/>
    <m/>
    <m/>
    <m/>
    <m/>
    <m/>
    <m/>
    <n v="0.23998544506604136"/>
    <m/>
    <m/>
    <m/>
    <m/>
    <m/>
    <m/>
    <m/>
    <m/>
    <m/>
    <m/>
    <m/>
    <n v="2185.767015265159"/>
    <n v="6.5625022025008625E-2"/>
    <n v="0.26079083116800589"/>
    <n v="355.42426495601063"/>
    <n v="326.49725266828955"/>
    <x v="7"/>
    <n v="19.525354503836514"/>
    <n v="5.3287291164862003"/>
    <n v="0.4"/>
    <n v="0"/>
    <n v="0.5"/>
    <x v="5"/>
    <n v="0.99999999900000003"/>
    <n v="0.36"/>
    <n v="326.49725266828955"/>
    <n v="0.99999999900000003"/>
    <n v="16.742580015569256"/>
    <n v="101.60224818862775"/>
    <n v="39679.102509376309"/>
    <n v="19.495247021162459"/>
    <n v="626586.35833337717"/>
    <x v="2"/>
    <n v="4.8969916799983129E-6"/>
    <n v="1596791.0250937631"/>
    <n v="0.39240348203772263"/>
  </r>
  <r>
    <x v="0"/>
    <n v="1000"/>
    <n v="25"/>
    <x v="0"/>
    <n v="9.6166038101976099"/>
    <n v="0.72535207217021824"/>
    <n v="10.224196145358372"/>
    <n v="12.843697134840488"/>
    <m/>
    <n v="0.99999999923682525"/>
    <n v="0.36"/>
    <n v="65.792240087225196"/>
    <n v="24.267629540369949"/>
    <n v="3.1046351784325061"/>
    <m/>
    <m/>
    <m/>
    <m/>
    <m/>
    <m/>
    <m/>
    <m/>
    <m/>
    <m/>
    <m/>
    <n v="0.24172441516163673"/>
    <m/>
    <m/>
    <m/>
    <m/>
    <m/>
    <m/>
    <m/>
    <m/>
    <m/>
    <m/>
    <m/>
    <n v="1891.1756864412096"/>
    <n v="7.0944655389804601E-2"/>
    <n v="0.25842497666245812"/>
    <n v="362.78763788858407"/>
    <n v="338.85809722495725"/>
    <x v="7"/>
    <n v="19.525354503836514"/>
    <n v="5.3287291164862003"/>
    <n v="0.4"/>
    <n v="0"/>
    <n v="0.5"/>
    <x v="6"/>
    <n v="0.99999999900000003"/>
    <n v="0.36"/>
    <n v="338.85809722495725"/>
    <n v="0.99999999900000003"/>
    <n v="14.303993726523833"/>
    <n v="81.425746906633776"/>
    <n v="30862.037701357058"/>
    <n v="16.540772723627128"/>
    <n v="650467.29856522626"/>
    <x v="2"/>
    <n v="4.1134202049964982E-6"/>
    <n v="1508620.3770135706"/>
    <n v="0.43116698440258111"/>
  </r>
  <r>
    <x v="0"/>
    <n v="1000"/>
    <n v="25"/>
    <x v="0"/>
    <n v="8.3326173796911913"/>
    <n v="0.66761146645195402"/>
    <n v="8.8763301863707671"/>
    <n v="11.154180322982361"/>
    <m/>
    <n v="0.99999999924779603"/>
    <n v="0.36"/>
    <n v="57.169302511307663"/>
    <n v="21.087037811547912"/>
    <n v="2.7166094095339659"/>
    <m/>
    <m/>
    <m/>
    <m/>
    <m/>
    <m/>
    <m/>
    <m/>
    <m/>
    <m/>
    <m/>
    <n v="0.24355078821315035"/>
    <m/>
    <m/>
    <m/>
    <m/>
    <m/>
    <m/>
    <m/>
    <m/>
    <m/>
    <m/>
    <m/>
    <n v="1705.104939753393"/>
    <n v="7.5212554336593226E-2"/>
    <n v="0.25666337873967821"/>
    <n v="367.53484108014266"/>
    <n v="346.80023498640963"/>
    <x v="7"/>
    <n v="19.525354503836514"/>
    <n v="5.3287291164862003"/>
    <n v="0.4"/>
    <n v="0"/>
    <n v="0.5"/>
    <x v="7"/>
    <n v="0.99999999900000003"/>
    <n v="0.36"/>
    <n v="346.80023498640963"/>
    <n v="0.99999999900000003"/>
    <n v="12.714936514517589"/>
    <n v="69.335463133231798"/>
    <n v="25754.876060495637"/>
    <n v="14.627366248207728"/>
    <n v="657265.63866103836"/>
    <x v="2"/>
    <n v="3.5950816950027942E-6"/>
    <n v="1457548.7606049564"/>
    <n v="0.45093903986322892"/>
  </r>
  <r>
    <x v="0"/>
    <n v="1000"/>
    <n v="25"/>
    <x v="0"/>
    <n v="6.731980932725472"/>
    <n v="0.58947894892345298"/>
    <n v="7.1947353888555243"/>
    <n v="9.0528340824476636"/>
    <m/>
    <n v="0.99999999926332805"/>
    <n v="0.36"/>
    <n v="46.429544840005946"/>
    <n v="17.125651785248095"/>
    <n v="2.2368456613873251"/>
    <m/>
    <m/>
    <m/>
    <m/>
    <m/>
    <m/>
    <m/>
    <m/>
    <m/>
    <m/>
    <m/>
    <n v="0.24708788883298932"/>
    <m/>
    <m/>
    <m/>
    <m/>
    <m/>
    <m/>
    <m/>
    <m/>
    <m/>
    <m/>
    <m/>
    <n v="1475.1863846479507"/>
    <n v="8.1931984578132222E-2"/>
    <n v="0.25418441608069137"/>
    <n v="373.51536716323164"/>
    <n v="356.76355395428897"/>
    <x v="7"/>
    <n v="19.525354503836514"/>
    <n v="5.3287291164862003"/>
    <n v="0.4"/>
    <n v="0"/>
    <n v="0.5"/>
    <x v="8"/>
    <n v="0.99999999900000003"/>
    <n v="0.36"/>
    <n v="356.76355395428897"/>
    <n v="0.99999999900000003"/>
    <n v="10.686161984600623"/>
    <n v="55.005545565378981"/>
    <n v="19905.120127983217"/>
    <n v="12.200447101951145"/>
    <n v="654076.26970876637"/>
    <x v="2"/>
    <n v="2.9302222735835207E-6"/>
    <n v="1399051.2012798321"/>
    <n v="0.46751417611480317"/>
  </r>
  <r>
    <x v="0"/>
    <n v="1000"/>
    <n v="25"/>
    <x v="0"/>
    <n v="4.5567496805810315"/>
    <n v="0.46714945155312426"/>
    <n v="4.9038587133459179"/>
    <n v="6.1996952177893778"/>
    <m/>
    <n v="0.99999999928784766"/>
    <n v="0.36"/>
    <n v="31.823098915328398"/>
    <n v="11.738028288440802"/>
    <n v="1.5861783855293483"/>
    <m/>
    <m/>
    <m/>
    <m/>
    <m/>
    <m/>
    <m/>
    <m/>
    <m/>
    <m/>
    <m/>
    <n v="0.25584780054638412"/>
    <m/>
    <m/>
    <m/>
    <m/>
    <m/>
    <m/>
    <m/>
    <m/>
    <m/>
    <m/>
    <m/>
    <n v="1163.5409981195139"/>
    <n v="9.5261604964631361E-2"/>
    <n v="0.25024310670336308"/>
    <n v="381.79070848100292"/>
    <n v="370.45180535483979"/>
    <x v="7"/>
    <n v="19.525354503836514"/>
    <n v="5.3287291164862003"/>
    <n v="0.4"/>
    <n v="0"/>
    <n v="0.5"/>
    <x v="9"/>
    <n v="0.99999999900000003"/>
    <n v="0.36"/>
    <n v="370.45180535483979"/>
    <n v="0.99999999900000003"/>
    <n v="7.7978471380621501"/>
    <n v="36.620067070425556"/>
    <n v="12777.164875401426"/>
    <n v="8.7936557249041964"/>
    <n v="623433.27918484563"/>
    <x v="2"/>
    <n v="1.9862460929723719E-6"/>
    <n v="1327771.6487540142"/>
    <n v="0.46953350733906524"/>
  </r>
  <r>
    <x v="0"/>
    <n v="1000"/>
    <n v="25"/>
    <x v="0"/>
    <n v="19.899986378549578"/>
    <n v="1.2241655461346239"/>
    <n v="21.10896606837904"/>
    <n v="25.927291532160577"/>
    <m/>
    <n v="0.99999999919405791"/>
    <n v="0.36"/>
    <n v="132.13908427663318"/>
    <n v="48.739826167610609"/>
    <n v="5.7288567007245632"/>
    <m/>
    <m/>
    <m/>
    <m/>
    <m/>
    <m/>
    <m/>
    <m/>
    <m/>
    <m/>
    <m/>
    <n v="0.22095854839362641"/>
    <m/>
    <m/>
    <m/>
    <m/>
    <m/>
    <m/>
    <m/>
    <m/>
    <m/>
    <m/>
    <m/>
    <n v="3134.4096106002753"/>
    <n v="5.7992681506481181E-2"/>
    <n v="0.2472033257534115"/>
    <n v="319.49952000888504"/>
    <n v="269.98126023799279"/>
    <x v="7"/>
    <n v="19.525354503836514"/>
    <n v="5.3287291164862003"/>
    <n v="0.4"/>
    <n v="0"/>
    <n v="0.5"/>
    <x v="0"/>
    <n v="0.99999999900000003"/>
    <n v="0.36"/>
    <n v="269.98126023799279"/>
    <n v="0.99999999900000003"/>
    <n v="27.125476341805463"/>
    <n v="203.54974535891154"/>
    <n v="90551.83341777185"/>
    <n v="35.209021345948422"/>
    <n v="336701.01214159315"/>
    <x v="3"/>
    <n v="7.8839828205049597E-6"/>
    <n v="2105518.3341777185"/>
    <n v="0.1599135978424463"/>
  </r>
  <r>
    <x v="1"/>
    <n v="1000"/>
    <n v="25"/>
    <x v="0"/>
    <n v="19.898321391804743"/>
    <n v="1.2276358355187704"/>
    <n v="21.10924765140372"/>
    <n v="25.927909140343914"/>
    <m/>
    <n v="0.99999999919420235"/>
    <n v="0.36"/>
    <n v="132.17162959565056"/>
    <n v="48.751830588559628"/>
    <n v="5.7310335829310901"/>
    <m/>
    <m/>
    <m/>
    <m/>
    <m/>
    <m/>
    <m/>
    <m/>
    <m/>
    <m/>
    <m/>
    <n v="0.22103724414914672"/>
    <m/>
    <m/>
    <m/>
    <m/>
    <m/>
    <m/>
    <m/>
    <m/>
    <m/>
    <m/>
    <m/>
    <n v="3125.4689042528894"/>
    <n v="5.8156304563376289E-2"/>
    <n v="0.21978894243138558"/>
    <n v="309.46623077720727"/>
    <n v="259.95211278734354"/>
    <x v="7"/>
    <n v="19.525354503836514"/>
    <n v="5.3287291164862003"/>
    <n v="0.4"/>
    <n v="0"/>
    <n v="0.5"/>
    <x v="0"/>
    <n v="0.99999999900000003"/>
    <n v="0.36"/>
    <n v="259.95211278734354"/>
    <n v="0.99999999900000003"/>
    <n v="27.142909536780294"/>
    <n v="203.62970349904367"/>
    <n v="90589.425151206611"/>
    <n v="35.213633236794237"/>
    <n v="336763.93464139296"/>
    <x v="3"/>
    <n v="7.8818368287784096E-6"/>
    <n v="2105894.251512066"/>
    <n v="0.1599149313407314"/>
  </r>
  <r>
    <x v="2"/>
    <n v="1000"/>
    <n v="25"/>
    <x v="0"/>
    <n v="19.896210835448585"/>
    <n v="1.2322161429614715"/>
    <n v="21.109712086918861"/>
    <n v="25.928300446711066"/>
    <m/>
    <n v="0.99999999919435534"/>
    <n v="0.36"/>
    <n v="132.21520177333306"/>
    <n v="48.767902293442518"/>
    <n v="5.7333930263382733"/>
    <m/>
    <m/>
    <m/>
    <m/>
    <m/>
    <m/>
    <m/>
    <m/>
    <m/>
    <m/>
    <m/>
    <n v="0.22112490705365684"/>
    <m/>
    <m/>
    <m/>
    <m/>
    <m/>
    <m/>
    <m/>
    <m/>
    <m/>
    <m/>
    <m/>
    <n v="3113.7661822681512"/>
    <n v="5.8372001374904767E-2"/>
    <n v="0.19237992042648352"/>
    <n v="296.57854732790702"/>
    <n v="247.06966909900882"/>
    <x v="7"/>
    <n v="19.525354503836514"/>
    <n v="5.3287291164862003"/>
    <n v="0.4"/>
    <n v="0"/>
    <n v="0.5"/>
    <x v="0"/>
    <n v="0.99999999900000003"/>
    <n v="0.36"/>
    <n v="247.06966909900882"/>
    <n v="0.99999999900000003"/>
    <n v="27.166007046916192"/>
    <n v="203.73679948051861"/>
    <n v="90640.217519679281"/>
    <n v="35.220472515297651"/>
    <n v="336851.70280967944"/>
    <x v="3"/>
    <n v="7.8789857950591217E-6"/>
    <n v="2106402.1751967929"/>
    <n v="0.15991803786387976"/>
  </r>
  <r>
    <x v="3"/>
    <n v="1000"/>
    <n v="25"/>
    <x v="0"/>
    <n v="19.893418247453493"/>
    <n v="1.2385636490068865"/>
    <n v="21.11049801478746"/>
    <n v="25.927927661174408"/>
    <m/>
    <n v="0.99999999919449278"/>
    <n v="0.36"/>
    <n v="132.27658451064417"/>
    <n v="48.790543467040877"/>
    <n v="5.7356104470438254"/>
    <m/>
    <m/>
    <m/>
    <m/>
    <m/>
    <m/>
    <m/>
    <m/>
    <m/>
    <m/>
    <m/>
    <n v="0.22121360881581656"/>
    <m/>
    <m/>
    <m/>
    <m/>
    <m/>
    <m/>
    <m/>
    <m/>
    <m/>
    <m/>
    <m/>
    <n v="3097.7228640556036"/>
    <n v="5.867050830062364E-2"/>
    <n v="0.1649804841384987"/>
    <n v="279.41956679704458"/>
    <n v="229.91764053369275"/>
    <x v="7"/>
    <n v="19.525354503836514"/>
    <n v="5.3287291164862003"/>
    <n v="0.4"/>
    <n v="0"/>
    <n v="0.5"/>
    <x v="0"/>
    <n v="0.99999999900000003"/>
    <n v="0.36"/>
    <n v="229.91764053369275"/>
    <n v="0.99999999900000003"/>
    <n v="27.198151455929089"/>
    <n v="203.88776298036944"/>
    <n v="90712.683483361427"/>
    <n v="35.231414151840816"/>
    <n v="336981.22117136017"/>
    <x v="3"/>
    <n v="7.8749950051308289E-6"/>
    <n v="2107126.8348336145"/>
    <n v="0.15992450743857062"/>
  </r>
  <r>
    <x v="4"/>
    <n v="1000"/>
    <n v="25"/>
    <x v="0"/>
    <n v="19.889551272379364"/>
    <n v="1.2480302721829344"/>
    <n v="21.111991580067887"/>
    <n v="25.925178586105602"/>
    <m/>
    <n v="0.99999999919451588"/>
    <n v="0.36"/>
    <n v="132.3704561994011"/>
    <n v="48.825168270270893"/>
    <n v="5.7364147321785808"/>
    <m/>
    <m/>
    <m/>
    <m/>
    <m/>
    <m/>
    <m/>
    <m/>
    <m/>
    <m/>
    <m/>
    <n v="0.22126808936440528"/>
    <m/>
    <m/>
    <m/>
    <m/>
    <m/>
    <m/>
    <m/>
    <m/>
    <m/>
    <m/>
    <m/>
    <n v="3074.1697811319646"/>
    <n v="5.9114757954015877E-2"/>
    <n v="0.13760082395087564"/>
    <n v="255.45470803663167"/>
    <n v="205.96241504267496"/>
    <x v="7"/>
    <n v="19.525354503836514"/>
    <n v="5.3287291164862003"/>
    <n v="0.4"/>
    <n v="0"/>
    <n v="0.5"/>
    <x v="0"/>
    <n v="0.99999999900000003"/>
    <n v="0.36"/>
    <n v="205.96241504267496"/>
    <n v="0.99999999900000003"/>
    <n v="27.246396558847323"/>
    <n v="204.11883529155574"/>
    <n v="90825.654203794678"/>
    <n v="35.251233347265853"/>
    <n v="337192.70663663285"/>
    <x v="3"/>
    <n v="7.8689446679965576E-6"/>
    <n v="2108256.5420379466"/>
    <n v="0.15993912501307145"/>
  </r>
  <r>
    <x v="5"/>
    <n v="1000"/>
    <n v="25"/>
    <x v="0"/>
    <n v="19.884333557029493"/>
    <n v="1.2640736585782655"/>
    <n v="21.115954201487199"/>
    <n v="25.914455484835461"/>
    <m/>
    <n v="0.99999999919398075"/>
    <n v="0.36"/>
    <n v="132.54039014722215"/>
    <n v="48.887848824795057"/>
    <n v="5.7303300236901507"/>
    <m/>
    <m/>
    <m/>
    <m/>
    <m/>
    <m/>
    <m/>
    <m/>
    <m/>
    <m/>
    <m/>
    <n v="0.22112484775315489"/>
    <m/>
    <m/>
    <m/>
    <m/>
    <m/>
    <m/>
    <m/>
    <m/>
    <m/>
    <m/>
    <m/>
    <n v="3035.3700277233124"/>
    <n v="5.9863440056582271E-2"/>
    <n v="0.11027514751288969"/>
    <n v="219.68436220223347"/>
    <n v="170.20501587823762"/>
    <x v="7"/>
    <n v="19.525354503836514"/>
    <n v="5.3287291164862003"/>
    <n v="0.4"/>
    <n v="0"/>
    <n v="0.5"/>
    <x v="0"/>
    <n v="0.99999999899999992"/>
    <n v="0.36"/>
    <n v="170.20501587823762"/>
    <n v="0.99999999899999992"/>
    <n v="27.329510611412619"/>
    <n v="204.5377762925184"/>
    <n v="91036.213795987947"/>
    <n v="35.295749774910057"/>
    <n v="337626.40606368706"/>
    <x v="3"/>
    <n v="7.8583606551972504E-6"/>
    <n v="2110362.1379598794"/>
    <n v="0.15998505658847531"/>
  </r>
  <r>
    <x v="6"/>
    <n v="1000"/>
    <n v="25"/>
    <x v="0"/>
    <n v="19.882358685442373"/>
    <n v="1.3011927174357665"/>
    <n v="21.135926076560029"/>
    <n v="25.863807193533862"/>
    <m/>
    <n v="0.99999999918951299"/>
    <n v="0.36"/>
    <n v="133.02216060948871"/>
    <n v="49.065551044483549"/>
    <n v="5.6799629939093492"/>
    <m/>
    <m/>
    <m/>
    <m/>
    <m/>
    <m/>
    <m/>
    <m/>
    <m/>
    <m/>
    <m/>
    <n v="0.21961047541869166"/>
    <m/>
    <m/>
    <m/>
    <m/>
    <m/>
    <m/>
    <m/>
    <m/>
    <m/>
    <m/>
    <m/>
    <n v="2951.5484003910078"/>
    <n v="6.1563080449964447E-2"/>
    <n v="8.3204162777498439E-2"/>
    <n v="161.04129863536929"/>
    <n v="111.56690343633269"/>
    <x v="7"/>
    <n v="19.525354503836514"/>
    <n v="5.3287291164862003"/>
    <n v="0.4"/>
    <n v="0"/>
    <n v="0.5"/>
    <x v="0"/>
    <n v="0.99999999899999992"/>
    <n v="0.36"/>
    <n v="111.56690343633269"/>
    <n v="0.99999999899999992"/>
    <n v="27.53195963419995"/>
    <n v="205.72997106358676"/>
    <n v="91659.702534885917"/>
    <n v="35.458441896321716"/>
    <n v="339180.05141981546"/>
    <x v="3"/>
    <n v="7.8317040369965128E-6"/>
    <n v="2116597.0253488589"/>
    <n v="0.16024781635697119"/>
  </r>
  <r>
    <x v="7"/>
    <n v="1000"/>
    <n v="25"/>
    <x v="0"/>
    <n v="20.855055212202167"/>
    <n v="1.7381340917006562"/>
    <n v="22.460420755068267"/>
    <n v="25.995016232573839"/>
    <m/>
    <n v="0.99999999903415493"/>
    <n v="0.36"/>
    <n v="150.85143393286796"/>
    <n v="55.641922352287366"/>
    <n v="4.7718117708666554"/>
    <m/>
    <m/>
    <m/>
    <m/>
    <m/>
    <m/>
    <m/>
    <m/>
    <m/>
    <m/>
    <m/>
    <n v="0.18356640858285722"/>
    <m/>
    <m/>
    <m/>
    <m/>
    <m/>
    <m/>
    <m/>
    <m/>
    <m/>
    <m/>
    <m/>
    <n v="2409.16437786295"/>
    <n v="7.7386532988632489E-2"/>
    <n v="6.4199684831631035E-2"/>
    <n v="75.153308510839736"/>
    <n v="23.25849242962466"/>
    <x v="7"/>
    <n v="19.525354503836514"/>
    <n v="5.3287291164862003"/>
    <n v="0.4"/>
    <n v="0"/>
    <n v="0.5"/>
    <x v="0"/>
    <n v="0.99999999900000003"/>
    <n v="0.36"/>
    <n v="23.25849242962466"/>
    <n v="0.99999999900000003"/>
    <n v="30.915988926468916"/>
    <n v="255.29501617213631"/>
    <n v="116045.17273691579"/>
    <n v="39.224382634171562"/>
    <n v="428162.78139297431"/>
    <x v="3"/>
    <n v="7.2069921996452841E-6"/>
    <n v="2360451.7273691576"/>
    <n v="0.18139018749185915"/>
  </r>
  <r>
    <x v="8"/>
    <n v="1000"/>
    <n v="25"/>
    <x v="0"/>
    <n v="14.129910907005984"/>
    <n v="1.0849191885266376"/>
    <n v="15.06963088394183"/>
    <n v="18.527809458721592"/>
    <m/>
    <n v="0.99999999916145932"/>
    <n v="0.36"/>
    <n v="98.945726952979001"/>
    <n v="36.496374695770946"/>
    <n v="4.1992683606152141"/>
    <m/>
    <m/>
    <m/>
    <m/>
    <m/>
    <m/>
    <m/>
    <m/>
    <m/>
    <m/>
    <m/>
    <n v="0.22664678034231905"/>
    <m/>
    <m/>
    <m/>
    <m/>
    <m/>
    <m/>
    <m/>
    <m/>
    <m/>
    <m/>
    <m/>
    <n v="2153.7567947972352"/>
    <n v="7.1993746687102039E-2"/>
    <n v="4.5475165189849974E-2"/>
    <n v="89.282911936298603"/>
    <n v="54.1226144896278"/>
    <x v="7"/>
    <n v="19.525354503836514"/>
    <n v="5.3287291164862003"/>
    <n v="0.4"/>
    <n v="0"/>
    <n v="0.5"/>
    <x v="0"/>
    <n v="0.99999999900000003"/>
    <n v="0.36"/>
    <n v="54.1226144896278"/>
    <n v="0.99999999900000003"/>
    <n v="20.775724340747335"/>
    <n v="134.34341647414269"/>
    <n v="55097.969383269061"/>
    <n v="24.560736594868423"/>
    <n v="640554.8773714914"/>
    <x v="3"/>
    <n v="5.5833097894971256E-6"/>
    <n v="1750979.6938326906"/>
    <n v="0.36582655962696597"/>
  </r>
  <r>
    <x v="9"/>
    <n v="1000"/>
    <n v="25"/>
    <x v="0"/>
    <n v="4.4297696790273546"/>
    <n v="0.4987687687363952"/>
    <n v="4.7911429647936847"/>
    <n v="6.073221711640941"/>
    <m/>
    <n v="0.99999999929886763"/>
    <n v="0.36"/>
    <n v="31.26176646019017"/>
    <n v="11.530979432037357"/>
    <n v="1.5874575832836184"/>
    <m/>
    <m/>
    <m/>
    <m/>
    <m/>
    <m/>
    <m/>
    <m/>
    <m/>
    <m/>
    <m/>
    <n v="0.26138640389841766"/>
    <m/>
    <m/>
    <m/>
    <m/>
    <m/>
    <m/>
    <m/>
    <m/>
    <m/>
    <m/>
    <m/>
    <n v="1059.1446146530864"/>
    <n v="0.10410225125851011"/>
    <n v="3.5850789378304285E-2"/>
    <n v="276.43871290298267"/>
    <n v="265.41582301127733"/>
    <x v="7"/>
    <n v="19.525354503836514"/>
    <n v="5.3287291164862003"/>
    <n v="0.4"/>
    <n v="0"/>
    <n v="0.5"/>
    <x v="0"/>
    <n v="0.99999999900000003"/>
    <n v="0.36"/>
    <n v="265.41582301127733"/>
    <n v="0.99999999900000003"/>
    <n v="7.889641877678609"/>
    <n v="35.936012836728615"/>
    <n v="12609.838918296909"/>
    <n v="8.8595477225242227"/>
    <n v="896586.68054352573"/>
    <x v="3"/>
    <n v="1.6047372594867797E-6"/>
    <n v="1326098.389182969"/>
    <n v="0.676108717013017"/>
  </r>
  <r>
    <x v="0"/>
    <n v="100"/>
    <n v="25"/>
    <x v="0"/>
    <n v="3.1671479173373958"/>
    <n v="0.7574699352233446"/>
    <n v="3.7627507365709203"/>
    <n v="1.8703186309514674"/>
    <m/>
    <n v="0.30365981538808962"/>
    <n v="0.18"/>
    <n v="18.818080642042073"/>
    <n v="9.3699986599379628"/>
    <n v="0.62209181585759143"/>
    <m/>
    <m/>
    <m/>
    <m/>
    <m/>
    <m/>
    <m/>
    <m/>
    <m/>
    <m/>
    <m/>
    <n v="0.33261274606515639"/>
    <m/>
    <m/>
    <m/>
    <m/>
    <m/>
    <m/>
    <m/>
    <m/>
    <m/>
    <m/>
    <m/>
    <n v="687.39062387586739"/>
    <n v="0.20130749769346776"/>
    <n v="0.20077909435785368"/>
    <n v="384.22570871999"/>
    <n v="376.34471594707179"/>
    <x v="8"/>
    <n v="9.762677251918257"/>
    <n v="2.6643645582431001"/>
    <n v="0.2"/>
    <n v="0"/>
    <n v="0.3"/>
    <x v="0"/>
    <n v="0.19718335243784132"/>
    <n v="0.18"/>
    <n v="376.34471594707179"/>
    <n v="0.19718335243784132"/>
    <n v="8.98885039070624"/>
    <n v="69.931446239377877"/>
    <n v="25544.583176270626"/>
    <n v="16.815694409363005"/>
    <n v="17838.355435836682"/>
    <x v="0"/>
    <n v="1.9440692698086013E-6"/>
    <n v="1455445.8317627062"/>
    <n v="1.2256282608767691E-2"/>
  </r>
  <r>
    <x v="0"/>
    <n v="200"/>
    <n v="25"/>
    <x v="0"/>
    <n v="5.8602348644383957"/>
    <n v="1.356754775547524"/>
    <n v="6.8586271407311905"/>
    <n v="3.456661303490586"/>
    <m/>
    <n v="0.30174177321214357"/>
    <n v="0.18"/>
    <n v="34.847835594722277"/>
    <n v="17.351619383264207"/>
    <n v="0.97431370047403387"/>
    <m/>
    <m/>
    <m/>
    <m/>
    <m/>
    <m/>
    <m/>
    <m/>
    <m/>
    <m/>
    <m/>
    <n v="0.2818655387179988"/>
    <m/>
    <m/>
    <m/>
    <m/>
    <m/>
    <m/>
    <m/>
    <m/>
    <m/>
    <m/>
    <m/>
    <n v="846.5256118951429"/>
    <n v="0.19781725230260613"/>
    <n v="0.22497076084760562"/>
    <n v="373.95112661592458"/>
    <n v="359.36876165812606"/>
    <x v="8"/>
    <n v="9.762677251918257"/>
    <n v="2.6643645582431001"/>
    <n v="0.2"/>
    <n v="0"/>
    <n v="0.3"/>
    <x v="0"/>
    <n v="0.20600668165802841"/>
    <n v="0.18"/>
    <n v="359.36876165812606"/>
    <n v="0.20600668165802841"/>
    <n v="16.155877255580037"/>
    <n v="101.8900696422282"/>
    <n v="41061.241519908705"/>
    <n v="26.115885765385034"/>
    <n v="49704.496986929749"/>
    <x v="0"/>
    <n v="3.3156176448422503E-6"/>
    <n v="1610612.415199087"/>
    <n v="3.0860619549356819E-2"/>
  </r>
  <r>
    <x v="0"/>
    <n v="300"/>
    <n v="25"/>
    <x v="0"/>
    <n v="8.1736954362529115"/>
    <n v="1.8821976657818138"/>
    <n v="9.5108584047560853"/>
    <n v="4.8535476213593602"/>
    <m/>
    <n v="0.30172660520826755"/>
    <n v="0.18"/>
    <n v="49.002892369378529"/>
    <n v="24.399780432885574"/>
    <n v="1.2299667946805171"/>
    <m/>
    <m/>
    <m/>
    <m/>
    <m/>
    <m/>
    <m/>
    <m/>
    <m/>
    <m/>
    <m/>
    <n v="0.25341603516316863"/>
    <m/>
    <m/>
    <m/>
    <m/>
    <m/>
    <m/>
    <m/>
    <m/>
    <m/>
    <m/>
    <m/>
    <n v="960.35191330611019"/>
    <n v="0.1978998725120947"/>
    <n v="0.23835295863510592"/>
    <n v="365.70759816425857"/>
    <n v="345.36851596585194"/>
    <x v="8"/>
    <n v="9.762677251918257"/>
    <n v="2.6643645582431001"/>
    <n v="0.2"/>
    <n v="0"/>
    <n v="0.3"/>
    <x v="0"/>
    <n v="0.21194438453444547"/>
    <n v="0.18"/>
    <n v="345.36851596585194"/>
    <n v="0.21194438453444547"/>
    <n v="22.33886698145675"/>
    <n v="124.88262872339907"/>
    <n v="53573.976072290039"/>
    <n v="33.543025521508014"/>
    <n v="86164.221162099231"/>
    <x v="0"/>
    <n v="4.2642777815119024E-6"/>
    <n v="1735739.7607229003"/>
    <n v="4.9641209536050258E-2"/>
  </r>
  <r>
    <x v="0"/>
    <n v="400"/>
    <n v="25"/>
    <x v="0"/>
    <n v="10.189220956610253"/>
    <n v="2.3558056085289336"/>
    <n v="11.824752133959279"/>
    <n v="6.1023755517967766"/>
    <m/>
    <n v="0.30220321366088138"/>
    <n v="0.18"/>
    <n v="61.685793240063894"/>
    <n v="30.714917795882442"/>
    <n v="1.4313494386900443"/>
    <m/>
    <m/>
    <m/>
    <m/>
    <m/>
    <m/>
    <m/>
    <m/>
    <m/>
    <m/>
    <m/>
    <n v="0.23455610467444918"/>
    <m/>
    <m/>
    <m/>
    <m/>
    <m/>
    <m/>
    <m/>
    <m/>
    <m/>
    <m/>
    <m/>
    <n v="1049.1090272089857"/>
    <n v="0.19922663763609391"/>
    <n v="0.24724350545197582"/>
    <n v="358.78872151572295"/>
    <n v="333.43430786396419"/>
    <x v="8"/>
    <n v="9.762677251918257"/>
    <n v="2.6643645582431001"/>
    <n v="0.2"/>
    <n v="0"/>
    <n v="0.3"/>
    <x v="0"/>
    <n v="0.21622528378258996"/>
    <n v="0.18"/>
    <n v="333.43430786396419"/>
    <n v="0.21622528378258996"/>
    <n v="27.808844398741286"/>
    <n v="143.18600556787291"/>
    <n v="64259.774665982892"/>
    <n v="39.865343665951535"/>
    <n v="124336.16636135289"/>
    <x v="0"/>
    <n v="4.950756385478614E-6"/>
    <n v="1842597.7466598288"/>
    <n v="6.7478735707097989E-2"/>
  </r>
  <r>
    <x v="0"/>
    <n v="600"/>
    <n v="25"/>
    <x v="0"/>
    <n v="13.518733239012173"/>
    <n v="3.1799627461387434"/>
    <n v="15.661938619445348"/>
    <n v="8.2422969767222707"/>
    <m/>
    <n v="0.30400863539487538"/>
    <n v="0.18"/>
    <n v="83.478473601069339"/>
    <n v="41.566044946590537"/>
    <n v="1.7318748535662669"/>
    <m/>
    <m/>
    <m/>
    <m/>
    <m/>
    <m/>
    <m/>
    <m/>
    <m/>
    <m/>
    <m/>
    <n v="0.21012041406144344"/>
    <m/>
    <m/>
    <m/>
    <m/>
    <m/>
    <m/>
    <m/>
    <m/>
    <m/>
    <m/>
    <m/>
    <n v="1180.0827249738429"/>
    <n v="0.20303762027202726"/>
    <n v="0.25890393214703106"/>
    <n v="347.78475117428923"/>
    <n v="314.1452981907097"/>
    <x v="8"/>
    <n v="9.762677251918257"/>
    <n v="2.6643645582431001"/>
    <n v="0.2"/>
    <n v="0"/>
    <n v="0.3"/>
    <x v="0"/>
    <n v="0.22241771229217056"/>
    <n v="0.18"/>
    <n v="314.1452981907097"/>
    <n v="0.22241771229217056"/>
    <n v="37.085329520377591"/>
    <n v="171.11971643986766"/>
    <n v="81674.12001812947"/>
    <n v="50.169886505653629"/>
    <n v="200326.56206546587"/>
    <x v="0"/>
    <n v="5.8554069382359515E-6"/>
    <n v="2016741.2001812947"/>
    <n v="9.9331814140286093E-2"/>
  </r>
  <r>
    <x v="0"/>
    <n v="800"/>
    <n v="25"/>
    <x v="0"/>
    <n v="16.117111599761031"/>
    <n v="3.8653795771605961"/>
    <n v="18.673443748340638"/>
    <n v="9.9905740797955431"/>
    <m/>
    <n v="0.30649513902205833"/>
    <n v="0.18"/>
    <n v="101.34171808972123"/>
    <n v="50.460606517703518"/>
    <n v="1.9423508485832031"/>
    <m/>
    <m/>
    <m/>
    <m/>
    <m/>
    <m/>
    <m/>
    <m/>
    <m/>
    <m/>
    <m/>
    <n v="0.19441834203615185"/>
    <m/>
    <m/>
    <m/>
    <m/>
    <m/>
    <m/>
    <m/>
    <m/>
    <m/>
    <m/>
    <m/>
    <n v="1270.5858723812523"/>
    <n v="0.20699875337692233"/>
    <n v="0.26646710161643"/>
    <n v="339.51556682985563"/>
    <n v="299.41044808965029"/>
    <x v="8"/>
    <n v="9.762677251918257"/>
    <n v="2.6643645582431001"/>
    <n v="0.2"/>
    <n v="0"/>
    <n v="0.3"/>
    <x v="0"/>
    <n v="0.2270807642988539"/>
    <n v="0.18"/>
    <n v="299.41044808965029"/>
    <n v="0.2270807642988539"/>
    <n v="44.571951485058499"/>
    <n v="191.30150733443472"/>
    <n v="95046.380743026981"/>
    <n v="58.155436665288377"/>
    <n v="271085.69816414098"/>
    <x v="0"/>
    <n v="6.4034598523281476E-6"/>
    <n v="2150463.8074302697"/>
    <n v="0.12605917720051241"/>
  </r>
  <r>
    <x v="0"/>
    <n v="1000"/>
    <n v="25"/>
    <x v="0"/>
    <n v="18.159157159387401"/>
    <n v="4.4283566960590219"/>
    <n v="21.049946628580706"/>
    <n v="11.417454696133248"/>
    <m/>
    <n v="0.30639223243649727"/>
    <n v="0.18"/>
    <n v="115.96542610427396"/>
    <n v="57.742120881796168"/>
    <n v="2.1275861537286112"/>
    <m/>
    <m/>
    <m/>
    <m/>
    <m/>
    <m/>
    <m/>
    <m/>
    <m/>
    <m/>
    <m/>
    <n v="0.18634504890561651"/>
    <m/>
    <m/>
    <m/>
    <m/>
    <m/>
    <m/>
    <m/>
    <m/>
    <m/>
    <m/>
    <m/>
    <n v="1351.8160380082952"/>
    <n v="0.21037377311191807"/>
    <n v="0.27188205323744069"/>
    <n v="333.20943054844224"/>
    <n v="288.0229611439903"/>
    <x v="8"/>
    <n v="9.762677251918257"/>
    <n v="2.6643645582431001"/>
    <n v="0.2"/>
    <n v="0"/>
    <n v="0.3"/>
    <x v="0"/>
    <n v="0.22935880967375258"/>
    <n v="0.18"/>
    <n v="288.0229611439903"/>
    <n v="0.22935880967375258"/>
    <n v="50.615546567088359"/>
    <n v="206.12284298032469"/>
    <n v="105399.75912622274"/>
    <n v="64.52160548519349"/>
    <n v="334121.6724005671"/>
    <x v="0"/>
    <n v="6.7561066852801621E-6"/>
    <n v="2253997.5912622274"/>
    <n v="0.1482351506034488"/>
  </r>
  <r>
    <x v="0"/>
    <n v="1300"/>
    <n v="25"/>
    <x v="0"/>
    <n v="20.418088681599318"/>
    <n v="5.0828592796737677"/>
    <n v="23.691465011800204"/>
    <n v="13.077484548624621"/>
    <m/>
    <n v="0.3109692963519361"/>
    <n v="0.18"/>
    <n v="133.0371639522578"/>
    <n v="66.242571262535009"/>
    <n v="2.2825903638462162"/>
    <m/>
    <m/>
    <m/>
    <m/>
    <m/>
    <m/>
    <m/>
    <m/>
    <m/>
    <m/>
    <m/>
    <n v="0.17454353360993111"/>
    <m/>
    <m/>
    <m/>
    <m/>
    <m/>
    <m/>
    <m/>
    <m/>
    <m/>
    <m/>
    <m/>
    <n v="1416.9357074074294"/>
    <n v="0.21454389912747507"/>
    <n v="0.27760111334669246"/>
    <n v="326.44810233127765"/>
    <n v="275.64052548432096"/>
    <x v="8"/>
    <n v="9.762677251918257"/>
    <n v="2.6643645582431001"/>
    <n v="0.2"/>
    <n v="0"/>
    <n v="0.3"/>
    <x v="0"/>
    <n v="0.23444179580208241"/>
    <n v="0.18"/>
    <n v="275.64052548432096"/>
    <n v="0.23444179580208241"/>
    <n v="57.451511951670824"/>
    <n v="221.46774942058985"/>
    <n v="116406.43706092998"/>
    <n v="71.310926725011086"/>
    <n v="411348.5083220299"/>
    <x v="0"/>
    <n v="7.0876097815653381E-6"/>
    <n v="2364064.3706092997"/>
    <n v="0.17400055321505961"/>
  </r>
  <r>
    <x v="0"/>
    <n v="1600"/>
    <n v="25"/>
    <x v="0"/>
    <n v="22.005916026081149"/>
    <n v="5.5635298634337289"/>
    <n v="25.556127311205636"/>
    <n v="14.308340003249203"/>
    <m/>
    <n v="0.31750425321708525"/>
    <n v="0.18"/>
    <n v="145.74203364777324"/>
    <n v="72.56864745947216"/>
    <n v="2.3535694957738542"/>
    <m/>
    <m/>
    <m/>
    <m/>
    <m/>
    <m/>
    <m/>
    <m/>
    <m/>
    <m/>
    <m/>
    <n v="0.16448934643986618"/>
    <m/>
    <m/>
    <m/>
    <m/>
    <m/>
    <m/>
    <m/>
    <m/>
    <m/>
    <m/>
    <m/>
    <n v="1443.8752624569227"/>
    <n v="0.21769847190400712"/>
    <n v="0.28158243854650405"/>
    <n v="321.84911765210524"/>
    <n v="267.09051456999748"/>
    <x v="8"/>
    <n v="9.762677251918257"/>
    <n v="2.6643645582431001"/>
    <n v="0.2"/>
    <n v="0"/>
    <n v="0.3"/>
    <x v="0"/>
    <n v="0.23992216384265166"/>
    <n v="0.18"/>
    <n v="267.09051456999748"/>
    <n v="0.23992216384265166"/>
    <n v="62.331746611374982"/>
    <n v="231.55009988056642"/>
    <n v="123750.28022215773"/>
    <n v="75.8284414824831"/>
    <n v="470300.02127095475"/>
    <x v="0"/>
    <n v="7.2924071559480413E-6"/>
    <n v="2437502.8022215776"/>
    <n v="0.19294337665676367"/>
  </r>
  <r>
    <x v="0"/>
    <n v="1900"/>
    <n v="25"/>
    <x v="0"/>
    <n v="23.162186743503177"/>
    <n v="5.9494971671621588"/>
    <n v="26.92960410502792"/>
    <n v="15.14784506218462"/>
    <m/>
    <n v="0.31584729480055634"/>
    <n v="0.18"/>
    <n v="154.45771282299131"/>
    <n v="76.908404725140912"/>
    <n v="2.4453249321826007"/>
    <m/>
    <m/>
    <m/>
    <m/>
    <m/>
    <m/>
    <m/>
    <m/>
    <m/>
    <m/>
    <m/>
    <n v="0.16143054818319724"/>
    <m/>
    <m/>
    <m/>
    <m/>
    <m/>
    <m/>
    <m/>
    <m/>
    <m/>
    <m/>
    <m/>
    <n v="1483.0105314250436"/>
    <n v="0.2209277620257088"/>
    <n v="0.28241004767976019"/>
    <n v="317.98384323149855"/>
    <n v="260.34806533374217"/>
    <x v="8"/>
    <n v="9.762677251918257"/>
    <n v="2.6643645582431001"/>
    <n v="0.2"/>
    <n v="0"/>
    <n v="0.3"/>
    <x v="0"/>
    <n v="0.2395943811628066"/>
    <n v="0.18"/>
    <n v="260.34806533374217"/>
    <n v="0.2395943811628066"/>
    <n v="66.199713502002311"/>
    <n v="236.66357713803538"/>
    <n v="129220.64325954388"/>
    <n v="80.403934039430055"/>
    <n v="516595.64204563835"/>
    <x v="0"/>
    <n v="7.4180181376501791E-6"/>
    <n v="2492206.4325954388"/>
    <n v="0.20728445095442766"/>
  </r>
  <r>
    <x v="0"/>
    <n v="1000"/>
    <n v="25"/>
    <x v="1"/>
    <n v="14.041613860762487"/>
    <n v="7.5022951585101989"/>
    <n v="18.549770185994589"/>
    <n v="11.878307258921154"/>
    <m/>
    <n v="0.36797052109672934"/>
    <n v="0.18"/>
    <n v="121.43085348779769"/>
    <n v="60.463495512596367"/>
    <n v="1.2180553066593216"/>
    <m/>
    <m/>
    <m/>
    <m/>
    <m/>
    <m/>
    <m/>
    <m/>
    <m/>
    <m/>
    <m/>
    <n v="0.10254451919018226"/>
    <m/>
    <m/>
    <m/>
    <m/>
    <m/>
    <m/>
    <m/>
    <m/>
    <m/>
    <m/>
    <m/>
    <n v="721.61206487454012"/>
    <n v="0.40444140726738315"/>
    <n v="0.26758669209842351"/>
    <n v="147.52499180490742"/>
    <n v="112.58441154487934"/>
    <x v="8"/>
    <n v="9.762677251918257"/>
    <n v="2.6643645582431001"/>
    <n v="0.2"/>
    <n v="0"/>
    <n v="0.3"/>
    <x v="0"/>
    <n v="0.23337161566277134"/>
    <n v="0.18"/>
    <n v="112.58441154487934"/>
    <n v="0.23337161566277134"/>
    <n v="67.501829455620936"/>
    <n v="222.32605170045233"/>
    <n v="123393.33786421394"/>
    <n v="80.477446690348273"/>
    <n v="271224.67851539468"/>
    <x v="1"/>
    <n v="4.9438925379256051E-6"/>
    <n v="2433933.3786421395"/>
    <n v="0.1114347175216059"/>
  </r>
  <r>
    <x v="0"/>
    <n v="1000"/>
    <n v="25"/>
    <x v="2"/>
    <n v="16.45697130579882"/>
    <n v="5.4694638907001867"/>
    <n v="19.893729954626252"/>
    <n v="11.62507640325113"/>
    <m/>
    <n v="0.32971061388973627"/>
    <n v="0.18"/>
    <n v="118.27411874921192"/>
    <n v="58.891677385499726"/>
    <n v="1.7231819772651384"/>
    <m/>
    <m/>
    <m/>
    <m/>
    <m/>
    <m/>
    <m/>
    <m/>
    <m/>
    <m/>
    <m/>
    <n v="0.14822973350809326"/>
    <m/>
    <m/>
    <m/>
    <m/>
    <m/>
    <m/>
    <m/>
    <m/>
    <m/>
    <m/>
    <m/>
    <n v="1061.0577699641231"/>
    <n v="0.27493405727206388"/>
    <n v="0.27620521716477842"/>
    <n v="240.41759429916587"/>
    <n v="199.46678133155336"/>
    <x v="8"/>
    <n v="9.762677251918257"/>
    <n v="2.6643645582431001"/>
    <n v="0.2"/>
    <n v="0"/>
    <n v="0.3"/>
    <x v="0"/>
    <n v="0.23221466318847347"/>
    <n v="0.18"/>
    <n v="199.46678133155336"/>
    <n v="0.23221466318847347"/>
    <n v="56.114276773011696"/>
    <n v="212.81817781990264"/>
    <n v="110530.7849960835"/>
    <n v="67.992503571032969"/>
    <n v="306189.97248944658"/>
    <x v="1"/>
    <n v="6.0470213498640618E-6"/>
    <n v="2305307.8499608347"/>
    <n v="0.1328195592162012"/>
  </r>
  <r>
    <x v="0"/>
    <n v="1000"/>
    <n v="25"/>
    <x v="0"/>
    <n v="18.163685357082048"/>
    <n v="4.430291614144104"/>
    <n v="21.055693646904558"/>
    <n v="11.419406644978157"/>
    <m/>
    <n v="0.30634590565427233"/>
    <n v="0.18"/>
    <n v="115.98509068809814"/>
    <n v="57.751912375816502"/>
    <n v="2.1276778923705848"/>
    <m/>
    <m/>
    <m/>
    <m/>
    <m/>
    <m/>
    <m/>
    <m/>
    <m/>
    <m/>
    <m/>
    <n v="0.18632123003573578"/>
    <m/>
    <m/>
    <m/>
    <m/>
    <m/>
    <m/>
    <m/>
    <m/>
    <m/>
    <m/>
    <m/>
    <n v="1351.8182140777578"/>
    <n v="0.21040824816499981"/>
    <n v="0.27181828391040913"/>
    <n v="333.177102379659"/>
    <n v="287.97926789246628"/>
    <x v="8"/>
    <n v="9.762677251918257"/>
    <n v="2.6643645582431001"/>
    <n v="0.2"/>
    <n v="0"/>
    <n v="0.3"/>
    <x v="0"/>
    <n v="0.22931825444770479"/>
    <n v="0.18"/>
    <n v="287.97926789246628"/>
    <n v="0.22931825444770479"/>
    <n v="50.634251286156598"/>
    <n v="206.17899536672385"/>
    <n v="105452.99565279779"/>
    <n v="64.565997733459213"/>
    <n v="334332.03856789193"/>
    <x v="1"/>
    <n v="6.7558222003320206E-6"/>
    <n v="2254529.9565279782"/>
    <n v="0.14829345584867279"/>
  </r>
  <r>
    <x v="0"/>
    <n v="1000"/>
    <n v="25"/>
    <x v="3"/>
    <n v="19.246469308662373"/>
    <n v="3.6827041613610745"/>
    <n v="21.744908918536655"/>
    <n v="11.290866255151682"/>
    <m/>
    <n v="0.30437016954675217"/>
    <n v="0.18"/>
    <n v="114.57611484709311"/>
    <n v="57.050347641706118"/>
    <n v="2.3459771775689937"/>
    <m/>
    <m/>
    <m/>
    <m/>
    <m/>
    <m/>
    <m/>
    <m/>
    <m/>
    <m/>
    <m/>
    <n v="0.20777654473575888"/>
    <m/>
    <m/>
    <m/>
    <m/>
    <m/>
    <m/>
    <m/>
    <m/>
    <m/>
    <m/>
    <m/>
    <n v="1553.5359836588334"/>
    <n v="0.16935937396462111"/>
    <n v="0.2689537075035196"/>
    <n v="428.43947202917622"/>
    <n v="380.54739487433534"/>
    <x v="8"/>
    <n v="9.762677251918257"/>
    <n v="2.6643645582431001"/>
    <n v="0.2"/>
    <n v="0"/>
    <n v="0.3"/>
    <x v="0"/>
    <n v="0.2359186119785126"/>
    <n v="0.18"/>
    <n v="380.54739487433534"/>
    <n v="0.2359186119785126"/>
    <n v="46.37076635726639"/>
    <n v="202.19248771738748"/>
    <n v="101163.48266609326"/>
    <n v="60.642523960111205"/>
    <n v="348776.38857532467"/>
    <x v="1"/>
    <n v="7.253375801680738E-6"/>
    <n v="2211634.8266609325"/>
    <n v="0.15770071278082468"/>
  </r>
  <r>
    <x v="0"/>
    <n v="1000"/>
    <n v="25"/>
    <x v="4"/>
    <n v="20.013482002246448"/>
    <n v="3.1457934462358059"/>
    <n v="22.229520756862712"/>
    <n v="11.203558741345365"/>
    <m/>
    <n v="0.30302668043189018"/>
    <n v="0.18"/>
    <n v="113.62771906192089"/>
    <n v="56.57811737523032"/>
    <n v="2.5336914194489726"/>
    <m/>
    <m/>
    <m/>
    <m/>
    <m/>
    <m/>
    <m/>
    <m/>
    <m/>
    <m/>
    <m/>
    <n v="0.22615058999946991"/>
    <m/>
    <m/>
    <m/>
    <m/>
    <m/>
    <m/>
    <m/>
    <m/>
    <m/>
    <m/>
    <m/>
    <n v="1742.0418169489019"/>
    <n v="0.14151422698866031"/>
    <n v="0.26683502315638769"/>
    <n v="524.99679477788459"/>
    <n v="475.19610722441615"/>
    <x v="8"/>
    <n v="9.762677251918257"/>
    <n v="2.6643645582431001"/>
    <n v="0.2"/>
    <n v="0"/>
    <n v="0.3"/>
    <x v="0"/>
    <n v="0.24114690141569325"/>
    <n v="0.18"/>
    <n v="475.19610722441615"/>
    <n v="0.24114690141569325"/>
    <n v="43.285866871631505"/>
    <n v="199.55032749877446"/>
    <n v="98110.021191706954"/>
    <n v="57.706485100569772"/>
    <n v="358159.89751088608"/>
    <x v="1"/>
    <n v="7.6157966736272432E-6"/>
    <n v="2181100.2119170697"/>
    <n v="0.16421065641733298"/>
  </r>
  <r>
    <x v="0"/>
    <n v="1000"/>
    <n v="25"/>
    <x v="5"/>
    <n v="20.579374805236125"/>
    <n v="2.7454342290416953"/>
    <n v="22.584818042656806"/>
    <n v="11.140132976855867"/>
    <m/>
    <n v="0.30263915514118817"/>
    <n v="0.18"/>
    <n v="112.94305870206983"/>
    <n v="56.237207652482908"/>
    <n v="2.6825299258238822"/>
    <m/>
    <m/>
    <m/>
    <m/>
    <m/>
    <m/>
    <m/>
    <m/>
    <m/>
    <m/>
    <m/>
    <n v="0.24079873475450969"/>
    <m/>
    <m/>
    <m/>
    <m/>
    <m/>
    <m/>
    <m/>
    <m/>
    <m/>
    <m/>
    <m/>
    <n v="1912.4576671262816"/>
    <n v="0.12156105149292278"/>
    <n v="0.26520417274557617"/>
    <n v="622.40176844811958"/>
    <n v="571.19270421434101"/>
    <x v="8"/>
    <n v="9.762677251918257"/>
    <n v="2.6643645582431001"/>
    <n v="0.2"/>
    <n v="0"/>
    <n v="0.3"/>
    <x v="0"/>
    <n v="0.24570882718896836"/>
    <n v="0.18"/>
    <n v="571.19270421434101"/>
    <n v="0.24570882718896836"/>
    <n v="40.96889811596165"/>
    <n v="197.66296548933281"/>
    <n v="95816.208389007938"/>
    <n v="55.427483670601895"/>
    <n v="364510.82740495144"/>
    <x v="1"/>
    <n v="7.8903353189652763E-6"/>
    <n v="2158162.0838900795"/>
    <n v="0.1688987264329665"/>
  </r>
  <r>
    <x v="0"/>
    <n v="1000"/>
    <n v="25"/>
    <x v="6"/>
    <n v="21.012820338417452"/>
    <n v="2.4363445995332085"/>
    <n v="22.85567087149872"/>
    <n v="11.091891300628612"/>
    <m/>
    <n v="0.30243642336068949"/>
    <n v="0.18"/>
    <n v="112.42467728668417"/>
    <n v="55.979092424904991"/>
    <n v="2.8057675921462355"/>
    <m/>
    <m/>
    <m/>
    <m/>
    <m/>
    <m/>
    <m/>
    <m/>
    <m/>
    <m/>
    <m/>
    <n v="0.25295664338030649"/>
    <m/>
    <m/>
    <m/>
    <m/>
    <m/>
    <m/>
    <m/>
    <m/>
    <m/>
    <m/>
    <m/>
    <n v="2070.9777206580884"/>
    <n v="0.1065969410056284"/>
    <n v="0.26391898956505161"/>
    <n v="720.38155203213159"/>
    <n v="668.0939245849703"/>
    <x v="8"/>
    <n v="9.762677251918257"/>
    <n v="2.6643645582431001"/>
    <n v="0.2"/>
    <n v="0"/>
    <n v="0.3"/>
    <x v="0"/>
    <n v="0.24949760721212935"/>
    <n v="0.18"/>
    <n v="668.0939245849703"/>
    <n v="0.24949760721212935"/>
    <n v="39.172490798543784"/>
    <n v="196.24494731267359"/>
    <n v="94039.165587243086"/>
    <n v="53.626346013192595"/>
    <n v="369033.18527246069"/>
    <x v="1"/>
    <n v="8.104932871569376E-6"/>
    <n v="2140391.6558724307"/>
    <n v="0.17241385905237122"/>
  </r>
  <r>
    <x v="0"/>
    <n v="1000"/>
    <n v="25"/>
    <x v="7"/>
    <n v="21.355598826151802"/>
    <n v="2.1908897800791358"/>
    <n v="23.06934890471716"/>
    <n v="11.054080042098565"/>
    <m/>
    <n v="0.3021658362985159"/>
    <n v="0.18"/>
    <n v="112.01967762978778"/>
    <n v="55.777432844707612"/>
    <n v="2.9110583468579883"/>
    <m/>
    <m/>
    <m/>
    <m/>
    <m/>
    <m/>
    <m/>
    <m/>
    <m/>
    <m/>
    <m/>
    <n v="0.26334695748279902"/>
    <m/>
    <m/>
    <m/>
    <m/>
    <m/>
    <m/>
    <m/>
    <m/>
    <m/>
    <m/>
    <m/>
    <n v="2221.1500683728273"/>
    <n v="9.49697275431622E-2"/>
    <n v="0.26287481213021396"/>
    <n v="818.76133489893516"/>
    <n v="765.62089494383372"/>
    <x v="8"/>
    <n v="9.762677251918257"/>
    <n v="2.6643645582431001"/>
    <n v="0.2"/>
    <n v="0"/>
    <n v="0.3"/>
    <x v="0"/>
    <n v="0.25258164909089165"/>
    <n v="0.18"/>
    <n v="765.62089494383372"/>
    <n v="0.25258164909089165"/>
    <n v="37.742754761701981"/>
    <n v="195.14356921939404"/>
    <n v="92630.060920992299"/>
    <n v="52.178506190921979"/>
    <n v="372413.10813634162"/>
    <x v="1"/>
    <n v="8.2770839873768259E-6"/>
    <n v="2126300.6092099231"/>
    <n v="0.17514602898727497"/>
  </r>
  <r>
    <x v="0"/>
    <n v="1000"/>
    <n v="25"/>
    <x v="8"/>
    <n v="21.633658543053116"/>
    <n v="1.9913471827906"/>
    <n v="23.242479514613905"/>
    <n v="11.023697467835166"/>
    <m/>
    <n v="0.30176275651776424"/>
    <n v="0.18"/>
    <n v="111.69502264752404"/>
    <n v="55.615778911630244"/>
    <n v="3.0030474306342629"/>
    <m/>
    <m/>
    <m/>
    <m/>
    <m/>
    <m/>
    <m/>
    <m/>
    <m/>
    <m/>
    <m/>
    <n v="0.27241743883089359"/>
    <m/>
    <m/>
    <m/>
    <m/>
    <m/>
    <m/>
    <m/>
    <m/>
    <m/>
    <m/>
    <m/>
    <n v="2365.1222254169911"/>
    <n v="8.5677054444149289E-2"/>
    <n v="0.26200641681008213"/>
    <n v="917.43080644191059"/>
    <n v="863.59851009986153"/>
    <x v="8"/>
    <n v="9.762677251918257"/>
    <n v="2.6643645582431001"/>
    <n v="0.2"/>
    <n v="0"/>
    <n v="0.3"/>
    <x v="0"/>
    <n v="0.25507244372517812"/>
    <n v="0.18"/>
    <n v="863.59851009986153"/>
    <n v="0.25507244372517812"/>
    <n v="36.579113924761316"/>
    <n v="194.26474945124593"/>
    <n v="91488.875713160916"/>
    <n v="50.994202614950069"/>
    <n v="375035.96954797592"/>
    <x v="1"/>
    <n v="8.4181889465710981E-6"/>
    <n v="2114888.7571316091"/>
    <n v="0.17733129852968313"/>
  </r>
  <r>
    <x v="0"/>
    <n v="1000"/>
    <n v="25"/>
    <x v="9"/>
    <n v="21.864711750924329"/>
    <n v="1.8260186113281414"/>
    <n v="23.386641692856315"/>
    <n v="10.998943968795428"/>
    <m/>
    <n v="0.30121163230668052"/>
    <n v="0.18"/>
    <n v="111.43090145632378"/>
    <n v="55.484266285306454"/>
    <n v="3.0849302482981535"/>
    <m/>
    <m/>
    <m/>
    <m/>
    <m/>
    <m/>
    <m/>
    <m/>
    <m/>
    <m/>
    <m/>
    <n v="0.28047513079894393"/>
    <m/>
    <m/>
    <m/>
    <m/>
    <m/>
    <m/>
    <m/>
    <m/>
    <m/>
    <m/>
    <m/>
    <n v="2504.3667815103427"/>
    <n v="7.8079556496814889E-2"/>
    <n v="0.26125630776647402"/>
    <n v="1016.3093441155562"/>
    <n v="961.90165736126664"/>
    <x v="8"/>
    <n v="9.762677251918257"/>
    <n v="2.6643645582431001"/>
    <n v="0.2"/>
    <n v="0"/>
    <n v="0.3"/>
    <x v="0"/>
    <n v="0.25706519944021883"/>
    <n v="0.18"/>
    <n v="961.90165736126664"/>
    <n v="0.25706519944021883"/>
    <n v="35.615432957903707"/>
    <n v="193.55243594185686"/>
    <n v="90553.349684814879"/>
    <n v="50.015818565310276"/>
    <n v="377166.55518698471"/>
    <x v="1"/>
    <n v="8.5359327495314149E-6"/>
    <n v="2105533.4968481488"/>
    <n v="0.17913111130816933"/>
  </r>
  <r>
    <x v="0"/>
    <n v="1000"/>
    <n v="25"/>
    <x v="0"/>
    <n v="18.161402880831801"/>
    <n v="4.4293161128536047"/>
    <n v="21.052796635711449"/>
    <n v="11.418421151224743"/>
    <m/>
    <n v="0.30636911512162174"/>
    <n v="0.18"/>
    <n v="115.97516253075121"/>
    <n v="57.746968894979858"/>
    <n v="2.1276326489675164"/>
    <m/>
    <m/>
    <m/>
    <m/>
    <m/>
    <m/>
    <m/>
    <m/>
    <m/>
    <m/>
    <m/>
    <n v="0.18633334861180048"/>
    <m/>
    <m/>
    <m/>
    <m/>
    <m/>
    <m/>
    <m/>
    <m/>
    <m/>
    <m/>
    <m/>
    <n v="1351.8176369836347"/>
    <n v="0.2103908658548595"/>
    <n v="0.27185038533422662"/>
    <n v="333.19338922950851"/>
    <n v="288.00131249987709"/>
    <x v="8"/>
    <n v="9.762677251918257"/>
    <n v="2.6643645582431001"/>
    <n v="0.2"/>
    <n v="0"/>
    <n v="0.3"/>
    <x v="0"/>
    <n v="0.22933860707713963"/>
    <n v="0.18"/>
    <n v="288.00131249987709"/>
    <n v="0.22933860707713963"/>
    <n v="50.624822748987782"/>
    <n v="206.15064358695281"/>
    <n v="105426.15087530261"/>
    <n v="64.543635794185633"/>
    <n v="334225.97356882237"/>
    <x v="2"/>
    <n v="6.755965938719674E-6"/>
    <n v="2254261.5087530259"/>
    <n v="0.14826406442689244"/>
  </r>
  <r>
    <x v="0"/>
    <n v="1000"/>
    <n v="25"/>
    <x v="0"/>
    <n v="17.551518665958284"/>
    <n v="4.2353460738517539"/>
    <n v="20.310702575602697"/>
    <n v="11.027592605310733"/>
    <m/>
    <n v="0.30988695079248996"/>
    <n v="0.18"/>
    <n v="112.0439223730708"/>
    <n v="55.789504916051854"/>
    <n v="2.0608728311007489"/>
    <m/>
    <m/>
    <m/>
    <m/>
    <m/>
    <m/>
    <m/>
    <m/>
    <m/>
    <m/>
    <m/>
    <n v="0.18688329401181011"/>
    <m/>
    <m/>
    <m/>
    <m/>
    <m/>
    <m/>
    <m/>
    <m/>
    <m/>
    <m/>
    <m/>
    <n v="1322.5426781201829"/>
    <n v="0.20852779750412326"/>
    <n v="0.27330599622157331"/>
    <n v="335.78070401452516"/>
    <n v="292.10626256980868"/>
    <x v="8"/>
    <n v="9.762677251918257"/>
    <n v="2.6643645582431001"/>
    <n v="0.2"/>
    <n v="0"/>
    <n v="0.3"/>
    <x v="1"/>
    <n v="0.23160206232255257"/>
    <n v="0.18"/>
    <n v="292.10626256980868"/>
    <n v="0.23160206232255257"/>
    <n v="48.59272012048114"/>
    <n v="195.20934281278545"/>
    <n v="98806.556324055913"/>
    <n v="61.395006274629964"/>
    <n v="381021.81947222259"/>
    <x v="2"/>
    <n v="6.5625992795902711E-6"/>
    <n v="2188065.5632405588"/>
    <n v="0.17413638141076695"/>
  </r>
  <r>
    <x v="0"/>
    <n v="1000"/>
    <n v="25"/>
    <x v="0"/>
    <n v="15.334644693811605"/>
    <n v="3.5822735378080868"/>
    <n v="17.652869064747435"/>
    <n v="9.6276417730140178"/>
    <m/>
    <n v="0.32660775998129693"/>
    <n v="0.18"/>
    <n v="97.933151220253421"/>
    <n v="48.763394798466429"/>
    <n v="1.7850293292036525"/>
    <m/>
    <m/>
    <m/>
    <m/>
    <m/>
    <m/>
    <m/>
    <m/>
    <m/>
    <m/>
    <m/>
    <n v="0.18540670408064355"/>
    <m/>
    <m/>
    <m/>
    <m/>
    <m/>
    <m/>
    <m/>
    <m/>
    <m/>
    <m/>
    <m/>
    <n v="1199.1646102912807"/>
    <n v="0.20292868681396631"/>
    <n v="0.27784197076714406"/>
    <n v="344.8080336765845"/>
    <n v="306.64994568945406"/>
    <x v="8"/>
    <n v="9.762677251918257"/>
    <n v="2.6643645582431001"/>
    <n v="0.2"/>
    <n v="0"/>
    <n v="0.3"/>
    <x v="2"/>
    <n v="0.24187631547183885"/>
    <n v="0.18"/>
    <n v="306.64994568945406"/>
    <n v="0.24187631547183885"/>
    <n v="41.574594842042735"/>
    <n v="159.96340818716791"/>
    <n v="77720.781271849657"/>
    <n v="50.871632625547463"/>
    <n v="501917.79283250158"/>
    <x v="2"/>
    <n v="5.8910251407506348E-6"/>
    <n v="1977207.8127184967"/>
    <n v="0.25385181547629343"/>
  </r>
  <r>
    <x v="0"/>
    <n v="1000"/>
    <n v="25"/>
    <x v="0"/>
    <n v="13.286322466357461"/>
    <n v="3.0310814793046328"/>
    <n v="15.237071747517945"/>
    <n v="8.3250379610398895"/>
    <m/>
    <n v="0.33783151216019236"/>
    <n v="0.18"/>
    <n v="84.767013494881013"/>
    <n v="42.207641574214627"/>
    <n v="1.5697171291168903"/>
    <m/>
    <m/>
    <m/>
    <m/>
    <m/>
    <m/>
    <m/>
    <m/>
    <m/>
    <m/>
    <m/>
    <n v="0.18855375032077515"/>
    <m/>
    <m/>
    <m/>
    <m/>
    <m/>
    <m/>
    <m/>
    <m/>
    <m/>
    <m/>
    <m/>
    <n v="1104.4580325693023"/>
    <n v="0.19892808339623283"/>
    <n v="0.28066082354205696"/>
    <n v="352.6605733615454"/>
    <n v="319.59946801085772"/>
    <x v="8"/>
    <n v="9.762677251918257"/>
    <n v="2.6643645582431001"/>
    <n v="0.2"/>
    <n v="0"/>
    <n v="0.3"/>
    <x v="3"/>
    <n v="0.24859064243163542"/>
    <n v="0.18"/>
    <n v="319.59946801085772"/>
    <n v="0.24859064243163542"/>
    <n v="35.518032962559218"/>
    <n v="131.50573862933749"/>
    <n v="61535.18264764145"/>
    <n v="42.577677973929688"/>
    <n v="572682.49979642557"/>
    <x v="2"/>
    <n v="5.25179375768808E-6"/>
    <n v="1815351.8264764145"/>
    <n v="0.3154663968956356"/>
  </r>
  <r>
    <x v="0"/>
    <n v="1000"/>
    <n v="25"/>
    <x v="0"/>
    <n v="12.173197033576063"/>
    <n v="2.7510163190113959"/>
    <n v="13.937942782290353"/>
    <n v="7.5938030937953336"/>
    <m/>
    <n v="0.3397805778754569"/>
    <n v="0.18"/>
    <n v="77.362390808672259"/>
    <n v="38.52069251884096"/>
    <n v="1.4703501285171665"/>
    <m/>
    <m/>
    <m/>
    <m/>
    <m/>
    <m/>
    <m/>
    <m/>
    <m/>
    <m/>
    <m/>
    <n v="0.19362500059009233"/>
    <m/>
    <m/>
    <m/>
    <m/>
    <m/>
    <m/>
    <m/>
    <m/>
    <m/>
    <m/>
    <m/>
    <n v="1061.5105962349419"/>
    <n v="0.19737606632356508"/>
    <n v="0.28066226890008383"/>
    <n v="356.62688439994855"/>
    <n v="326.3355319763582"/>
    <x v="8"/>
    <n v="9.762677251918257"/>
    <n v="2.6643645582431001"/>
    <n v="0.2"/>
    <n v="0"/>
    <n v="0.3"/>
    <x v="4"/>
    <n v="0.24940214435822045"/>
    <n v="0.18"/>
    <n v="326.3355319763582"/>
    <n v="0.24940214435822045"/>
    <n v="32.38776493048541"/>
    <n v="116.942480817351"/>
    <n v="53792.17857208963"/>
    <n v="38.752554866085923"/>
    <n v="603622.50892691128"/>
    <x v="2"/>
    <n v="4.8784888232057881E-6"/>
    <n v="1737921.7857208964"/>
    <n v="0.34732432373331829"/>
  </r>
  <r>
    <x v="0"/>
    <n v="1000"/>
    <n v="25"/>
    <x v="0"/>
    <n v="10.753084343057727"/>
    <n v="2.4070841940012517"/>
    <n v="12.291076162018628"/>
    <n v="6.6745784872519902"/>
    <m/>
    <n v="0.34364523295222904"/>
    <n v="0.18"/>
    <n v="68.040605296718297"/>
    <n v="33.879139566830695"/>
    <n v="1.3320681283120601"/>
    <m/>
    <m/>
    <m/>
    <m/>
    <m/>
    <m/>
    <m/>
    <m/>
    <m/>
    <m/>
    <m/>
    <n v="0.19957337094113484"/>
    <m/>
    <m/>
    <m/>
    <m/>
    <m/>
    <m/>
    <m/>
    <m/>
    <m/>
    <m/>
    <m/>
    <n v="1000.949247002808"/>
    <n v="0.19583998685481449"/>
    <n v="0.28055938538930814"/>
    <n v="361.67269782068922"/>
    <n v="334.91518284677824"/>
    <x v="8"/>
    <n v="9.762677251918257"/>
    <n v="2.6643645582431001"/>
    <n v="0.2"/>
    <n v="0"/>
    <n v="0.3"/>
    <x v="5"/>
    <n v="0.25117746911152361"/>
    <n v="0.18"/>
    <n v="334.91518284677824"/>
    <n v="0.25117746911152361"/>
    <n v="28.48105970032379"/>
    <n v="99.805494785195933"/>
    <n v="44824.550004107281"/>
    <n v="33.97439399891347"/>
    <n v="629263.69958559866"/>
    <x v="2"/>
    <n v="4.392485488810446E-6"/>
    <n v="1648245.5000410727"/>
    <n v="0.3817778962963454"/>
  </r>
  <r>
    <x v="0"/>
    <n v="1000"/>
    <n v="25"/>
    <x v="0"/>
    <n v="8.914184988620832"/>
    <n v="1.9783788502061781"/>
    <n v="10.172122245348264"/>
    <n v="5.5035304694420217"/>
    <m/>
    <n v="0.34907995371491501"/>
    <n v="0.18"/>
    <n v="56.145066054403273"/>
    <n v="27.956049487669684"/>
    <n v="1.1492464576007952"/>
    <m/>
    <m/>
    <m/>
    <m/>
    <m/>
    <m/>
    <m/>
    <m/>
    <m/>
    <m/>
    <m/>
    <n v="0.20881985917619753"/>
    <m/>
    <m/>
    <m/>
    <m/>
    <m/>
    <m/>
    <m/>
    <m/>
    <m/>
    <m/>
    <m/>
    <n v="920.65623763740689"/>
    <n v="0.19449027474191979"/>
    <n v="0.28044973005926038"/>
    <n v="368.21467795052888"/>
    <n v="346.03300883700933"/>
    <x v="8"/>
    <n v="9.762677251918257"/>
    <n v="2.6643645582431001"/>
    <n v="0.2"/>
    <n v="0"/>
    <n v="0.3"/>
    <x v="6"/>
    <n v="0.2537465648280896"/>
    <n v="0.18"/>
    <n v="346.03300883700933"/>
    <n v="0.2537465648280896"/>
    <n v="23.534229732713559"/>
    <n v="79.548748442229666"/>
    <n v="34508.990494818601"/>
    <n v="27.950384207507842"/>
    <n v="649438.62420816696"/>
    <x v="2"/>
    <n v="3.7239014285986098E-6"/>
    <n v="1545089.9049481861"/>
    <n v="0.4203241650394095"/>
  </r>
  <r>
    <x v="0"/>
    <n v="1000"/>
    <n v="25"/>
    <x v="0"/>
    <n v="7.7361614489009263"/>
    <n v="1.7133848544833976"/>
    <n v="8.8220695658862169"/>
    <n v="4.7625038762096015"/>
    <m/>
    <n v="0.35379809945974833"/>
    <n v="0.18"/>
    <n v="48.607100127647627"/>
    <n v="24.202705457749861"/>
    <n v="1.0233008350039023"/>
    <m/>
    <m/>
    <m/>
    <m/>
    <m/>
    <m/>
    <m/>
    <m/>
    <m/>
    <m/>
    <m/>
    <n v="0.21486614218114414"/>
    <m/>
    <m/>
    <m/>
    <m/>
    <m/>
    <m/>
    <m/>
    <m/>
    <m/>
    <m/>
    <m/>
    <n v="864.79064876708685"/>
    <n v="0.19421574968177893"/>
    <n v="0.2802021112297351"/>
    <n v="372.39078101535745"/>
    <n v="353.14023126513553"/>
    <x v="8"/>
    <n v="9.762677251918257"/>
    <n v="2.6643645582431001"/>
    <n v="0.2"/>
    <n v="0"/>
    <n v="0.3"/>
    <x v="7"/>
    <n v="0.256184574222039"/>
    <n v="0.18"/>
    <n v="353.14023126513553"/>
    <n v="0.256184574222039"/>
    <n v="20.42693427107535"/>
    <n v="67.496646040548328"/>
    <n v="28580.422809946638"/>
    <n v="24.189629856888537"/>
    <n v="652574.86866899556"/>
    <x v="2"/>
    <n v="3.2753550113819716E-6"/>
    <n v="1485804.2280994663"/>
    <n v="0.43920649593501448"/>
  </r>
  <r>
    <x v="0"/>
    <n v="1000"/>
    <n v="25"/>
    <x v="0"/>
    <n v="6.2868151241050878"/>
    <n v="1.3939630040283242"/>
    <n v="7.1666579375623094"/>
    <n v="3.8610527292706935"/>
    <m/>
    <n v="0.36006709503747791"/>
    <n v="0.18"/>
    <n v="39.427049657808908"/>
    <n v="19.631725970693235"/>
    <n v="0.86574487802286493"/>
    <m/>
    <m/>
    <m/>
    <m/>
    <m/>
    <m/>
    <m/>
    <m/>
    <m/>
    <m/>
    <m/>
    <n v="0.22422508541767408"/>
    <m/>
    <m/>
    <m/>
    <m/>
    <m/>
    <m/>
    <m/>
    <m/>
    <m/>
    <m/>
    <m/>
    <n v="794.77780518403904"/>
    <n v="0.19450670259036687"/>
    <n v="0.28002677767857176"/>
    <n v="377.54923591156916"/>
    <n v="361.90536617260648"/>
    <x v="8"/>
    <n v="9.762677251918257"/>
    <n v="2.6643645582431001"/>
    <n v="0.2"/>
    <n v="0"/>
    <n v="0.3"/>
    <x v="8"/>
    <n v="0.25978648076190142"/>
    <n v="0.18"/>
    <n v="361.90536617260648"/>
    <n v="0.25978648076190142"/>
    <n v="16.644567428518982"/>
    <n v="53.514945654904224"/>
    <n v="21935.905416450747"/>
    <n v="19.629578922319521"/>
    <n v="648968.04992195498"/>
    <x v="2"/>
    <n v="2.6931416871403595E-6"/>
    <n v="1419359.0541645074"/>
    <n v="0.45722613176548482"/>
  </r>
  <r>
    <x v="0"/>
    <n v="1000"/>
    <n v="25"/>
    <x v="0"/>
    <n v="4.2890561287022431"/>
    <n v="0.96362316345501653"/>
    <n v="4.8932214900598714"/>
    <n v="2.6339741381168689"/>
    <m/>
    <n v="0.37405549425957985"/>
    <n v="0.18"/>
    <n v="26.914467622799837"/>
    <n v="13.401394666954277"/>
    <n v="0.6258907182838338"/>
    <m/>
    <m/>
    <m/>
    <m/>
    <m/>
    <m/>
    <m/>
    <m/>
    <m/>
    <m/>
    <m/>
    <n v="0.2376221957635877"/>
    <m/>
    <m/>
    <m/>
    <m/>
    <m/>
    <m/>
    <m/>
    <m/>
    <m/>
    <m/>
    <m/>
    <n v="686.94913601209225"/>
    <n v="0.19693021568971039"/>
    <n v="0.27990058234529164"/>
    <n v="384.6765015893709"/>
    <n v="374.00377687017544"/>
    <x v="8"/>
    <n v="9.762677251918257"/>
    <n v="2.6643645582431001"/>
    <n v="0.2"/>
    <n v="0"/>
    <n v="0.3"/>
    <x v="9"/>
    <n v="0.2696882319455659"/>
    <n v="0.18"/>
    <n v="374.00377687017544"/>
    <n v="0.2696882319455659"/>
    <n v="11.483059607752516"/>
    <n v="35.507991041826941"/>
    <n v="13851.052896342086"/>
    <n v="13.433520810221138"/>
    <n v="611926.95734335622"/>
    <x v="2"/>
    <n v="1.852611397895195E-6"/>
    <n v="1338510.5289634208"/>
    <n v="0.45717007382620234"/>
  </r>
  <r>
    <x v="0"/>
    <n v="1000"/>
    <n v="25"/>
    <x v="0"/>
    <n v="18.157923195114321"/>
    <n v="4.4278299854031742"/>
    <n v="21.048381002806778"/>
    <n v="11.41692655271927"/>
    <m/>
    <n v="0.30640510041074653"/>
    <n v="0.18"/>
    <n v="115.96010537638789"/>
    <n v="57.739471556707663"/>
    <n v="2.1275597797400003"/>
    <m/>
    <m/>
    <m/>
    <m/>
    <m/>
    <m/>
    <m/>
    <m/>
    <m/>
    <m/>
    <m/>
    <n v="0.1863513590908808"/>
    <m/>
    <m/>
    <m/>
    <m/>
    <m/>
    <m/>
    <m/>
    <m/>
    <m/>
    <m/>
    <m/>
    <n v="1351.8146859230419"/>
    <n v="0.21036439737634585"/>
    <n v="0.27189953911207021"/>
    <n v="333.21826416325746"/>
    <n v="288.03479605304148"/>
    <x v="8"/>
    <n v="9.762677251918257"/>
    <n v="2.6643645582431001"/>
    <n v="0.2"/>
    <n v="0"/>
    <n v="0.3"/>
    <x v="0"/>
    <n v="0.22937001849901473"/>
    <n v="0.18"/>
    <n v="288.03479605304148"/>
    <n v="0.22937001849901473"/>
    <n v="50.610451662644181"/>
    <n v="206.10765212949107"/>
    <n v="105385.27502685631"/>
    <n v="64.509473866857348"/>
    <n v="334064.40328016365"/>
    <x v="3"/>
    <n v="6.7561834500374106E-6"/>
    <n v="2253852.7502685632"/>
    <n v="0.14821926731476021"/>
  </r>
  <r>
    <x v="1"/>
    <n v="1000"/>
    <n v="25"/>
    <x v="0"/>
    <n v="18.044123562595811"/>
    <n v="4.5011479883716037"/>
    <n v="20.973190087759569"/>
    <n v="11.43087631148053"/>
    <m/>
    <n v="0.30713529583566018"/>
    <n v="0.18"/>
    <n v="116.11340170836792"/>
    <n v="57.81580168051515"/>
    <n v="2.1034504510674203"/>
    <m/>
    <m/>
    <m/>
    <m/>
    <m/>
    <m/>
    <m/>
    <m/>
    <m/>
    <m/>
    <m/>
    <n v="0.18401480286816094"/>
    <m/>
    <m/>
    <m/>
    <m/>
    <m/>
    <m/>
    <m/>
    <m/>
    <m/>
    <m/>
    <m/>
    <n v="1332.2383843477717"/>
    <n v="0.2146143705147924"/>
    <n v="0.24192174318746004"/>
    <n v="325.41338647426244"/>
    <n v="280.51315881406151"/>
    <x v="8"/>
    <n v="9.762677251918257"/>
    <n v="2.6643645582431001"/>
    <n v="0.2"/>
    <n v="0"/>
    <n v="0.3"/>
    <x v="0"/>
    <n v="0.22907310269722481"/>
    <n v="0.18"/>
    <n v="280.51315881406151"/>
    <n v="0.22907310269722481"/>
    <n v="51.015560772953982"/>
    <n v="206.54575083719342"/>
    <n v="105797.62866274519"/>
    <n v="64.851261553988323"/>
    <n v="332395.54937295982"/>
    <x v="3"/>
    <n v="6.705960523094666E-6"/>
    <n v="2257976.2866274519"/>
    <n v="0.14720949521991258"/>
  </r>
  <r>
    <x v="2"/>
    <n v="1000"/>
    <n v="25"/>
    <x v="0"/>
    <n v="17.894038301523779"/>
    <n v="4.5966723882923395"/>
    <n v="20.873374848575089"/>
    <n v="11.449056514838775"/>
    <m/>
    <n v="0.30820452090869355"/>
    <n v="0.18"/>
    <n v="116.31369379049904"/>
    <n v="57.915532177841847"/>
    <n v="2.0716319187898442"/>
    <m/>
    <m/>
    <m/>
    <m/>
    <m/>
    <m/>
    <m/>
    <m/>
    <m/>
    <m/>
    <m/>
    <n v="0.18094346168218009"/>
    <m/>
    <m/>
    <m/>
    <m/>
    <m/>
    <m/>
    <m/>
    <m/>
    <m/>
    <m/>
    <m/>
    <n v="1306.8657177021144"/>
    <n v="0.22021701912789293"/>
    <n v="0.21195568343767784"/>
    <n v="315.57651103616087"/>
    <n v="271.04975830719167"/>
    <x v="8"/>
    <n v="9.762677251918257"/>
    <n v="2.6643645582431001"/>
    <n v="0.2"/>
    <n v="0"/>
    <n v="0.3"/>
    <x v="0"/>
    <n v="0.2287565782326097"/>
    <n v="0.18"/>
    <n v="271.04975830719167"/>
    <n v="0.2287565782326097"/>
    <n v="51.540046854684512"/>
    <n v="207.11951178616812"/>
    <n v="106325.6380413524"/>
    <n v="65.280629375888864"/>
    <n v="330144.89090041269"/>
    <x v="3"/>
    <n v="6.6404264631143519E-6"/>
    <n v="2263256.3804135239"/>
    <n v="0.14587162716408261"/>
  </r>
  <r>
    <x v="3"/>
    <n v="1000"/>
    <n v="25"/>
    <x v="0"/>
    <n v="17.684033340767424"/>
    <n v="4.7263864728665252"/>
    <n v="20.731335055661841"/>
    <n v="11.473566234593831"/>
    <m/>
    <n v="0.31122501949452003"/>
    <n v="0.18"/>
    <n v="116.58472877183378"/>
    <n v="58.050487355269944"/>
    <n v="2.0131224889470438"/>
    <m/>
    <m/>
    <m/>
    <m/>
    <m/>
    <m/>
    <m/>
    <m/>
    <m/>
    <m/>
    <m/>
    <n v="0.17545743387764642"/>
    <m/>
    <m/>
    <m/>
    <m/>
    <m/>
    <m/>
    <m/>
    <m/>
    <m/>
    <m/>
    <m/>
    <n v="1265.3990597972513"/>
    <n v="0.22798273532199381"/>
    <n v="0.18201357507457896"/>
    <n v="302.84222847926867"/>
    <n v="258.83781532372922"/>
    <x v="8"/>
    <n v="9.762677251918257"/>
    <n v="2.6643645582431001"/>
    <n v="0.2"/>
    <n v="0"/>
    <n v="0.3"/>
    <x v="0"/>
    <n v="0.22918538988590756"/>
    <n v="0.18"/>
    <n v="258.83781532372922"/>
    <n v="0.22918538988590756"/>
    <n v="52.230264420492702"/>
    <n v="207.89838273648488"/>
    <n v="106962.62978298153"/>
    <n v="65.745008647976618"/>
    <n v="326762.787552558"/>
    <x v="3"/>
    <n v="6.552279209079972E-6"/>
    <n v="2269626.2978298152"/>
    <n v="0.14397206617891412"/>
  </r>
  <r>
    <x v="4"/>
    <n v="1000"/>
    <n v="25"/>
    <x v="0"/>
    <n v="17.385376879935219"/>
    <n v="4.9119628104940105"/>
    <n v="20.530064773035381"/>
    <n v="11.509130860743349"/>
    <m/>
    <n v="0.3145495109866025"/>
    <n v="0.18"/>
    <n v="116.97953049464756"/>
    <n v="58.247069125965602"/>
    <n v="1.9445136711389654"/>
    <m/>
    <m/>
    <m/>
    <m/>
    <m/>
    <m/>
    <m/>
    <m/>
    <m/>
    <m/>
    <m/>
    <n v="0.16895399788801893"/>
    <m/>
    <m/>
    <m/>
    <m/>
    <m/>
    <m/>
    <m/>
    <m/>
    <m/>
    <m/>
    <m/>
    <n v="1214.6911067198912"/>
    <n v="0.23925705373056036"/>
    <n v="0.1520967752483654"/>
    <n v="285.69529596175931"/>
    <n v="242.43427115040927"/>
    <x v="8"/>
    <n v="9.762677251918257"/>
    <n v="2.6643645582431001"/>
    <n v="0.2"/>
    <n v="0"/>
    <n v="0.3"/>
    <x v="0"/>
    <n v="0.22925003710172839"/>
    <n v="0.18"/>
    <n v="242.43427115040927"/>
    <n v="0.22925003710172839"/>
    <n v="53.22622381421322"/>
    <n v="209.03802000060583"/>
    <n v="107909.24873955779"/>
    <n v="66.444575140656255"/>
    <n v="321982.80368392455"/>
    <x v="3"/>
    <n v="6.4261512295797902E-6"/>
    <n v="2279092.4873955781"/>
    <n v="0.1412767605810806"/>
  </r>
  <r>
    <x v="5"/>
    <n v="1000"/>
    <n v="25"/>
    <x v="0"/>
    <n v="16.917332332788828"/>
    <n v="5.1953986774658025"/>
    <n v="20.210544500477532"/>
    <n v="11.565183541166371"/>
    <m/>
    <n v="0.32105037213511162"/>
    <n v="0.18"/>
    <n v="117.60522039195587"/>
    <n v="58.558615962799614"/>
    <n v="1.8358076288258793"/>
    <m/>
    <m/>
    <m/>
    <m/>
    <m/>
    <m/>
    <m/>
    <m/>
    <m/>
    <m/>
    <m/>
    <n v="0.15873571070370876"/>
    <m/>
    <m/>
    <m/>
    <m/>
    <m/>
    <m/>
    <m/>
    <m/>
    <m/>
    <m/>
    <m/>
    <n v="1137.3879579255149"/>
    <n v="0.25706376576559065"/>
    <n v="0.12221785820065426"/>
    <n v="261.58052037686366"/>
    <n v="219.48414351257489"/>
    <x v="8"/>
    <n v="9.762677251918257"/>
    <n v="2.6643645582431001"/>
    <n v="0.2"/>
    <n v="0"/>
    <n v="0.3"/>
    <x v="0"/>
    <n v="0.23011773047232201"/>
    <n v="0.18"/>
    <n v="219.48414351257489"/>
    <n v="0.23011773047232201"/>
    <n v="54.715435424208678"/>
    <n v="210.85667259097821"/>
    <n v="109277.67593793507"/>
    <n v="67.348458991342454"/>
    <n v="314161.77952133399"/>
    <x v="3"/>
    <n v="6.2331104289929113E-6"/>
    <n v="2292776.7593793506"/>
    <n v="0.13702240230591697"/>
  </r>
  <r>
    <x v="6"/>
    <n v="1000"/>
    <n v="25"/>
    <x v="0"/>
    <n v="16.116284964200602"/>
    <n v="5.7080734280267826"/>
    <n v="19.678501172549979"/>
    <n v="11.661829650427675"/>
    <m/>
    <n v="0.33363563704234611"/>
    <n v="0.18"/>
    <n v="118.70293370948221"/>
    <n v="59.105195208040946"/>
    <n v="1.6544910498178478"/>
    <m/>
    <m/>
    <m/>
    <m/>
    <m/>
    <m/>
    <m/>
    <m/>
    <m/>
    <m/>
    <m/>
    <n v="0.14187233902504934"/>
    <m/>
    <m/>
    <m/>
    <m/>
    <m/>
    <m/>
    <m/>
    <m/>
    <m/>
    <m/>
    <m/>
    <n v="1012.0224839776447"/>
    <n v="0.29006647294810811"/>
    <n v="9.2029961528966725E-2"/>
    <n v="224.88002063189009"/>
    <n v="184.77695906872336"/>
    <x v="8"/>
    <n v="9.762677251918257"/>
    <n v="2.6643645582431001"/>
    <n v="0.2"/>
    <n v="0"/>
    <n v="0.3"/>
    <x v="0"/>
    <n v="0.23200152836481278"/>
    <n v="0.18"/>
    <n v="184.77695906872336"/>
    <n v="0.23200152836481278"/>
    <n v="57.421570499287043"/>
    <n v="214.08518571236809"/>
    <n v="112118.69178424604"/>
    <n v="69.186612022026964"/>
    <n v="301341.57485564915"/>
    <x v="3"/>
    <n v="5.8917007919706361E-6"/>
    <n v="2321186.9178424603"/>
    <n v="0.12982219249096305"/>
  </r>
  <r>
    <x v="7"/>
    <n v="1000"/>
    <n v="25"/>
    <x v="0"/>
    <n v="14.403596146751218"/>
    <n v="7.1836122925876449"/>
    <n v="18.743536133144261"/>
    <n v="11.8286890241486"/>
    <m/>
    <n v="0.35983666815242188"/>
    <n v="0.18"/>
    <n v="120.80899764329868"/>
    <n v="60.153857747700592"/>
    <n v="1.2855479451235894"/>
    <m/>
    <m/>
    <m/>
    <m/>
    <m/>
    <m/>
    <m/>
    <m/>
    <m/>
    <m/>
    <m/>
    <n v="0.10868050909945365"/>
    <m/>
    <m/>
    <m/>
    <m/>
    <m/>
    <m/>
    <m/>
    <m/>
    <m/>
    <m/>
    <m/>
    <n v="765.63824687144756"/>
    <n v="0.38325811317347092"/>
    <n v="5.9693044233848011E-2"/>
    <n v="158.70561919534532"/>
    <n v="122.8642743096528"/>
    <x v="8"/>
    <n v="9.762677251918257"/>
    <n v="2.6643645582431001"/>
    <n v="0.2"/>
    <n v="0"/>
    <n v="0.3"/>
    <x v="0"/>
    <n v="0.2317668197287362"/>
    <n v="0.18"/>
    <n v="122.8642743096528"/>
    <n v="0.2317668197287362"/>
    <n v="65.752434150223522"/>
    <n v="220.41931572361719"/>
    <n v="121194.04357775231"/>
    <n v="78.834220316070969"/>
    <n v="282514.81169159559"/>
    <x v="3"/>
    <n v="5.0967129124525232E-6"/>
    <n v="2411940.4357775231"/>
    <n v="0.11713175313159131"/>
  </r>
  <r>
    <x v="8"/>
    <n v="1000"/>
    <n v="25"/>
    <x v="0"/>
    <n v="10.079382562162547"/>
    <n v="4.4108517576236528"/>
    <n v="12.712159457171364"/>
    <n v="7.7387511755583915"/>
    <m/>
    <n v="0.35611639998410333"/>
    <n v="0.18"/>
    <n v="79.296642336029834"/>
    <n v="39.483805312545968"/>
    <n v="1.0913308725397375"/>
    <m/>
    <m/>
    <m/>
    <m/>
    <m/>
    <m/>
    <m/>
    <m/>
    <m/>
    <m/>
    <m/>
    <n v="0.14102157412510324"/>
    <m/>
    <m/>
    <m/>
    <m/>
    <m/>
    <m/>
    <m/>
    <m/>
    <m/>
    <m/>
    <m/>
    <n v="697.53489797556017"/>
    <n v="0.34697895133272111"/>
    <n v="4.5189008032240109E-2"/>
    <n v="176.95056826714566"/>
    <n v="151.86946170569141"/>
    <x v="8"/>
    <n v="9.762677251918257"/>
    <n v="2.6643645582431001"/>
    <n v="0.2"/>
    <n v="0"/>
    <n v="0.3"/>
    <x v="0"/>
    <n v="0.23337713146932501"/>
    <n v="0.18"/>
    <n v="151.86946170569141"/>
    <n v="0.23337713146932501"/>
    <n v="42.117851635754747"/>
    <n v="120.65928708354399"/>
    <n v="62194.704353996058"/>
    <n v="50.281119395252354"/>
    <n v="658194.69581552385"/>
    <x v="3"/>
    <n v="3.7401881281140593E-6"/>
    <n v="1821947.0435399606"/>
    <n v="0.36125896092823934"/>
  </r>
  <r>
    <x v="9"/>
    <n v="1000"/>
    <n v="25"/>
    <x v="0"/>
    <n v="3.5652542747017106"/>
    <n v="0.98462935778472727"/>
    <n v="4.1667813334469477"/>
    <n v="2.3165423292633371"/>
    <m/>
    <n v="0.3779347772958741"/>
    <n v="0.18"/>
    <n v="23.705767565618572"/>
    <n v="11.803701692424188"/>
    <n v="0.56069955372805746"/>
    <m/>
    <m/>
    <m/>
    <m/>
    <m/>
    <m/>
    <m/>
    <m/>
    <m/>
    <m/>
    <m/>
    <n v="0.24204157491322875"/>
    <m/>
    <m/>
    <m/>
    <m/>
    <m/>
    <m/>
    <m/>
    <m/>
    <m/>
    <m/>
    <m/>
    <n v="583.1312815452884"/>
    <n v="0.23630454276087434"/>
    <n v="4.0355185307221327E-2"/>
    <n v="311.65313087872926"/>
    <n v="302.78150468125972"/>
    <x v="8"/>
    <n v="9.762677251918257"/>
    <n v="2.6643645582431001"/>
    <n v="0.2"/>
    <n v="0"/>
    <n v="0.3"/>
    <x v="0"/>
    <n v="0.26426472199080631"/>
    <n v="0.18"/>
    <n v="302.78150468125972"/>
    <n v="0.26426472199080631"/>
    <n v="10.913223499922637"/>
    <n v="31.06155413747631"/>
    <n v="12354.902568837826"/>
    <n v="12.623397803673106"/>
    <n v="854356.54619827832"/>
    <x v="3"/>
    <n v="1.2539448330624455E-6"/>
    <n v="1323549.0256883781"/>
    <n v="0.64550426891359558"/>
  </r>
  <r>
    <x v="0"/>
    <n v="100"/>
    <n v="25"/>
    <x v="0"/>
    <n v="3.1240233386973619"/>
    <n v="0.59359409097215132"/>
    <n v="3.6309282175406707"/>
    <n v="2.9827609502091748"/>
    <m/>
    <n v="0.53406454175503815"/>
    <n v="0.27"/>
    <n v="20.015518169762263"/>
    <n v="8.7204539743777492"/>
    <n v="0.91203003457833987"/>
    <m/>
    <m/>
    <m/>
    <m/>
    <m/>
    <m/>
    <m/>
    <m/>
    <m/>
    <m/>
    <m/>
    <n v="0.30576705602719556"/>
    <m/>
    <m/>
    <m/>
    <m/>
    <m/>
    <m/>
    <m/>
    <m/>
    <m/>
    <m/>
    <m/>
    <n v="831.89194985075335"/>
    <n v="0.1634827392358115"/>
    <n v="0.19107897118357592"/>
    <n v="383.65061670917197"/>
    <n v="375.87693256158349"/>
    <x v="9"/>
    <n v="14.644015877877388"/>
    <n v="3.9965468373646496"/>
    <n v="0.3"/>
    <n v="0"/>
    <n v="0.4"/>
    <x v="0"/>
    <n v="0.40620115512034721"/>
    <n v="0.27"/>
    <n v="375.87693256158349"/>
    <n v="0.40620115512034721"/>
    <n v="7.6583035828965125"/>
    <n v="70.157515212294129"/>
    <n v="24888.572479810737"/>
    <n v="13.885618130599125"/>
    <n v="17208.988192235571"/>
    <x v="0"/>
    <n v="1.9253691524372271E-6"/>
    <n v="1448885.7247981073"/>
    <n v="1.1877395088997465E-2"/>
  </r>
  <r>
    <x v="0"/>
    <n v="200"/>
    <n v="25"/>
    <x v="0"/>
    <n v="5.8608162395557315"/>
    <n v="1.0120089560381609"/>
    <n v="6.6749311503473621"/>
    <n v="5.512476415699604"/>
    <m/>
    <n v="0.54549376483520051"/>
    <n v="0.27"/>
    <n v="37.070204646784902"/>
    <n v="16.150919036980973"/>
    <n v="1.4068126959299878"/>
    <m/>
    <m/>
    <m/>
    <m/>
    <m/>
    <m/>
    <m/>
    <m/>
    <m/>
    <m/>
    <m/>
    <n v="0.25520520902790023"/>
    <m/>
    <m/>
    <m/>
    <m/>
    <m/>
    <m/>
    <m/>
    <m/>
    <m/>
    <m/>
    <m/>
    <n v="1061.5941027269753"/>
    <n v="0.15161339244457916"/>
    <n v="0.21524837266755098"/>
    <n v="372.77184414022167"/>
    <n v="358.18775476198169"/>
    <x v="9"/>
    <n v="14.644015877877388"/>
    <n v="3.9965468373646496"/>
    <n v="0.3"/>
    <n v="0"/>
    <n v="0.4"/>
    <x v="0"/>
    <n v="0.43455792867780862"/>
    <n v="0.27"/>
    <n v="358.18775476198169"/>
    <n v="0.43455792867780862"/>
    <n v="13.402765198316942"/>
    <n v="102.16991801294506"/>
    <n v="39547.397812987059"/>
    <n v="21.07425509607511"/>
    <n v="48315.324094751224"/>
    <x v="0"/>
    <n v="3.3517137630779652E-6"/>
    <n v="1595473.9781298707"/>
    <n v="3.0282740274701229E-2"/>
  </r>
  <r>
    <x v="0"/>
    <n v="300"/>
    <n v="25"/>
    <x v="0"/>
    <n v="8.2412627698234733"/>
    <n v="1.3649657186337865"/>
    <n v="9.3032762677341125"/>
    <n v="7.7400242676661479"/>
    <m/>
    <n v="0.55628912360690053"/>
    <n v="0.27"/>
    <n v="52.134003278784959"/>
    <n v="22.713984831005895"/>
    <n v="1.7629101078763991"/>
    <m/>
    <m/>
    <m/>
    <m/>
    <m/>
    <m/>
    <m/>
    <m/>
    <m/>
    <m/>
    <m/>
    <n v="0.22776544968223594"/>
    <m/>
    <m/>
    <m/>
    <m/>
    <m/>
    <m/>
    <m/>
    <m/>
    <m/>
    <m/>
    <m/>
    <n v="1224.908696121189"/>
    <n v="0.14671882026848965"/>
    <n v="0.22867523656422087"/>
    <n v="363.96084292446329"/>
    <n v="343.45364218298982"/>
    <x v="9"/>
    <n v="14.644015877877388"/>
    <n v="3.9965468373646496"/>
    <n v="0.3"/>
    <n v="0"/>
    <n v="0.4"/>
    <x v="0"/>
    <n v="0.45405240877763536"/>
    <n v="0.27"/>
    <n v="343.45364218298982"/>
    <n v="0.45405240877763536"/>
    <n v="18.227249010072335"/>
    <n v="125.20190498400476"/>
    <n v="51152.037142500994"/>
    <n v="26.610350453493236"/>
    <n v="84078.70364172291"/>
    <x v="0"/>
    <n v="4.3678493352713003E-6"/>
    <n v="1711520.3714250098"/>
    <n v="4.912515506416034E-2"/>
  </r>
  <r>
    <x v="0"/>
    <n v="400"/>
    <n v="25"/>
    <x v="0"/>
    <n v="10.334502954349139"/>
    <n v="1.6754773564025851"/>
    <n v="11.609017109197861"/>
    <n v="9.731662659758392"/>
    <m/>
    <n v="0.56663914751275657"/>
    <n v="0.27"/>
    <n v="65.635541251092192"/>
    <n v="28.596397640517345"/>
    <n v="2.0379544380652792"/>
    <m/>
    <m/>
    <m/>
    <m/>
    <m/>
    <m/>
    <m/>
    <m/>
    <m/>
    <m/>
    <m/>
    <n v="0.20941482553566806"/>
    <m/>
    <m/>
    <m/>
    <m/>
    <m/>
    <m/>
    <m/>
    <m/>
    <m/>
    <m/>
    <m/>
    <n v="1349.7675570289186"/>
    <n v="0.14432551357643353"/>
    <n v="0.23760900276681901"/>
    <n v="356.50626519193361"/>
    <n v="330.79033799627882"/>
    <x v="9"/>
    <n v="14.644015877877388"/>
    <n v="3.9965468373646496"/>
    <n v="0.3"/>
    <n v="0"/>
    <n v="0.4"/>
    <x v="0"/>
    <n v="0.46964930550713346"/>
    <n v="0.27"/>
    <n v="330.79033799627882"/>
    <n v="0.46964930550713346"/>
    <n v="22.406994499931976"/>
    <n v="143.54667953878712"/>
    <n v="60911.378720005501"/>
    <n v="31.16351112018485"/>
    <n v="121644.97106142135"/>
    <x v="0"/>
    <n v="5.1231587101236709E-6"/>
    <n v="1809113.7872000551"/>
    <n v="6.7240088446669732E-2"/>
  </r>
  <r>
    <x v="0"/>
    <n v="600"/>
    <n v="25"/>
    <x v="0"/>
    <n v="13.830627900841437"/>
    <n v="2.201927205131847"/>
    <n v="15.456079415329153"/>
    <n v="13.14539994301327"/>
    <m/>
    <n v="0.58677651502795536"/>
    <n v="0.27"/>
    <n v="88.848894667266421"/>
    <n v="38.710099336360891"/>
    <n v="2.4325318797247082"/>
    <m/>
    <m/>
    <m/>
    <m/>
    <m/>
    <m/>
    <m/>
    <m/>
    <m/>
    <m/>
    <m/>
    <n v="0.185048145379372"/>
    <m/>
    <m/>
    <m/>
    <m/>
    <m/>
    <m/>
    <m/>
    <m/>
    <m/>
    <m/>
    <m/>
    <n v="1526.365369016266"/>
    <n v="0.14246350228687374"/>
    <n v="0.24926818858488106"/>
    <n v="344.51507037717403"/>
    <n v="310.09942915391275"/>
    <x v="9"/>
    <n v="14.644015877877388"/>
    <n v="3.9965468373646496"/>
    <n v="0.3"/>
    <n v="0"/>
    <n v="0.4"/>
    <x v="0"/>
    <n v="0.49559148378672013"/>
    <n v="0.27"/>
    <n v="310.09942915391275"/>
    <n v="0.49559148378672013"/>
    <n v="29.305964663773857"/>
    <n v="171.57219710245076"/>
    <n v="76500.361038485993"/>
    <n v="38.222967666267074"/>
    <n v="196693.1600075312"/>
    <x v="0"/>
    <n v="6.1555804623840537E-6"/>
    <n v="1965003.6103848601"/>
    <n v="0.10009811634341345"/>
  </r>
  <r>
    <x v="0"/>
    <n v="800"/>
    <n v="25"/>
    <x v="0"/>
    <n v="16.588170152739398"/>
    <n v="2.6264780087964956"/>
    <n v="18.489160664446011"/>
    <n v="15.935606303460437"/>
    <m/>
    <n v="0.60692906351269649"/>
    <n v="0.27"/>
    <n v="107.89328216542762"/>
    <n v="47.007446586597091"/>
    <n v="2.6878731744031921"/>
    <m/>
    <m/>
    <m/>
    <m/>
    <m/>
    <m/>
    <m/>
    <m/>
    <m/>
    <m/>
    <m/>
    <n v="0.16867090735164039"/>
    <m/>
    <m/>
    <m/>
    <m/>
    <m/>
    <m/>
    <m/>
    <m/>
    <m/>
    <m/>
    <m/>
    <n v="1638.0766550891349"/>
    <n v="0.14205501571778312"/>
    <n v="0.25685181182682393"/>
    <n v="335.41735199468411"/>
    <n v="294.14006788753915"/>
    <x v="9"/>
    <n v="14.644015877877388"/>
    <n v="3.9965468373646496"/>
    <n v="0.3"/>
    <n v="0"/>
    <n v="0.4"/>
    <x v="0"/>
    <n v="0.51865222739903516"/>
    <n v="0.27"/>
    <n v="294.14006788753915"/>
    <n v="0.51865222739903516"/>
    <n v="34.668881270543437"/>
    <n v="191.84586904706478"/>
    <n v="88110.526862547413"/>
    <n v="43.254733876281229"/>
    <n v="266582.29869939765"/>
    <x v="0"/>
    <n v="6.8127581323664116E-6"/>
    <n v="2081105.2686254741"/>
    <n v="0.12809649887411492"/>
  </r>
  <r>
    <x v="0"/>
    <n v="1000"/>
    <n v="25"/>
    <x v="0"/>
    <n v="18.763887514800441"/>
    <n v="2.9684490376165305"/>
    <n v="20.882148818759511"/>
    <n v="18.221276445725263"/>
    <m/>
    <n v="0.62866116211196343"/>
    <n v="0.27"/>
    <n v="123.54703250407921"/>
    <n v="53.827545281860232"/>
    <n v="2.8398995497502959"/>
    <m/>
    <m/>
    <m/>
    <m/>
    <m/>
    <m/>
    <m/>
    <m/>
    <m/>
    <m/>
    <m/>
    <n v="0.15585623533067797"/>
    <m/>
    <m/>
    <m/>
    <m/>
    <m/>
    <m/>
    <m/>
    <m/>
    <m/>
    <m/>
    <m/>
    <n v="1701.7148085622948"/>
    <n v="0.14215247019740707"/>
    <n v="0.26227159869070443"/>
    <n v="328.45627354058797"/>
    <n v="281.76503368714765"/>
    <x v="9"/>
    <n v="14.644015877877388"/>
    <n v="3.9965468373646496"/>
    <n v="0.3"/>
    <n v="0"/>
    <n v="0.4"/>
    <x v="0"/>
    <n v="0.54186461709510081"/>
    <n v="0.27"/>
    <n v="281.76503368714765"/>
    <n v="0.54186461709510081"/>
    <n v="38.816120185360468"/>
    <n v="206.88458119899809"/>
    <n v="96720.043971623483"/>
    <n v="46.730132861324122"/>
    <n v="328264.28536175372"/>
    <x v="0"/>
    <n v="7.2578082903509406E-6"/>
    <n v="2167200.4397162348"/>
    <n v="0.15146927775851476"/>
  </r>
  <r>
    <x v="0"/>
    <n v="1300"/>
    <n v="25"/>
    <x v="0"/>
    <n v="21.361943364966226"/>
    <n v="3.4310392730162382"/>
    <n v="23.764083722225742"/>
    <n v="20.821679245135993"/>
    <m/>
    <n v="0.63304021979141711"/>
    <n v="0.27"/>
    <n v="141.44449051634254"/>
    <n v="61.625192963551733"/>
    <n v="3.0665737873473802"/>
    <m/>
    <m/>
    <m/>
    <m/>
    <m/>
    <m/>
    <m/>
    <m/>
    <m/>
    <m/>
    <m/>
    <n v="0.14727792851115701"/>
    <m/>
    <m/>
    <m/>
    <m/>
    <m/>
    <m/>
    <m/>
    <m/>
    <m/>
    <m/>
    <m/>
    <n v="1798.9673958592655"/>
    <n v="0.14437919480174627"/>
    <n v="0.26319694123526061"/>
    <n v="318.83665796149319"/>
    <n v="265.68050218557448"/>
    <x v="9"/>
    <n v="14.644015877877388"/>
    <n v="3.9965468373646496"/>
    <n v="0.3"/>
    <n v="0"/>
    <n v="0.4"/>
    <x v="0"/>
    <n v="0.54838227778859805"/>
    <n v="0.27"/>
    <n v="265.68050218557448"/>
    <n v="0.54838227778859805"/>
    <n v="44.208869895866165"/>
    <n v="221.5459281989076"/>
    <n v="107282.68066516992"/>
    <n v="53.102360101650369"/>
    <n v="412055.4587679283"/>
    <x v="0"/>
    <n v="7.6847594511681615E-6"/>
    <n v="2272826.8066516994"/>
    <n v="0.18129646199261587"/>
  </r>
  <r>
    <x v="0"/>
    <n v="1600"/>
    <n v="25"/>
    <x v="0"/>
    <n v="23.203608852053023"/>
    <n v="3.7800266657494728"/>
    <n v="25.813644137775903"/>
    <n v="22.660745477533645"/>
    <m/>
    <n v="0.63303660801609185"/>
    <n v="0.27"/>
    <n v="154.17614355168524"/>
    <n v="67.172178725837966"/>
    <n v="3.2300289358783445"/>
    <m/>
    <m/>
    <m/>
    <m/>
    <m/>
    <m/>
    <m/>
    <m/>
    <m/>
    <m/>
    <m/>
    <n v="0.14253851176611401"/>
    <m/>
    <m/>
    <m/>
    <m/>
    <m/>
    <m/>
    <m/>
    <m/>
    <m/>
    <m/>
    <m/>
    <n v="1869.2159558850915"/>
    <n v="0.14643522028793099"/>
    <n v="0.26349872256708595"/>
    <n v="311.94033646161051"/>
    <n v="254.20148794591935"/>
    <x v="9"/>
    <n v="14.644015877877388"/>
    <n v="3.9965468373646496"/>
    <n v="0.3"/>
    <n v="0"/>
    <n v="0.4"/>
    <x v="0"/>
    <n v="0.54983077164764904"/>
    <n v="0.27"/>
    <n v="254.20148794591935"/>
    <n v="0.54983077164764904"/>
    <n v="48.164163683318208"/>
    <n v="230.05768111224768"/>
    <n v="114257.98719229072"/>
    <n v="57.951100027009581"/>
    <n v="476829.39860303246"/>
    <x v="0"/>
    <n v="7.9510296168357738E-6"/>
    <n v="2342579.8719229074"/>
    <n v="0.20354883277112207"/>
  </r>
  <r>
    <x v="0"/>
    <n v="1900"/>
    <n v="25"/>
    <x v="0"/>
    <n v="24.546653349764441"/>
    <n v="4.0440662767632531"/>
    <n v="27.311348864288913"/>
    <n v="24.014593019421138"/>
    <m/>
    <n v="0.63326603340303667"/>
    <n v="0.27"/>
    <n v="163.59186495086772"/>
    <n v="71.274463982743214"/>
    <n v="3.3438827737025143"/>
    <m/>
    <m/>
    <m/>
    <m/>
    <m/>
    <m/>
    <m/>
    <m/>
    <m/>
    <m/>
    <m/>
    <n v="0.13924378276984506"/>
    <m/>
    <m/>
    <m/>
    <m/>
    <m/>
    <m/>
    <m/>
    <m/>
    <m/>
    <m/>
    <m/>
    <n v="1917.8309124948917"/>
    <n v="0.14807274063461184"/>
    <n v="0.26385869242270715"/>
    <n v="306.97045784476114"/>
    <n v="245.8895256436351"/>
    <x v="9"/>
    <n v="14.644015877877388"/>
    <n v="3.9965468373646496"/>
    <n v="0.3"/>
    <n v="0"/>
    <n v="0.4"/>
    <x v="0"/>
    <n v="0.55103158647436412"/>
    <n v="0.27"/>
    <n v="245.8895256436351"/>
    <n v="0.55103158647436412"/>
    <n v="51.092313507514135"/>
    <n v="235.57716863032061"/>
    <n v="119135.48824030446"/>
    <n v="61.487781826817134"/>
    <n v="527113.49058858829"/>
    <x v="0"/>
    <n v="8.1265137559968003E-6"/>
    <n v="2391354.8824030445"/>
    <n v="0.22042461972808408"/>
  </r>
  <r>
    <x v="0"/>
    <n v="1000"/>
    <n v="25"/>
    <x v="1"/>
    <n v="17.263759548741607"/>
    <n v="5.6501170092283735"/>
    <n v="20.780112797217754"/>
    <n v="18.780384582116202"/>
    <m/>
    <n v="0.99973507332295641"/>
    <n v="0.27"/>
    <n v="129.22453715167867"/>
    <n v="56.301146891810212"/>
    <n v="1.102414078262079"/>
    <m/>
    <m/>
    <m/>
    <m/>
    <m/>
    <m/>
    <m/>
    <m/>
    <m/>
    <m/>
    <m/>
    <n v="5.87002930340342E-2"/>
    <m/>
    <m/>
    <m/>
    <m/>
    <m/>
    <m/>
    <m/>
    <m/>
    <m/>
    <m/>
    <m/>
    <n v="626.48117343167507"/>
    <n v="0.27190020883740662"/>
    <n v="0.21113234457836616"/>
    <n v="118.23252101321783"/>
    <n v="75.274134300636106"/>
    <x v="9"/>
    <n v="14.644015877877388"/>
    <n v="3.9965468373646496"/>
    <n v="0.3"/>
    <n v="0"/>
    <n v="0.4"/>
    <x v="0"/>
    <n v="0.99951147276444829"/>
    <n v="0.27"/>
    <n v="75.274134300636106"/>
    <n v="0.99951147276444829"/>
    <n v="49.313795882053029"/>
    <n v="222.76456004173824"/>
    <n v="108213.55819876227"/>
    <n v="53.753337503046133"/>
    <n v="319865.31606683705"/>
    <x v="1"/>
    <n v="6.3774339588841337E-6"/>
    <n v="2282135.5819876227"/>
    <n v="0.14016052271015852"/>
  </r>
  <r>
    <x v="0"/>
    <n v="1000"/>
    <n v="25"/>
    <x v="2"/>
    <n v="18.103188286768059"/>
    <n v="3.6993142506431065"/>
    <n v="20.605634307358194"/>
    <n v="18.381690514454384"/>
    <m/>
    <n v="0.66989872263511119"/>
    <n v="0.27"/>
    <n v="124.94909167860112"/>
    <n v="54.438400938809622"/>
    <n v="2.2866936019216837"/>
    <m/>
    <m/>
    <m/>
    <m/>
    <m/>
    <m/>
    <m/>
    <m/>
    <m/>
    <m/>
    <m/>
    <n v="0.12440061484679821"/>
    <m/>
    <m/>
    <m/>
    <m/>
    <m/>
    <m/>
    <m/>
    <m/>
    <m/>
    <m/>
    <m/>
    <n v="1326.748482373257"/>
    <n v="0.17952925862234173"/>
    <n v="0.25301080469534054"/>
    <n v="228.44895178066895"/>
    <n v="183.40168141241665"/>
    <x v="9"/>
    <n v="14.644015877877388"/>
    <n v="3.9965468373646496"/>
    <n v="0.3"/>
    <n v="0"/>
    <n v="0.4"/>
    <x v="0"/>
    <n v="0.56635708751586522"/>
    <n v="0.27"/>
    <n v="183.40168141241665"/>
    <n v="0.56635708751586522"/>
    <n v="42.464806323379726"/>
    <n v="210.69784815520848"/>
    <n v="100872.23945559861"/>
    <n v="50.417709952224811"/>
    <n v="323427.5796946357"/>
    <x v="1"/>
    <n v="6.8897283331556157E-6"/>
    <n v="2208722.3945559859"/>
    <n v="0.14643197374727282"/>
  </r>
  <r>
    <x v="0"/>
    <n v="1000"/>
    <n v="25"/>
    <x v="0"/>
    <n v="18.762893139243278"/>
    <n v="2.9672595889417024"/>
    <n v="20.880462210432523"/>
    <n v="18.21759972944945"/>
    <m/>
    <n v="0.62775910401110924"/>
    <n v="0.27"/>
    <n v="123.52240917072714"/>
    <n v="53.816817273553319"/>
    <n v="2.846473918576411"/>
    <m/>
    <m/>
    <m/>
    <m/>
    <m/>
    <m/>
    <m/>
    <m/>
    <m/>
    <m/>
    <m/>
    <n v="0.15624857065966691"/>
    <m/>
    <m/>
    <m/>
    <m/>
    <m/>
    <m/>
    <m/>
    <m/>
    <m/>
    <m/>
    <m/>
    <n v="1705.0132513480555"/>
    <n v="0.1421069878165421"/>
    <n v="0.26229049048395381"/>
    <n v="328.46521768812988"/>
    <n v="281.77629205984937"/>
    <x v="9"/>
    <n v="14.644015877877388"/>
    <n v="3.9965468373646496"/>
    <n v="0.3"/>
    <n v="0"/>
    <n v="0.4"/>
    <x v="0"/>
    <n v="0.54107401504488428"/>
    <n v="0.27"/>
    <n v="281.77629205984937"/>
    <n v="0.54107401504488428"/>
    <n v="38.815346127852692"/>
    <n v="206.81821533967008"/>
    <n v="96710.314970163759"/>
    <n v="46.757495347687914"/>
    <n v="328221.2796008985"/>
    <x v="1"/>
    <n v="7.2578371414271106E-6"/>
    <n v="2167103.1497016377"/>
    <n v="0.1514562330113762"/>
  </r>
  <r>
    <x v="0"/>
    <n v="1000"/>
    <n v="25"/>
    <x v="3"/>
    <n v="19.427557435575483"/>
    <n v="2.5672547408350859"/>
    <n v="21.338117476842459"/>
    <n v="18.051986587285878"/>
    <m/>
    <n v="0.58516052077579828"/>
    <n v="0.27"/>
    <n v="122.26681476966557"/>
    <n v="53.269774069771309"/>
    <n v="3.3550182281950356"/>
    <m/>
    <m/>
    <m/>
    <m/>
    <m/>
    <m/>
    <m/>
    <m/>
    <m/>
    <m/>
    <m/>
    <n v="0.18585313100985767"/>
    <m/>
    <m/>
    <m/>
    <m/>
    <m/>
    <m/>
    <m/>
    <m/>
    <m/>
    <m/>
    <m/>
    <n v="2054.4916800221695"/>
    <n v="0.12031308495799786"/>
    <n v="0.26016243919056514"/>
    <n v="425.32527948300378"/>
    <n v="376.98256592465123"/>
    <x v="9"/>
    <n v="14.644015877877388"/>
    <n v="3.9965468373646496"/>
    <n v="0.3"/>
    <n v="0"/>
    <n v="0.4"/>
    <x v="0"/>
    <n v="0.51072850507978229"/>
    <n v="0.27"/>
    <n v="376.98256592465123"/>
    <n v="0.51072850507978229"/>
    <n v="37.162782995222209"/>
    <n v="203.46108334425685"/>
    <n v="95664.555523342846"/>
    <n v="47.311984995514969"/>
    <n v="339693.18808847945"/>
    <x v="1"/>
    <n v="7.518917955084623E-6"/>
    <n v="2156645.5552334283"/>
    <n v="0.15750997527811758"/>
  </r>
  <r>
    <x v="0"/>
    <n v="1000"/>
    <n v="25"/>
    <x v="4"/>
    <n v="19.890532146888706"/>
    <n v="2.2561662196991232"/>
    <n v="21.638608794088327"/>
    <n v="17.932784622377831"/>
    <m/>
    <n v="0.5639631254159907"/>
    <n v="0.27"/>
    <n v="121.38226877507776"/>
    <n v="52.88439096009612"/>
    <n v="3.7385465316682289"/>
    <m/>
    <m/>
    <m/>
    <m/>
    <m/>
    <m/>
    <m/>
    <m/>
    <m/>
    <m/>
    <m/>
    <n v="0.2084755162342718"/>
    <m/>
    <m/>
    <m/>
    <m/>
    <m/>
    <m/>
    <m/>
    <m/>
    <m/>
    <m/>
    <m/>
    <n v="2342.9146238226276"/>
    <n v="0.10426577055709368"/>
    <n v="0.25877637566660994"/>
    <n v="523.13621328202566"/>
    <n v="473.64135798851447"/>
    <x v="9"/>
    <n v="14.644015877877388"/>
    <n v="3.9965468373646496"/>
    <n v="0.3"/>
    <n v="0"/>
    <n v="0.4"/>
    <x v="0"/>
    <n v="0.49799288522927754"/>
    <n v="0.27"/>
    <n v="473.64135798851447"/>
    <n v="0.49799288522927754"/>
    <n v="35.678725586685637"/>
    <n v="201.12725805344917"/>
    <n v="94387.484821902704"/>
    <n v="46.870156886574826"/>
    <n v="346253.73931472958"/>
    <x v="1"/>
    <n v="7.7228627659270959E-6"/>
    <n v="2143874.8482190268"/>
    <n v="0.16150837330937096"/>
  </r>
  <r>
    <x v="0"/>
    <n v="1000"/>
    <n v="25"/>
    <x v="5"/>
    <n v="20.2420816354016"/>
    <n v="2.0150089663349737"/>
    <n v="21.864069976102588"/>
    <n v="17.850022703580482"/>
    <m/>
    <n v="0.55148939623825932"/>
    <n v="0.27"/>
    <n v="120.77151727306011"/>
    <n v="52.61829590734984"/>
    <n v="4.0372156717201797"/>
    <m/>
    <m/>
    <m/>
    <m/>
    <m/>
    <m/>
    <m/>
    <m/>
    <m/>
    <m/>
    <m/>
    <n v="0.2261742597621664"/>
    <m/>
    <m/>
    <m/>
    <m/>
    <m/>
    <m/>
    <m/>
    <m/>
    <m/>
    <m/>
    <m/>
    <n v="2589.6732886169784"/>
    <n v="9.2160744478835682E-2"/>
    <n v="0.25764905161942553"/>
    <n v="621.43545063266424"/>
    <n v="571.06545275688984"/>
    <x v="9"/>
    <n v="14.644015877877388"/>
    <n v="3.9965468373646496"/>
    <n v="0.3"/>
    <n v="0"/>
    <n v="0.4"/>
    <x v="0"/>
    <n v="0.49159057252063049"/>
    <n v="0.27"/>
    <n v="571.06545275688984"/>
    <n v="0.49159057252063049"/>
    <n v="34.46874349424747"/>
    <n v="199.53053999675805"/>
    <n v="93312.627797050314"/>
    <n v="46.263003016642379"/>
    <n v="350859.6116371862"/>
    <x v="1"/>
    <n v="7.8831164275019326E-6"/>
    <n v="2133126.2779705031"/>
    <n v="0.16448140705997055"/>
  </r>
  <r>
    <x v="0"/>
    <n v="1000"/>
    <n v="25"/>
    <x v="6"/>
    <n v="20.514322308763859"/>
    <n v="1.822042019110262"/>
    <n v="22.035226033221225"/>
    <n v="17.785070391390132"/>
    <m/>
    <n v="0.54243175615939887"/>
    <n v="0.27"/>
    <n v="120.29674881509378"/>
    <n v="52.411446579190233"/>
    <n v="4.2891640624046321"/>
    <m/>
    <m/>
    <m/>
    <m/>
    <m/>
    <m/>
    <m/>
    <m/>
    <m/>
    <m/>
    <m/>
    <n v="0.24116654969670764"/>
    <m/>
    <m/>
    <m/>
    <m/>
    <m/>
    <m/>
    <m/>
    <m/>
    <m/>
    <m/>
    <m/>
    <n v="2813.6448219360382"/>
    <n v="8.2687693621262409E-2"/>
    <n v="0.25678128178140858"/>
    <n v="720.10974411200584"/>
    <n v="669.06279073372184"/>
    <x v="9"/>
    <n v="14.644015877877388"/>
    <n v="3.9965468373646496"/>
    <n v="0.3"/>
    <n v="0"/>
    <n v="0.4"/>
    <x v="0"/>
    <n v="0.48726729588895767"/>
    <n v="0.27"/>
    <n v="669.06279073372184"/>
    <n v="0.48726729588895767"/>
    <n v="33.472231480983403"/>
    <n v="198.29749768172979"/>
    <n v="92391.957058146974"/>
    <n v="45.655588279163368"/>
    <n v="354117.47606129071"/>
    <x v="1"/>
    <n v="8.0117688733389997E-6"/>
    <n v="2123919.5705814697"/>
    <n v="0.16672828903984499"/>
  </r>
  <r>
    <x v="0"/>
    <n v="1000"/>
    <n v="25"/>
    <x v="7"/>
    <n v="20.733840227746189"/>
    <n v="1.6647536456307421"/>
    <n v="22.172328651452982"/>
    <n v="17.733861353927797"/>
    <m/>
    <n v="0.53525998749958736"/>
    <n v="0.27"/>
    <n v="119.92432366972734"/>
    <n v="52.249186661084529"/>
    <n v="4.5066059792184578"/>
    <m/>
    <m/>
    <m/>
    <m/>
    <m/>
    <m/>
    <m/>
    <m/>
    <m/>
    <m/>
    <m/>
    <n v="0.25412434941701567"/>
    <m/>
    <m/>
    <m/>
    <m/>
    <m/>
    <m/>
    <m/>
    <m/>
    <m/>
    <m/>
    <m/>
    <n v="3020.7365761948176"/>
    <n v="7.5082490062298834E-2"/>
    <n v="0.2560579899632684"/>
    <n v="819.02677893113014"/>
    <n v="767.43358658559123"/>
    <x v="9"/>
    <n v="14.644015877877388"/>
    <n v="3.9965468373646496"/>
    <n v="0.3"/>
    <n v="0"/>
    <n v="0.4"/>
    <x v="0"/>
    <n v="0.48392676981630717"/>
    <n v="0.27"/>
    <n v="767.43358658559123"/>
    <n v="0.48392676981630717"/>
    <n v="32.647730706388643"/>
    <n v="197.33519621272217"/>
    <n v="91626.657461832772"/>
    <n v="45.109444143846765"/>
    <n v="356625.70939712139"/>
    <x v="1"/>
    <n v="8.1171495295772091E-6"/>
    <n v="2116266.5746183274"/>
    <n v="0.16851644007156305"/>
  </r>
  <r>
    <x v="0"/>
    <n v="1000"/>
    <n v="25"/>
    <x v="8"/>
    <n v="20.914421297545083"/>
    <n v="1.5339371692626764"/>
    <n v="22.284343480780279"/>
    <n v="17.692023944302999"/>
    <m/>
    <n v="0.52916162573900649"/>
    <n v="0.27"/>
    <n v="119.62144153051956"/>
    <n v="52.117225563089441"/>
    <n v="4.6990656288689099"/>
    <m/>
    <m/>
    <m/>
    <m/>
    <m/>
    <m/>
    <m/>
    <m/>
    <m/>
    <m/>
    <m/>
    <n v="0.26560362136419413"/>
    <m/>
    <m/>
    <m/>
    <m/>
    <m/>
    <m/>
    <m/>
    <m/>
    <m/>
    <m/>
    <m/>
    <n v="3215.6185007536756"/>
    <n v="6.8834748063619694E-2"/>
    <n v="0.2554538074305629"/>
    <n v="918.12836337062618"/>
    <n v="866.08568631922094"/>
    <x v="9"/>
    <n v="14.644015877877388"/>
    <n v="3.9965468373646496"/>
    <n v="0.3"/>
    <n v="0"/>
    <n v="0.4"/>
    <x v="0"/>
    <n v="0.48103173660944448"/>
    <n v="0.27"/>
    <n v="866.08568631922094"/>
    <n v="0.48103173660944448"/>
    <n v="31.954807387156812"/>
    <n v="196.55575775755156"/>
    <n v="90980.121533143814"/>
    <n v="44.625681683991075"/>
    <n v="358601.97906209389"/>
    <x v="1"/>
    <n v="8.2050586850798129E-6"/>
    <n v="2109801.215331438"/>
    <n v="0.16996955753756143"/>
  </r>
  <r>
    <x v="0"/>
    <n v="1000"/>
    <n v="25"/>
    <x v="9"/>
    <n v="21.064634800449308"/>
    <n v="1.4231846648295159"/>
    <n v="22.376457898162876"/>
    <n v="17.656522171599303"/>
    <m/>
    <n v="0.52370013689799289"/>
    <n v="0.27"/>
    <n v="119.36568263037283"/>
    <n v="52.005795336884425"/>
    <n v="4.8732093602740907"/>
    <m/>
    <m/>
    <m/>
    <m/>
    <m/>
    <m/>
    <m/>
    <m/>
    <m/>
    <m/>
    <m/>
    <n v="0.27600052337105763"/>
    <m/>
    <m/>
    <m/>
    <m/>
    <m/>
    <m/>
    <m/>
    <m/>
    <m/>
    <m/>
    <m/>
    <n v="3401.5698207199803"/>
    <n v="6.3601874403292416E-2"/>
    <n v="0.25496256284874802"/>
    <n v="1017.3814595951268"/>
    <n v="964.96514058293633"/>
    <x v="9"/>
    <n v="14.644015877877388"/>
    <n v="3.9965468373646496"/>
    <n v="0.3"/>
    <n v="0"/>
    <n v="0.4"/>
    <x v="0"/>
    <n v="0.47831798454280056"/>
    <n v="0.27"/>
    <n v="964.96514058293633"/>
    <n v="0.47831798454280056"/>
    <n v="31.362661003858719"/>
    <n v="195.8997854489202"/>
    <n v="90419.354291375392"/>
    <n v="44.192520670603486"/>
    <n v="360152.65072027734"/>
    <x v="1"/>
    <n v="8.2795568160947122E-6"/>
    <n v="2104193.542913754"/>
    <n v="0.17115946959021686"/>
  </r>
  <r>
    <x v="0"/>
    <n v="1000"/>
    <n v="25"/>
    <x v="0"/>
    <n v="18.763278715152953"/>
    <n v="2.9677048413153893"/>
    <n v="20.881107342312937"/>
    <n v="18.218976875339113"/>
    <m/>
    <n v="0.62809434773735418"/>
    <n v="0.27"/>
    <n v="123.53163225592374"/>
    <n v="53.820835630174237"/>
    <n v="2.8440270249559703"/>
    <m/>
    <m/>
    <m/>
    <m/>
    <m/>
    <m/>
    <m/>
    <m/>
    <m/>
    <m/>
    <m/>
    <n v="0.15610245539120229"/>
    <m/>
    <m/>
    <m/>
    <m/>
    <m/>
    <m/>
    <m/>
    <m/>
    <m/>
    <m/>
    <m/>
    <n v="1703.7855003782304"/>
    <n v="0.14212392056917925"/>
    <n v="0.26228330334795347"/>
    <n v="328.46178740451126"/>
    <n v="281.77198790024499"/>
    <x v="9"/>
    <n v="14.644015877877388"/>
    <n v="3.9965468373646496"/>
    <n v="0.3"/>
    <n v="0"/>
    <n v="0.4"/>
    <x v="0"/>
    <n v="0.54136770666998613"/>
    <n v="0.27"/>
    <n v="281.77198790024499"/>
    <n v="0.54136770666998613"/>
    <n v="38.81567074671527"/>
    <n v="206.84307138113255"/>
    <n v="96714.068341504069"/>
    <n v="46.747411219783707"/>
    <n v="328237.91147214849"/>
    <x v="2"/>
    <n v="7.2578266645642742E-6"/>
    <n v="2167140.6834150408"/>
    <n v="0.15146128443996631"/>
  </r>
  <r>
    <x v="0"/>
    <n v="1000"/>
    <n v="25"/>
    <x v="0"/>
    <n v="18.144084025396012"/>
    <n v="2.8573504619933803"/>
    <n v="20.175271195922186"/>
    <n v="17.613620095574433"/>
    <m/>
    <n v="0.63074472192105646"/>
    <n v="0.27"/>
    <n v="119.47064906686255"/>
    <n v="52.051527601745093"/>
    <n v="2.7666891410882517"/>
    <m/>
    <m/>
    <m/>
    <m/>
    <m/>
    <m/>
    <m/>
    <m/>
    <m/>
    <m/>
    <m/>
    <n v="0.15707668986135367"/>
    <m/>
    <m/>
    <m/>
    <m/>
    <m/>
    <m/>
    <m/>
    <m/>
    <m/>
    <m/>
    <m/>
    <n v="1669.2381873696602"/>
    <n v="0.14162637192063651"/>
    <n v="0.26312048913517699"/>
    <n v="331.04267902118954"/>
    <n v="285.89361682553482"/>
    <x v="9"/>
    <n v="14.644015877877388"/>
    <n v="3.9965468373646496"/>
    <n v="0.3"/>
    <n v="0"/>
    <n v="0.4"/>
    <x v="1"/>
    <n v="0.5436020732541067"/>
    <n v="0.27"/>
    <n v="285.89361682553482"/>
    <n v="0.5436020732541067"/>
    <n v="37.472963336254374"/>
    <n v="196.16876144559612"/>
    <n v="90967.279102229135"/>
    <n v="44.836014366198093"/>
    <n v="374709.56708041811"/>
    <x v="2"/>
    <n v="7.0328719861307275E-6"/>
    <n v="2109672.7910222914"/>
    <n v="0.17761501625986456"/>
  </r>
  <r>
    <x v="0"/>
    <n v="1000"/>
    <n v="25"/>
    <x v="0"/>
    <n v="15.932146127139314"/>
    <n v="2.4853057138538794"/>
    <n v="17.674904367806075"/>
    <n v="15.386462078779015"/>
    <m/>
    <n v="0.62649852950943463"/>
    <n v="0.27"/>
    <n v="104.49807659489959"/>
    <n v="45.528207645080727"/>
    <n v="2.5429813431257546"/>
    <m/>
    <m/>
    <m/>
    <m/>
    <m/>
    <m/>
    <m/>
    <m/>
    <m/>
    <m/>
    <m/>
    <n v="0.1652739486248129"/>
    <m/>
    <m/>
    <m/>
    <m/>
    <m/>
    <m/>
    <m/>
    <m/>
    <m/>
    <m/>
    <m/>
    <n v="1571.5099505850096"/>
    <n v="0.14061211659966519"/>
    <n v="0.26405776063556968"/>
    <n v="339.66416253477388"/>
    <n v="300.01927902213288"/>
    <x v="9"/>
    <n v="14.644015877877388"/>
    <n v="3.9965468373646496"/>
    <n v="0.3"/>
    <n v="0"/>
    <n v="0.4"/>
    <x v="2"/>
    <n v="0.53846738265224936"/>
    <n v="0.27"/>
    <n v="300.01927902213288"/>
    <n v="0.53846738265224936"/>
    <n v="32.915995415634193"/>
    <n v="160.83572857297543"/>
    <n v="72813.915169390762"/>
    <n v="39.20642492295238"/>
    <n v="500901.38074808527"/>
    <x v="2"/>
    <n v="6.2627954699770999E-6"/>
    <n v="1928139.1516939076"/>
    <n v="0.25978487097678282"/>
  </r>
  <r>
    <x v="0"/>
    <n v="1000"/>
    <n v="25"/>
    <x v="0"/>
    <n v="13.826553546704501"/>
    <n v="2.1496003474623584"/>
    <n v="15.316612802672733"/>
    <n v="13.297779050983207"/>
    <m/>
    <n v="0.62351867698140262"/>
    <n v="0.27"/>
    <n v="90.41209307437363"/>
    <n v="39.391160883025854"/>
    <n v="2.3075205194533179"/>
    <m/>
    <m/>
    <m/>
    <m/>
    <m/>
    <m/>
    <m/>
    <m/>
    <m/>
    <m/>
    <m/>
    <n v="0.17352676041663553"/>
    <m/>
    <m/>
    <m/>
    <m/>
    <m/>
    <m/>
    <m/>
    <m/>
    <m/>
    <m/>
    <m/>
    <n v="1467.0888238851226"/>
    <n v="0.14034436824617355"/>
    <n v="0.26454293553999608"/>
    <n v="347.73417963900204"/>
    <n v="313.32856415846334"/>
    <x v="9"/>
    <n v="14.644015877877388"/>
    <n v="3.9965468373646496"/>
    <n v="0.3"/>
    <n v="0"/>
    <n v="0.4"/>
    <x v="3"/>
    <n v="0.53403752618664579"/>
    <n v="0.27"/>
    <n v="313.32856415846334"/>
    <n v="0.53403752618664579"/>
    <n v="28.664967064680127"/>
    <n v="132.09882170566266"/>
    <n v="58229.591765749239"/>
    <n v="34.004811189158708"/>
    <n v="576033.61369101855"/>
    <x v="2"/>
    <n v="5.548873378421776E-6"/>
    <n v="1782295.9176574924"/>
    <n v="0.32319751618357023"/>
  </r>
  <r>
    <x v="0"/>
    <n v="1000"/>
    <n v="25"/>
    <x v="0"/>
    <n v="12.633069459741902"/>
    <n v="1.9654167121488491"/>
    <n v="13.987082038729888"/>
    <n v="12.127650364439546"/>
    <m/>
    <n v="0.62246473584641138"/>
    <n v="0.27"/>
    <n v="82.503899472254417"/>
    <n v="35.945682342683455"/>
    <n v="2.1647650463833745"/>
    <m/>
    <m/>
    <m/>
    <m/>
    <m/>
    <m/>
    <m/>
    <m/>
    <m/>
    <m/>
    <m/>
    <n v="0.17849830604705222"/>
    <m/>
    <m/>
    <m/>
    <m/>
    <m/>
    <m/>
    <m/>
    <m/>
    <m/>
    <m/>
    <m/>
    <n v="1403.2264648038865"/>
    <n v="0.14051656426312925"/>
    <n v="0.26473149617981206"/>
    <n v="352.27968850687409"/>
    <n v="320.84394161220081"/>
    <x v="9"/>
    <n v="14.644015877877388"/>
    <n v="3.9965468373646496"/>
    <n v="0.3"/>
    <n v="0"/>
    <n v="0.4"/>
    <x v="4"/>
    <n v="0.53188309000279899"/>
    <n v="0.27"/>
    <n v="320.84394161220081"/>
    <n v="0.53188309000279899"/>
    <n v="26.280399674386892"/>
    <n v="117.43180581498801"/>
    <n v="50903.594725506249"/>
    <n v="31.089883350436949"/>
    <n v="604494.37839952204"/>
    <x v="2"/>
    <n v="5.1385823156050074E-6"/>
    <n v="1709035.9472550624"/>
    <n v="0.35370489390256532"/>
  </r>
  <r>
    <x v="0"/>
    <n v="1000"/>
    <n v="25"/>
    <x v="0"/>
    <n v="11.157997817482523"/>
    <n v="1.7410491287621119"/>
    <n v="12.348807627827284"/>
    <n v="10.693129293002642"/>
    <m/>
    <n v="0.62025684175124629"/>
    <n v="0.27"/>
    <n v="72.793696115564799"/>
    <n v="31.715095817984661"/>
    <n v="1.9889514002294622"/>
    <m/>
    <m/>
    <m/>
    <m/>
    <m/>
    <m/>
    <m/>
    <m/>
    <m/>
    <m/>
    <m/>
    <n v="0.18600274491499791"/>
    <m/>
    <m/>
    <m/>
    <m/>
    <m/>
    <m/>
    <m/>
    <m/>
    <m/>
    <m/>
    <m/>
    <n v="1324.6123948387669"/>
    <n v="0.14098925023649764"/>
    <n v="0.26504671933511809"/>
    <n v="357.90176975035621"/>
    <n v="330.13669472403529"/>
    <x v="9"/>
    <n v="14.644015877877388"/>
    <n v="3.9965468373646496"/>
    <n v="0.3"/>
    <n v="0"/>
    <n v="0.4"/>
    <x v="5"/>
    <n v="0.52824344027838688"/>
    <n v="0.27"/>
    <n v="330.13669472403529"/>
    <n v="0.52824344027838688"/>
    <n v="23.345479792452966"/>
    <n v="100.59270587076485"/>
    <n v="42633.466288312338"/>
    <n v="27.521392514717665"/>
    <n v="632422.15863587777"/>
    <x v="2"/>
    <n v="4.6092239825447716E-6"/>
    <n v="1626334.6628831234"/>
    <n v="0.38886348121901082"/>
  </r>
  <r>
    <x v="0"/>
    <n v="1000"/>
    <n v="25"/>
    <x v="0"/>
    <n v="9.2308721940927754"/>
    <n v="1.4567579457497648"/>
    <n v="10.217403122486047"/>
    <n v="8.8351926189212744"/>
    <m/>
    <n v="0.61918313462165087"/>
    <n v="0.27"/>
    <n v="60.194757875628213"/>
    <n v="26.225931854526813"/>
    <n v="1.7353676437347163"/>
    <m/>
    <m/>
    <m/>
    <m/>
    <m/>
    <m/>
    <m/>
    <m/>
    <m/>
    <m/>
    <m/>
    <n v="0.19641537186391242"/>
    <m/>
    <m/>
    <m/>
    <m/>
    <m/>
    <m/>
    <m/>
    <m/>
    <m/>
    <m/>
    <m/>
    <n v="1209.8928432867829"/>
    <n v="0.14257614467063465"/>
    <n v="0.26509335593138172"/>
    <n v="365.17878706668853"/>
    <n v="342.20902141942486"/>
    <x v="9"/>
    <n v="14.644015877877388"/>
    <n v="3.9965468373646496"/>
    <n v="0.3"/>
    <n v="0"/>
    <n v="0.4"/>
    <x v="6"/>
    <n v="0.52459188697812775"/>
    <n v="0.27"/>
    <n v="342.20902141942486"/>
    <n v="0.52459188697812775"/>
    <n v="19.538934592573483"/>
    <n v="80.344490220239507"/>
    <n v="32975.731897380116"/>
    <n v="22.9162919871162"/>
    <n v="653516.44120180223"/>
    <x v="2"/>
    <n v="3.888309041989928E-6"/>
    <n v="1529757.3189738011"/>
    <n v="0.42720268966596425"/>
  </r>
  <r>
    <x v="0"/>
    <n v="1000"/>
    <n v="25"/>
    <x v="0"/>
    <n v="8.0049855412401048"/>
    <n v="1.2779751621939726"/>
    <n v="8.8647969198487075"/>
    <n v="7.6630141434048662"/>
    <m/>
    <n v="0.61836075198615226"/>
    <n v="0.27"/>
    <n v="52.233906079234096"/>
    <n v="22.757510947384148"/>
    <n v="1.5679755870192684"/>
    <m/>
    <m/>
    <m/>
    <m/>
    <m/>
    <m/>
    <m/>
    <m/>
    <m/>
    <m/>
    <m/>
    <n v="0.20461603719846172"/>
    <m/>
    <m/>
    <m/>
    <m/>
    <m/>
    <m/>
    <m/>
    <m/>
    <m/>
    <m/>
    <m/>
    <n v="1133.8809412664277"/>
    <n v="0.14416293726171261"/>
    <n v="0.26517493018317762"/>
    <n v="369.81243462302257"/>
    <n v="349.8931477567935"/>
    <x v="9"/>
    <n v="14.644015877877388"/>
    <n v="3.9965468373646496"/>
    <n v="0.3"/>
    <n v="0"/>
    <n v="0.4"/>
    <x v="7"/>
    <n v="0.52191351139326414"/>
    <n v="0.27"/>
    <n v="349.8931477567935"/>
    <n v="0.52191351139326414"/>
    <n v="17.115962287104896"/>
    <n v="68.332560452854409"/>
    <n v="27426.113967889774"/>
    <n v="19.996958551792126"/>
    <n v="658772.89467613411"/>
    <x v="2"/>
    <n v="3.4087366944985301E-6"/>
    <n v="1474261.1396788978"/>
    <n v="0.4468495281776324"/>
  </r>
  <r>
    <x v="0"/>
    <n v="1000"/>
    <n v="25"/>
    <x v="0"/>
    <n v="6.4787585725225165"/>
    <n v="1.0592850189149847"/>
    <n v="7.1847064931077114"/>
    <n v="6.2108285461075186"/>
    <m/>
    <n v="0.62104820696671081"/>
    <n v="0.27"/>
    <n v="42.359468995867218"/>
    <n v="18.455370309402731"/>
    <n v="1.3325435799501877"/>
    <m/>
    <m/>
    <m/>
    <m/>
    <m/>
    <m/>
    <m/>
    <m/>
    <m/>
    <m/>
    <m/>
    <n v="0.214551660870646"/>
    <m/>
    <m/>
    <m/>
    <m/>
    <m/>
    <m/>
    <m/>
    <m/>
    <m/>
    <m/>
    <m/>
    <n v="1025.6830219745198"/>
    <n v="0.14743608801990127"/>
    <n v="0.26479454590356122"/>
    <n v="375.53288512641006"/>
    <n v="359.41123199942655"/>
    <x v="9"/>
    <n v="14.644015877877388"/>
    <n v="3.9965468373646496"/>
    <n v="0.3"/>
    <n v="0"/>
    <n v="0.4"/>
    <x v="8"/>
    <n v="0.52153721020274102"/>
    <n v="0.27"/>
    <n v="359.41123199942655"/>
    <n v="0.52153721020274102"/>
    <n v="14.10054021450167"/>
    <n v="54.14579306702278"/>
    <n v="21096.951340679312"/>
    <n v="16.376371384058448"/>
    <n v="653434.7567899304"/>
    <x v="2"/>
    <n v="2.7906072380381641E-6"/>
    <n v="1410969.5134067931"/>
    <n v="0.46311047161622143"/>
  </r>
  <r>
    <x v="0"/>
    <n v="1000"/>
    <n v="25"/>
    <x v="0"/>
    <n v="4.4077394230466043"/>
    <n v="0.75789982020204938"/>
    <n v="4.905399630617632"/>
    <n v="4.2506932010017398"/>
    <m/>
    <n v="0.62360245795021363"/>
    <n v="0.27"/>
    <n v="29.011801226043062"/>
    <n v="12.639996384790548"/>
    <n v="0.99959650138212197"/>
    <m/>
    <m/>
    <m/>
    <m/>
    <m/>
    <m/>
    <m/>
    <m/>
    <m/>
    <m/>
    <m/>
    <n v="0.23516082062722193"/>
    <m/>
    <m/>
    <m/>
    <m/>
    <m/>
    <m/>
    <m/>
    <m/>
    <m/>
    <m/>
    <m/>
    <n v="872.17066030352612"/>
    <n v="0.15450317553569501"/>
    <n v="0.26457713325835597"/>
    <n v="383.34043698802003"/>
    <n v="372.37240961246528"/>
    <x v="9"/>
    <n v="14.644015877877388"/>
    <n v="3.9965468373646496"/>
    <n v="0.3"/>
    <n v="0"/>
    <n v="0.4"/>
    <x v="9"/>
    <n v="0.52011299537908573"/>
    <n v="0.27"/>
    <n v="372.37240961246528"/>
    <n v="0.52011299537908573"/>
    <n v="9.9407446997365732"/>
    <n v="36.038262802477973"/>
    <n v="13443.476426800673"/>
    <n v="11.445856185523324"/>
    <n v="620708.19212704105"/>
    <x v="2"/>
    <n v="1.9062785135911591E-6"/>
    <n v="1334434.7642680067"/>
    <n v="0.46514689870772774"/>
  </r>
  <r>
    <x v="0"/>
    <n v="1000"/>
    <n v="25"/>
    <x v="0"/>
    <n v="18.763419076845956"/>
    <n v="2.9678789705822592"/>
    <n v="20.881348842421414"/>
    <n v="18.219515184846216"/>
    <m/>
    <n v="0.62822793604135574"/>
    <n v="0.27"/>
    <n v="123.53523722904484"/>
    <n v="53.822406261617047"/>
    <n v="2.8430534406989416"/>
    <m/>
    <m/>
    <m/>
    <m/>
    <m/>
    <m/>
    <m/>
    <m/>
    <m/>
    <m/>
    <m/>
    <n v="0.15604440688211094"/>
    <m/>
    <m/>
    <m/>
    <m/>
    <m/>
    <m/>
    <m/>
    <m/>
    <m/>
    <m/>
    <m/>
    <n v="1703.2971265540536"/>
    <n v="0.14213061584186926"/>
    <n v="0.26228056003437589"/>
    <n v="328.46050399470425"/>
    <n v="281.77040620458371"/>
    <x v="9"/>
    <n v="14.644015877877388"/>
    <n v="3.9965468373646496"/>
    <n v="0.3"/>
    <n v="0"/>
    <n v="0.4"/>
    <x v="0"/>
    <n v="0.54148480150973199"/>
    <n v="0.27"/>
    <n v="281.77040620458371"/>
    <n v="0.54148480150973199"/>
    <n v="38.81576577206777"/>
    <n v="206.85278750108907"/>
    <n v="96715.438771795787"/>
    <n v="46.743324612641203"/>
    <n v="328243.97540521313"/>
    <x v="3"/>
    <n v="7.2578226987766938E-6"/>
    <n v="2167154.3877179576"/>
    <n v="0.15146312476189497"/>
  </r>
  <r>
    <x v="1"/>
    <n v="1000"/>
    <n v="25"/>
    <x v="0"/>
    <n v="18.694295156014377"/>
    <n v="3.0132695953641355"/>
    <n v="20.835545085632582"/>
    <n v="18.232780526101166"/>
    <m/>
    <n v="0.63395025214875578"/>
    <n v="0.27"/>
    <n v="123.64250248420929"/>
    <n v="53.869140086481224"/>
    <n v="2.7842217794693305"/>
    <m/>
    <m/>
    <m/>
    <m/>
    <m/>
    <m/>
    <m/>
    <m/>
    <m/>
    <m/>
    <m/>
    <n v="0.1527041789091671"/>
    <m/>
    <m/>
    <m/>
    <m/>
    <m/>
    <m/>
    <m/>
    <m/>
    <m/>
    <m/>
    <m/>
    <n v="1665.3669800678501"/>
    <n v="0.14462158695535998"/>
    <n v="0.23302086888919904"/>
    <n v="319.77415909086034"/>
    <n v="273.25609033318386"/>
    <x v="9"/>
    <n v="14.644015877877388"/>
    <n v="3.9965468373646496"/>
    <n v="0.3"/>
    <n v="0"/>
    <n v="0.4"/>
    <x v="0"/>
    <n v="0.54577576916100989"/>
    <n v="0.27"/>
    <n v="273.25609033318386"/>
    <n v="0.54577576916100989"/>
    <n v="38.994344091803761"/>
    <n v="207.14209080910527"/>
    <n v="96811.26837365306"/>
    <n v="46.70396196534908"/>
    <n v="327016.48819449963"/>
    <x v="3"/>
    <n v="7.2311533327045459E-6"/>
    <n v="2168112.6837365306"/>
    <n v="0.15083002403312296"/>
  </r>
  <r>
    <x v="2"/>
    <n v="1000"/>
    <n v="25"/>
    <x v="0"/>
    <n v="18.626143587257793"/>
    <n v="3.0767728167047492"/>
    <n v="20.800795414859266"/>
    <n v="18.247047484770992"/>
    <m/>
    <n v="0.63590382355287567"/>
    <n v="0.27"/>
    <n v="123.76412546006577"/>
    <n v="53.922129349821176"/>
    <n v="2.7425691344567724"/>
    <m/>
    <m/>
    <m/>
    <m/>
    <m/>
    <m/>
    <m/>
    <m/>
    <m/>
    <m/>
    <m/>
    <n v="0.15030207691111255"/>
    <m/>
    <m/>
    <m/>
    <m/>
    <m/>
    <m/>
    <m/>
    <m/>
    <m/>
    <m/>
    <m/>
    <n v="1633.3963214114845"/>
    <n v="0.14791611355913939"/>
    <n v="0.20347602417852406"/>
    <n v="308.4602539171114"/>
    <n v="262.11175418309665"/>
    <x v="9"/>
    <n v="14.644015877877388"/>
    <n v="3.9965468373646496"/>
    <n v="0.3"/>
    <n v="0"/>
    <n v="0.4"/>
    <x v="0"/>
    <n v="0.54636077562337426"/>
    <n v="0.27"/>
    <n v="262.11175418309665"/>
    <n v="0.54636077562337426"/>
    <n v="39.322616152888841"/>
    <n v="207.47059209908392"/>
    <n v="97219.313949911913"/>
    <n v="47.035575600555653"/>
    <n v="326512.60382350464"/>
    <x v="3"/>
    <n v="7.1933359652991993E-6"/>
    <n v="2172193.139499119"/>
    <n v="0.15031472012603558"/>
  </r>
  <r>
    <x v="3"/>
    <n v="1000"/>
    <n v="25"/>
    <x v="0"/>
    <n v="18.546232158837373"/>
    <n v="3.1806253083765776"/>
    <n v="20.775937479090818"/>
    <n v="18.273884961798402"/>
    <m/>
    <n v="0.64048216760069066"/>
    <n v="0.27"/>
    <n v="123.98349695869119"/>
    <n v="54.017706143828114"/>
    <n v="2.6628970153945133"/>
    <m/>
    <m/>
    <m/>
    <m/>
    <m/>
    <m/>
    <m/>
    <m/>
    <m/>
    <m/>
    <m/>
    <n v="0.14572145008909193"/>
    <m/>
    <m/>
    <m/>
    <m/>
    <m/>
    <m/>
    <m/>
    <m/>
    <m/>
    <m/>
    <m/>
    <n v="1578.343358502731"/>
    <n v="0.15309178281738678"/>
    <n v="0.17340138713684902"/>
    <n v="293.0444994410534"/>
    <n v="246.89485080547368"/>
    <x v="9"/>
    <n v="14.644015877877388"/>
    <n v="3.9965468373646496"/>
    <n v="0.3"/>
    <n v="0"/>
    <n v="0.4"/>
    <x v="0"/>
    <n v="0.54854905692016087"/>
    <n v="0.27"/>
    <n v="246.89485080547368"/>
    <n v="0.54854905692016087"/>
    <n v="39.87244570534984"/>
    <n v="208.06438888143649"/>
    <n v="97872.809364499088"/>
    <n v="47.692677544625241"/>
    <n v="326299.70143845916"/>
    <x v="3"/>
    <n v="7.1428163156249541E-6"/>
    <n v="2178728.0936449906"/>
    <n v="0.14976614217727507"/>
  </r>
  <r>
    <x v="4"/>
    <n v="1000"/>
    <n v="25"/>
    <x v="0"/>
    <n v="18.418954005902428"/>
    <n v="3.3384348394320913"/>
    <n v="20.732048450622958"/>
    <n v="18.311532998308689"/>
    <m/>
    <n v="0.64829428371984288"/>
    <n v="0.27"/>
    <n v="124.30083649534104"/>
    <n v="54.155966107928677"/>
    <n v="2.5441958019786739"/>
    <m/>
    <m/>
    <m/>
    <m/>
    <m/>
    <m/>
    <m/>
    <m/>
    <m/>
    <m/>
    <m/>
    <n v="0.13893953074347537"/>
    <m/>
    <m/>
    <m/>
    <m/>
    <m/>
    <m/>
    <m/>
    <m/>
    <m/>
    <m/>
    <m/>
    <n v="1497.6907936456466"/>
    <n v="0.16102773671319381"/>
    <n v="0.14325546145420054"/>
    <n v="271.42581637775072"/>
    <n v="225.59289265631023"/>
    <x v="9"/>
    <n v="14.644015877877388"/>
    <n v="3.9965468373646496"/>
    <n v="0.3"/>
    <n v="0"/>
    <n v="0.4"/>
    <x v="0"/>
    <n v="0.55273950906528846"/>
    <n v="0.27"/>
    <n v="225.59289265631023"/>
    <n v="0.55273950906528846"/>
    <n v="40.688353687367091"/>
    <n v="208.92629419701731"/>
    <n v="98851.582967919705"/>
    <n v="48.624515804776614"/>
    <n v="325781.32926596131"/>
    <x v="3"/>
    <n v="7.065220283896474E-6"/>
    <n v="2188515.8296791972"/>
    <n v="0.14885948040582181"/>
  </r>
  <r>
    <x v="5"/>
    <n v="1000"/>
    <n v="25"/>
    <x v="0"/>
    <n v="18.18860659798381"/>
    <n v="3.5984396762661497"/>
    <n v="20.638310635871701"/>
    <n v="18.365795937920677"/>
    <m/>
    <n v="0.66296256672671372"/>
    <n v="0.27"/>
    <n v="124.79006829990404"/>
    <n v="54.369116894149059"/>
    <n v="2.3601545891274327"/>
    <m/>
    <m/>
    <m/>
    <m/>
    <m/>
    <m/>
    <m/>
    <m/>
    <m/>
    <m/>
    <m/>
    <n v="0.12850815707117361"/>
    <m/>
    <m/>
    <m/>
    <m/>
    <m/>
    <m/>
    <m/>
    <m/>
    <m/>
    <m/>
    <m/>
    <n v="1374.0274728632471"/>
    <n v="0.17435727854641636"/>
    <n v="0.11312019925259351"/>
    <n v="239.20991371868715"/>
    <n v="193.9501782995313"/>
    <x v="9"/>
    <n v="14.644015877877388"/>
    <n v="3.9965468373646496"/>
    <n v="0.3"/>
    <n v="0"/>
    <n v="0.4"/>
    <x v="0"/>
    <n v="0.56163699728568384"/>
    <n v="0.27"/>
    <n v="193.9501782995313"/>
    <n v="0.56163699728568384"/>
    <n v="41.979689539977826"/>
    <n v="210.26190807862909"/>
    <n v="100354.11492402326"/>
    <n v="49.931771823298263"/>
    <n v="324147.34782496514"/>
    <x v="3"/>
    <n v="6.9359021717304002E-6"/>
    <n v="2203541.1492402325"/>
    <n v="0.14710292473400333"/>
  </r>
  <r>
    <x v="6"/>
    <n v="1000"/>
    <n v="25"/>
    <x v="0"/>
    <n v="17.709004367512645"/>
    <n v="4.5251407687514327"/>
    <n v="20.645326820581474"/>
    <n v="18.595524335116874"/>
    <m/>
    <n v="0.76914084215746215"/>
    <n v="0.27"/>
    <n v="126.80452982912236"/>
    <n v="55.246786855011813"/>
    <n v="1.6694274282608497"/>
    <m/>
    <m/>
    <m/>
    <m/>
    <m/>
    <m/>
    <m/>
    <m/>
    <m/>
    <m/>
    <m/>
    <n v="8.9775765295749446E-2"/>
    <m/>
    <m/>
    <m/>
    <m/>
    <m/>
    <m/>
    <m/>
    <m/>
    <m/>
    <m/>
    <m/>
    <n v="963.88946341117003"/>
    <n v="0.21918474859115755"/>
    <n v="7.8096514254978516E-2"/>
    <n v="173.24206417594718"/>
    <n v="129.17574928074586"/>
    <x v="9"/>
    <n v="14.644015877877388"/>
    <n v="3.9965468373646496"/>
    <n v="0.3"/>
    <n v="0"/>
    <n v="0.4"/>
    <x v="0"/>
    <n v="0.65593077793238408"/>
    <n v="0.27"/>
    <n v="129.17574928074586"/>
    <n v="0.65593077793238408"/>
    <n v="46.058580682309312"/>
    <n v="215.85106638367967"/>
    <n v="105183.00552290035"/>
    <n v="53.649761093565836"/>
    <n v="323775.62018594053"/>
    <x v="3"/>
    <n v="6.6170020145897774E-6"/>
    <n v="2251830.0552290035"/>
    <n v="0.14378332833514545"/>
  </r>
  <r>
    <x v="7"/>
    <n v="1000"/>
    <n v="25"/>
    <x v="0"/>
    <n v="17.356344456535258"/>
    <n v="5.7110617789789035"/>
    <n v="20.94543217876053"/>
    <n v="18.97199199825107"/>
    <m/>
    <n v="0.99999999931088202"/>
    <n v="0.27"/>
    <n v="134.19704994747502"/>
    <n v="58.467594375455924"/>
    <n v="1.175513441758671"/>
    <m/>
    <m/>
    <m/>
    <m/>
    <m/>
    <m/>
    <m/>
    <m/>
    <m/>
    <m/>
    <m/>
    <n v="6.1960464766537722E-2"/>
    <m/>
    <m/>
    <m/>
    <m/>
    <m/>
    <m/>
    <m/>
    <m/>
    <m/>
    <m/>
    <m/>
    <n v="626.56177241882779"/>
    <n v="0.27266383096024815"/>
    <n v="5.4578649012603363E-2"/>
    <n v="81.993879098632306"/>
    <n v="38.805051539490798"/>
    <x v="9"/>
    <n v="14.644015877877388"/>
    <n v="3.9965468373646496"/>
    <n v="0.3"/>
    <n v="0"/>
    <n v="0.4"/>
    <x v="0"/>
    <n v="0.99999999900000003"/>
    <n v="0.27"/>
    <n v="38.805051539490798"/>
    <n v="0.99999999900000003"/>
    <n v="49.745155227928201"/>
    <n v="237.71247809753638"/>
    <n v="115991.69260578991"/>
    <n v="55.710254996792756"/>
    <n v="342554.07507134113"/>
    <x v="3"/>
    <n v="6.1632452969830187E-6"/>
    <n v="2359916.9260578994"/>
    <n v="0.1451551413903189"/>
  </r>
  <r>
    <x v="8"/>
    <n v="1000"/>
    <n v="25"/>
    <x v="0"/>
    <n v="11.692276970329168"/>
    <n v="3.9745746217405706"/>
    <n v="14.104234308204742"/>
    <n v="12.836576385261742"/>
    <m/>
    <n v="0.9999999993790003"/>
    <n v="0.27"/>
    <n v="89.608191820180565"/>
    <n v="39.040913448626391"/>
    <n v="0.88949739943724104"/>
    <m/>
    <m/>
    <m/>
    <m/>
    <m/>
    <m/>
    <m/>
    <m/>
    <m/>
    <m/>
    <m/>
    <n v="6.9293974712643286E-2"/>
    <m/>
    <m/>
    <m/>
    <m/>
    <m/>
    <m/>
    <m/>
    <m/>
    <m/>
    <m/>
    <m/>
    <n v="511.77487935554893"/>
    <n v="0.28180009881348"/>
    <n v="3.8476724857797358E-2"/>
    <n v="96.120784356215495"/>
    <n v="67.026179636927893"/>
    <x v="9"/>
    <n v="14.644015877877388"/>
    <n v="3.9965468373646496"/>
    <n v="0.3"/>
    <n v="0"/>
    <n v="0.4"/>
    <x v="0"/>
    <n v="0.99999999900000003"/>
    <n v="0.27"/>
    <n v="67.026179636927893"/>
    <n v="0.99999999900000003"/>
    <n v="35.708898618340591"/>
    <n v="130.56445026534755"/>
    <n v="60874.426919917132"/>
    <n v="39.303560536767243"/>
    <n v="676413.57408974157"/>
    <x v="3"/>
    <n v="4.3778248384273869E-6"/>
    <n v="1808744.2691991713"/>
    <n v="0.37396860662299503"/>
  </r>
  <r>
    <x v="9"/>
    <n v="1000"/>
    <n v="25"/>
    <x v="0"/>
    <n v="3.8840210445023029"/>
    <n v="0.82065540077470822"/>
    <n v="4.4047534893044569"/>
    <n v="3.8825802141192942"/>
    <m/>
    <n v="0.63830938106181978"/>
    <n v="0.27"/>
    <n v="26.551901146997292"/>
    <n v="11.568255686451103"/>
    <n v="0.87716535707972998"/>
    <m/>
    <m/>
    <m/>
    <m/>
    <m/>
    <m/>
    <m/>
    <m/>
    <m/>
    <m/>
    <m/>
    <n v="0.2259233058186029"/>
    <m/>
    <m/>
    <m/>
    <m/>
    <m/>
    <m/>
    <m/>
    <m/>
    <m/>
    <m/>
    <m/>
    <n v="724.89704152399588"/>
    <n v="0.18631131180607699"/>
    <n v="3.7338886103532899E-2"/>
    <n v="295.97919354817583"/>
    <n v="286.31436298413098"/>
    <x v="9"/>
    <n v="14.644015877877388"/>
    <n v="3.9965468373646496"/>
    <n v="0.3"/>
    <n v="0"/>
    <n v="0.4"/>
    <x v="0"/>
    <n v="0.52344281713179752"/>
    <n v="0.27"/>
    <n v="286.31436298413098"/>
    <n v="0.52344281713179752"/>
    <n v="9.8671258958516184"/>
    <n v="32.819200072459878"/>
    <n v="12497.496053990379"/>
    <n v="11.342697693460106"/>
    <n v="875960.16417033307"/>
    <x v="3"/>
    <n v="1.3789832219673803E-6"/>
    <n v="1324974.9605399037"/>
    <n v="0.66111450424194795"/>
  </r>
  <r>
    <x v="0"/>
    <n v="100"/>
    <n v="25"/>
    <x v="0"/>
    <n v="3.3388501032496345"/>
    <n v="0.96794321322956234"/>
    <n v="4.0511450309480992"/>
    <n v="0"/>
    <m/>
    <n v="4.8346922852349997E-4"/>
    <n v="1E-8"/>
    <n v="17.4533303066254"/>
    <n v="10.471998102526365"/>
    <n v="-1.721556505397592E-3"/>
    <m/>
    <m/>
    <m/>
    <m/>
    <m/>
    <m/>
    <m/>
    <m/>
    <m/>
    <m/>
    <m/>
    <s v="-"/>
    <m/>
    <m/>
    <m/>
    <m/>
    <m/>
    <m/>
    <m/>
    <m/>
    <m/>
    <m/>
    <m/>
    <n v="375.16139817132176"/>
    <n v="0.23893077286424186"/>
    <n v="0.21307891901623457"/>
    <n v="384.33045315479922"/>
    <n v="376.02217642402064"/>
    <x v="0"/>
    <n v="0"/>
    <n v="0"/>
    <n v="0"/>
    <n v="0"/>
    <n v="0"/>
    <x v="0"/>
    <n v="4.8416334290239172E-4"/>
    <n v="1E-8"/>
    <n v="376.02217642402064"/>
    <n v="4.8416334290239172E-4"/>
    <n v="10.789716616443947"/>
    <n v="69.919823906065872"/>
    <n v="26360.507959960618"/>
    <n v="21.409504527407648"/>
    <n v="19356.699570239842"/>
    <x v="0"/>
    <n v="2.0453828706546547E-6"/>
    <n v="1463605.0795996061"/>
    <n v="1.3225356921783296E-2"/>
  </r>
  <r>
    <x v="0"/>
    <n v="200"/>
    <n v="25"/>
    <x v="0"/>
    <n v="6.0306396778965734"/>
    <n v="1.8187912669862998"/>
    <n v="7.2787245434308687"/>
    <n v="0"/>
    <m/>
    <n v="3.4175774318628892E-4"/>
    <n v="1E-8"/>
    <n v="32.278224427307094"/>
    <n v="19.366934505752543"/>
    <n v="-2.1715532457909337E-3"/>
    <m/>
    <m/>
    <m/>
    <m/>
    <m/>
    <m/>
    <m/>
    <m/>
    <m/>
    <m/>
    <m/>
    <s v="-"/>
    <m/>
    <m/>
    <m/>
    <m/>
    <m/>
    <m/>
    <m/>
    <m/>
    <m/>
    <m/>
    <m/>
    <n v="358.46310012049082"/>
    <n v="0.24987774384562739"/>
    <n v="0.23701271635521395"/>
    <n v="374.55562819313718"/>
    <n v="359.5488767433863"/>
    <x v="0"/>
    <n v="0"/>
    <n v="0"/>
    <n v="0"/>
    <n v="0"/>
    <n v="0"/>
    <x v="0"/>
    <n v="3.4223126811859468E-4"/>
    <n v="1E-8"/>
    <n v="359.5488767433863"/>
    <n v="3.4223126811859468E-4"/>
    <n v="19.940681377947133"/>
    <n v="101.41547644467504"/>
    <n v="42948.202129193975"/>
    <n v="34.060216371783369"/>
    <n v="52995.471471764889"/>
    <x v="0"/>
    <n v="3.3696813084916049E-6"/>
    <n v="1629482.0212919398"/>
    <n v="3.2522894256757293E-2"/>
  </r>
  <r>
    <x v="0"/>
    <n v="300"/>
    <n v="25"/>
    <x v="0"/>
    <n v="8.2810307871064222"/>
    <n v="2.5943675020797778"/>
    <n v="9.9993378183883319"/>
    <n v="0"/>
    <m/>
    <n v="2.7427566293888661E-4"/>
    <n v="1E-8"/>
    <n v="45.332486731093944"/>
    <n v="27.199491827104762"/>
    <n v="-2.380160000683165E-3"/>
    <m/>
    <m/>
    <m/>
    <m/>
    <m/>
    <m/>
    <m/>
    <m/>
    <m/>
    <m/>
    <m/>
    <s v="-"/>
    <m/>
    <m/>
    <m/>
    <m/>
    <m/>
    <m/>
    <m/>
    <m/>
    <m/>
    <m/>
    <m/>
    <n v="345.08817223736986"/>
    <n v="0.25945393077018086"/>
    <n v="0.25006451370517191"/>
    <n v="366.88442248599165"/>
    <n v="346.27825223771146"/>
    <x v="0"/>
    <n v="0"/>
    <n v="0"/>
    <n v="0"/>
    <n v="0"/>
    <n v="0"/>
    <x v="0"/>
    <n v="2.7463785289727385E-4"/>
    <n v="1E-8"/>
    <n v="346.27825223771146"/>
    <n v="2.7463785289727385E-4"/>
    <n v="28.060656897117198"/>
    <n v="123.97100408617696"/>
    <n v="56634.940689594892"/>
    <n v="44.478308010631849"/>
    <n v="90903.529730277616"/>
    <x v="0"/>
    <n v="4.2359112199680872E-6"/>
    <n v="1766349.406895949"/>
    <n v="5.1464070118507704E-2"/>
  </r>
  <r>
    <x v="0"/>
    <n v="400"/>
    <n v="25"/>
    <x v="0"/>
    <n v="10.201676922300896"/>
    <n v="3.3088701613839016"/>
    <n v="12.344535567848251"/>
    <n v="0"/>
    <m/>
    <n v="2.3391044492464009E-4"/>
    <n v="1E-8"/>
    <n v="56.992723670642292"/>
    <n v="34.195633936419334"/>
    <n v="-2.49288996259195E-3"/>
    <m/>
    <m/>
    <m/>
    <m/>
    <m/>
    <m/>
    <m/>
    <m/>
    <m/>
    <m/>
    <m/>
    <s v="-"/>
    <m/>
    <m/>
    <m/>
    <m/>
    <m/>
    <m/>
    <m/>
    <m/>
    <m/>
    <m/>
    <m/>
    <n v="333.93538503001292"/>
    <n v="0.26804330897648049"/>
    <n v="0.25871071995030254"/>
    <n v="360.56724311903037"/>
    <n v="335.18183001130899"/>
    <x v="0"/>
    <n v="0"/>
    <n v="0"/>
    <n v="0"/>
    <n v="0"/>
    <n v="0"/>
    <x v="0"/>
    <n v="2.342067813368665E-4"/>
    <n v="1E-8"/>
    <n v="335.18183001130899"/>
    <n v="2.342067813368665E-4"/>
    <n v="35.380038382965296"/>
    <n v="141.84134865973616"/>
    <n v="68500.927228136177"/>
    <n v="53.528077282425208"/>
    <n v="130082.94129693219"/>
    <x v="0"/>
    <n v="4.8325099175922372E-6"/>
    <n v="1885009.2722813617"/>
    <n v="6.9009178474489563E-2"/>
  </r>
  <r>
    <x v="0"/>
    <n v="600"/>
    <n v="25"/>
    <x v="0"/>
    <n v="13.304238877570093"/>
    <n v="4.5793174977649995"/>
    <n v="16.188240999590207"/>
    <n v="0"/>
    <m/>
    <n v="1.8654735586871681E-4"/>
    <n v="1E-8"/>
    <n v="76.94798326047713"/>
    <n v="46.168789597195683"/>
    <n v="-2.5838512173008898E-3"/>
    <m/>
    <m/>
    <m/>
    <m/>
    <m/>
    <m/>
    <m/>
    <m/>
    <m/>
    <m/>
    <m/>
    <s v="-"/>
    <m/>
    <m/>
    <m/>
    <m/>
    <m/>
    <m/>
    <m/>
    <m/>
    <m/>
    <m/>
    <m/>
    <n v="316.31085328787287"/>
    <n v="0.28287925154319865"/>
    <n v="0.26990921100457349"/>
    <n v="350.70846664308669"/>
    <n v="317.60277889652326"/>
    <x v="0"/>
    <n v="0"/>
    <n v="0"/>
    <n v="0"/>
    <n v="0"/>
    <n v="0"/>
    <x v="0"/>
    <n v="1.8676789372107028E-4"/>
    <n v="1E-8"/>
    <n v="317.60277889652326"/>
    <n v="1.8676789372107028E-4"/>
    <n v="48.068271427063785"/>
    <n v="169.009026470994"/>
    <n v="88248.173904517258"/>
    <n v="68.728322784051272"/>
    <n v="207009.5624431615"/>
    <x v="0"/>
    <n v="5.5688074230772158E-6"/>
    <n v="2082481.7390451725"/>
    <n v="9.9405223374528284E-2"/>
  </r>
  <r>
    <x v="0"/>
    <n v="800"/>
    <n v="25"/>
    <x v="0"/>
    <n v="15.66822713656383"/>
    <n v="5.6566480658127976"/>
    <n v="19.170128764720985"/>
    <n v="0"/>
    <m/>
    <n v="1.5936655826489412E-4"/>
    <n v="1E-8"/>
    <n v="93.212209767256297"/>
    <n v="55.92732542536347"/>
    <n v="-2.5947855444444778E-3"/>
    <m/>
    <m/>
    <m/>
    <m/>
    <m/>
    <m/>
    <m/>
    <m/>
    <m/>
    <m/>
    <m/>
    <s v="-"/>
    <m/>
    <m/>
    <m/>
    <m/>
    <m/>
    <m/>
    <m/>
    <m/>
    <m/>
    <m/>
    <m/>
    <n v="303.17731496198394"/>
    <n v="0.29507616434078388"/>
    <n v="0.27713150240714873"/>
    <n v="343.46284344987674"/>
    <n v="304.47470773420622"/>
    <x v="0"/>
    <n v="0"/>
    <n v="0"/>
    <n v="0"/>
    <n v="0"/>
    <n v="0"/>
    <x v="0"/>
    <n v="1.5954437739521338E-4"/>
    <n v="1E-8"/>
    <n v="304.47470773420622"/>
    <n v="1.5954437739521338E-4"/>
    <n v="58.550257551996843"/>
    <n v="188.51184825629684"/>
    <n v="103770.34434200478"/>
    <n v="80.919189844005757"/>
    <n v="277568.38968164404"/>
    <x v="0"/>
    <n v="5.9777399233297258E-6"/>
    <n v="2237703.4434200479"/>
    <n v="0.12404163317432972"/>
  </r>
  <r>
    <x v="0"/>
    <n v="1000"/>
    <n v="25"/>
    <x v="0"/>
    <n v="17.485713322536508"/>
    <n v="6.5577005739918706"/>
    <n v="21.498079359474175"/>
    <n v="0"/>
    <m/>
    <n v="1.4152425249051333E-4"/>
    <n v="1E-8"/>
    <n v="106.43253635571489"/>
    <n v="63.859521316743759"/>
    <n v="-2.5686275890733209E-3"/>
    <m/>
    <m/>
    <m/>
    <m/>
    <m/>
    <m/>
    <m/>
    <m/>
    <m/>
    <m/>
    <m/>
    <s v="-"/>
    <m/>
    <m/>
    <m/>
    <m/>
    <m/>
    <m/>
    <m/>
    <m/>
    <m/>
    <m/>
    <m/>
    <n v="293.24830754431451"/>
    <n v="0.30503657858635175"/>
    <n v="0.28222482109290231"/>
    <n v="338.04331860385662"/>
    <n v="294.53262133885119"/>
    <x v="0"/>
    <n v="0"/>
    <n v="0"/>
    <n v="0"/>
    <n v="0"/>
    <n v="0"/>
    <x v="0"/>
    <n v="1.4167426552147078E-4"/>
    <n v="1E-8"/>
    <n v="294.53262133885119"/>
    <n v="1.4167426552147078E-4"/>
    <n v="67.151104000292719"/>
    <n v="202.68350675463793"/>
    <n v="115914.29186746063"/>
    <n v="90.722793222054435"/>
    <n v="339328.38709116046"/>
    <x v="0"/>
    <n v="6.2211763297998751E-6"/>
    <n v="2359142.9186746064"/>
    <n v="0.14383545159773492"/>
  </r>
  <r>
    <x v="0"/>
    <n v="1300"/>
    <n v="25"/>
    <x v="0"/>
    <n v="19.468654604449664"/>
    <n v="7.6190695498899998"/>
    <n v="24.07550614399684"/>
    <n v="0"/>
    <m/>
    <n v="1.2433492418633207E-4"/>
    <n v="1E-8"/>
    <n v="121.72276207860281"/>
    <n v="73.033656679122117"/>
    <n v="-2.5098486906142544E-3"/>
    <m/>
    <m/>
    <m/>
    <m/>
    <m/>
    <m/>
    <m/>
    <m/>
    <m/>
    <m/>
    <m/>
    <s v="-"/>
    <m/>
    <m/>
    <m/>
    <m/>
    <m/>
    <m/>
    <m/>
    <m/>
    <m/>
    <m/>
    <m/>
    <n v="282.64075393520181"/>
    <n v="0.31646560219004133"/>
    <n v="0.28774575968516791"/>
    <n v="332.34077671291851"/>
    <n v="283.895678280509"/>
    <x v="0"/>
    <n v="0"/>
    <n v="0"/>
    <n v="0"/>
    <n v="0"/>
    <n v="0"/>
    <x v="0"/>
    <n v="1.2445800407162794E-4"/>
    <n v="1E-8"/>
    <n v="283.895678280509"/>
    <n v="1.2445800407162794E-4"/>
    <n v="77.117508672859017"/>
    <n v="217.14604838672648"/>
    <n v="129204.08258724173"/>
    <n v="101.78065745414433"/>
    <n v="414494.65880893968"/>
    <x v="0"/>
    <n v="6.4316836196428867E-6"/>
    <n v="2492040.8258724175"/>
    <n v="0.16632739500318289"/>
  </r>
  <r>
    <x v="0"/>
    <n v="1600"/>
    <n v="25"/>
    <x v="0"/>
    <n v="20.841090069284128"/>
    <n v="8.4059265020894625"/>
    <n v="25.884054114617722"/>
    <n v="0"/>
    <m/>
    <n v="1.1328679954015817E-4"/>
    <n v="1E-8"/>
    <n v="132.89308738760931"/>
    <n v="79.73585181239784"/>
    <n v="-2.4463875229330488E-3"/>
    <m/>
    <m/>
    <m/>
    <m/>
    <m/>
    <m/>
    <m/>
    <m/>
    <m/>
    <m/>
    <m/>
    <s v="-"/>
    <m/>
    <m/>
    <m/>
    <m/>
    <m/>
    <m/>
    <m/>
    <m/>
    <m/>
    <m/>
    <m/>
    <n v="275.42763907144791"/>
    <n v="0.32475308793850466"/>
    <n v="0.29152838428125155"/>
    <n v="328.51094029603058"/>
    <n v="276.65083283291443"/>
    <x v="0"/>
    <n v="0"/>
    <n v="0"/>
    <n v="0"/>
    <n v="0"/>
    <n v="0"/>
    <x v="0"/>
    <n v="1.1339276573870419E-4"/>
    <n v="1E-8"/>
    <n v="276.65083283291443"/>
    <n v="1.1339276573870419E-4"/>
    <n v="84.403952419908606"/>
    <n v="226.28843140900887"/>
    <n v="138340.97684530207"/>
    <n v="109.71188630653653"/>
    <n v="471462.10016873979"/>
    <x v="0"/>
    <n v="6.5502256426362463E-6"/>
    <n v="2583409.7684530206"/>
    <n v="0.1824960584750972"/>
  </r>
  <r>
    <x v="0"/>
    <n v="1900"/>
    <n v="25"/>
    <x v="0"/>
    <n v="21.793218601352805"/>
    <n v="8.9775533006334616"/>
    <n v="27.149876806292806"/>
    <n v="0"/>
    <m/>
    <n v="1.0580703423134221E-4"/>
    <n v="1E-8"/>
    <n v="140.97795915015604"/>
    <n v="84.586774832196483"/>
    <n v="-2.3881169648996073E-3"/>
    <m/>
    <m/>
    <m/>
    <m/>
    <m/>
    <m/>
    <m/>
    <m/>
    <m/>
    <m/>
    <m/>
    <s v="-"/>
    <m/>
    <m/>
    <m/>
    <m/>
    <m/>
    <m/>
    <m/>
    <m/>
    <m/>
    <m/>
    <m/>
    <n v="270.50937472102243"/>
    <n v="0.33066644702242781"/>
    <n v="0.29423558149329493"/>
    <n v="325.93275602240703"/>
    <n v="271.70343320347223"/>
    <x v="0"/>
    <n v="0"/>
    <n v="0"/>
    <n v="0"/>
    <n v="0"/>
    <n v="0"/>
    <x v="0"/>
    <n v="1.0590143082700995E-4"/>
    <n v="1E-8"/>
    <n v="271.70343320347223"/>
    <n v="1.0590143082700995E-4"/>
    <n v="89.64929390587568"/>
    <n v="231.8419562014208"/>
    <n v="144467.51984922469"/>
    <n v="115.31066564788736"/>
    <n v="513102.50911981298"/>
    <x v="0"/>
    <n v="6.6256136940249414E-6"/>
    <n v="2644675.1984922467"/>
    <n v="0.19401343099233409"/>
  </r>
  <r>
    <x v="0"/>
    <n v="1000"/>
    <n v="25"/>
    <x v="1"/>
    <n v="10.787856347106358"/>
    <n v="11.509127279604542"/>
    <n v="17.407930914805124"/>
    <n v="0"/>
    <m/>
    <n v="1.0795731914042394E-4"/>
    <n v="1E-8"/>
    <n v="111.43250838199837"/>
    <n v="66.859504509180653"/>
    <n v="-1.2503811555146719E-3"/>
    <m/>
    <m/>
    <m/>
    <m/>
    <m/>
    <m/>
    <m/>
    <m/>
    <m/>
    <m/>
    <m/>
    <s v="-"/>
    <m/>
    <m/>
    <m/>
    <m/>
    <m/>
    <m/>
    <m/>
    <m/>
    <m/>
    <m/>
    <m/>
    <n v="135.26560075793924"/>
    <n v="0.66114274786190941"/>
    <n v="0.28948901022189732"/>
    <n v="162.73483287383755"/>
    <n v="135.89079133569655"/>
    <x v="0"/>
    <n v="0"/>
    <n v="0"/>
    <n v="0"/>
    <n v="0"/>
    <n v="0"/>
    <x v="0"/>
    <n v="1.080851988796677E-4"/>
    <n v="1E-8"/>
    <n v="135.89079133569655"/>
    <n v="1.080851988796677E-4"/>
    <n v="97.531515226739344"/>
    <n v="218.39240508652043"/>
    <n v="147886.17288167385"/>
    <n v="127.81196607207796"/>
    <n v="219959.13648386238"/>
    <x v="1"/>
    <n v="3.486053484016345E-6"/>
    <n v="2678861.7288167384"/>
    <n v="8.210917872981037E-2"/>
  </r>
  <r>
    <x v="0"/>
    <n v="1000"/>
    <n v="25"/>
    <x v="2"/>
    <n v="14.906296201453612"/>
    <n v="8.5049192557196545"/>
    <n v="19.946386777121624"/>
    <n v="0"/>
    <m/>
    <n v="1.2353620191707601E-4"/>
    <n v="1E-8"/>
    <n v="108.68780837988299"/>
    <n v="65.212684520720018"/>
    <n v="-1.9296024988030274E-3"/>
    <m/>
    <m/>
    <m/>
    <m/>
    <m/>
    <m/>
    <m/>
    <m/>
    <m/>
    <m/>
    <m/>
    <s v="-"/>
    <m/>
    <m/>
    <m/>
    <m/>
    <m/>
    <m/>
    <m/>
    <m/>
    <m/>
    <m/>
    <m/>
    <n v="209.7423811835217"/>
    <n v="0.42638896712234325"/>
    <n v="0.28555837300804909"/>
    <n v="247.79947775849863"/>
    <n v="210.70718243292319"/>
    <x v="0"/>
    <n v="0"/>
    <n v="0"/>
    <n v="0"/>
    <n v="0"/>
    <n v="0"/>
    <x v="0"/>
    <n v="1.2367865003752162E-4"/>
    <n v="1E-8"/>
    <n v="210.70718243292319"/>
    <n v="1.2367865003752162E-4"/>
    <n v="79.155447240049384"/>
    <n v="209.62662875654641"/>
    <n v="128772.36611090876"/>
    <n v="105.42575036672696"/>
    <n v="298593.64420432225"/>
    <x v="1"/>
    <n v="5.0998100656608156E-6"/>
    <n v="2487723.6611090875"/>
    <n v="0.12002685381510661"/>
  </r>
  <r>
    <x v="0"/>
    <n v="1000"/>
    <n v="25"/>
    <x v="0"/>
    <n v="17.482724108764558"/>
    <n v="6.5556778836306879"/>
    <n v="21.493888286016038"/>
    <n v="0"/>
    <m/>
    <n v="1.4166781327687306E-4"/>
    <n v="1E-8"/>
    <n v="106.42470117901962"/>
    <n v="63.854820210763172"/>
    <n v="-2.5707778453514588E-3"/>
    <m/>
    <m/>
    <m/>
    <m/>
    <m/>
    <m/>
    <m/>
    <m/>
    <m/>
    <m/>
    <m/>
    <s v="-"/>
    <m/>
    <m/>
    <m/>
    <m/>
    <m/>
    <m/>
    <m/>
    <m/>
    <m/>
    <m/>
    <m/>
    <n v="293.28067074131633"/>
    <n v="0.30500195201516067"/>
    <n v="0.28229525873671918"/>
    <n v="338.06936685015421"/>
    <n v="294.56605966399212"/>
    <x v="0"/>
    <n v="0"/>
    <n v="0"/>
    <n v="0"/>
    <n v="0"/>
    <n v="0"/>
    <x v="0"/>
    <n v="1.4181790515542208E-4"/>
    <n v="1E-8"/>
    <n v="294.56605966399212"/>
    <n v="1.4181790515542208E-4"/>
    <n v="67.132831475904482"/>
    <n v="202.65977366111659"/>
    <n v="115869.10162457434"/>
    <n v="90.670320513338439"/>
    <n v="339174.8922455979"/>
    <x v="1"/>
    <n v="6.2215357916254572E-6"/>
    <n v="2358691.0162457433"/>
    <n v="0.14379793279810438"/>
  </r>
  <r>
    <x v="0"/>
    <n v="1000"/>
    <n v="25"/>
    <x v="3"/>
    <n v="19.206010498955195"/>
    <n v="5.2819351825258991"/>
    <n v="22.545679881579129"/>
    <n v="0"/>
    <m/>
    <n v="1.6086207408036961E-4"/>
    <n v="1E-8"/>
    <n v="104.9945058871739"/>
    <n v="62.996703042329976"/>
    <n v="-3.1916684180731468E-3"/>
    <m/>
    <m/>
    <m/>
    <m/>
    <m/>
    <m/>
    <m/>
    <m/>
    <m/>
    <m/>
    <m/>
    <s v="-"/>
    <m/>
    <m/>
    <m/>
    <m/>
    <m/>
    <m/>
    <m/>
    <m/>
    <m/>
    <m/>
    <m/>
    <n v="381.89555656728072"/>
    <n v="0.23427704155604046"/>
    <n v="0.27949389167657229"/>
    <n v="431.28289715476069"/>
    <n v="383.49139077631725"/>
    <x v="0"/>
    <n v="0"/>
    <n v="0"/>
    <n v="0"/>
    <n v="0"/>
    <n v="0"/>
    <x v="0"/>
    <n v="1.6101798686633337E-4"/>
    <n v="1E-8"/>
    <n v="383.49139077631725"/>
    <n v="1.6101798686633337E-4"/>
    <n v="59.317153853531302"/>
    <n v="198.3711172161594"/>
    <n v="107687.47757617667"/>
    <n v="81.109599328235305"/>
    <n v="362603.08250977058"/>
    <x v="1"/>
    <n v="7.0123339347061445E-6"/>
    <n v="2276874.7757617664"/>
    <n v="0.15925473213099992"/>
  </r>
  <r>
    <x v="0"/>
    <n v="1000"/>
    <n v="25"/>
    <x v="4"/>
    <n v="20.412912775485736"/>
    <n v="4.3992445818040249"/>
    <n v="23.287441678787619"/>
    <n v="0"/>
    <m/>
    <n v="1.8087132920954866E-4"/>
    <n v="1E-8"/>
    <n v="104.02102990496977"/>
    <n v="62.41261745755039"/>
    <n v="-3.8036593104494223E-3"/>
    <m/>
    <m/>
    <m/>
    <m/>
    <m/>
    <m/>
    <m/>
    <m/>
    <m/>
    <m/>
    <m/>
    <s v="-"/>
    <m/>
    <m/>
    <m/>
    <m/>
    <m/>
    <m/>
    <m/>
    <m/>
    <m/>
    <m/>
    <m/>
    <n v="473.68415710774752"/>
    <n v="0.1889106000772626"/>
    <n v="0.27727623413330321"/>
    <n v="526.38058995827237"/>
    <n v="475.58598676297231"/>
    <x v="0"/>
    <n v="0"/>
    <n v="0"/>
    <n v="0"/>
    <n v="0"/>
    <n v="0"/>
    <x v="0"/>
    <n v="1.8103211655718147E-4"/>
    <n v="1E-8"/>
    <n v="475.58598676297231"/>
    <n v="1.8103211655718147E-4"/>
    <n v="53.913850601380084"/>
    <n v="195.50033155299275"/>
    <n v="102090.22431429314"/>
    <n v="74.462313406955261"/>
    <n v="376871.58006990055"/>
    <x v="1"/>
    <n v="7.5901467751432963E-6"/>
    <n v="2220902.2431429313"/>
    <n v="0.16969300708011673"/>
  </r>
  <r>
    <x v="0"/>
    <n v="1000"/>
    <n v="25"/>
    <x v="5"/>
    <n v="21.29411920202655"/>
    <n v="3.7579054972051651"/>
    <n v="23.830736669786738"/>
    <n v="0"/>
    <m/>
    <n v="2.0147776577765115E-4"/>
    <n v="1E-8"/>
    <n v="103.32740916518394"/>
    <n v="61.996445016915786"/>
    <n v="-4.4120505473554013E-3"/>
    <m/>
    <m/>
    <m/>
    <m/>
    <m/>
    <m/>
    <m/>
    <m/>
    <m/>
    <m/>
    <m/>
    <s v="-"/>
    <m/>
    <m/>
    <m/>
    <m/>
    <m/>
    <m/>
    <m/>
    <m/>
    <m/>
    <m/>
    <m/>
    <n v="567.53437933287546"/>
    <n v="0.15769153716383183"/>
    <n v="0.27557352142233338"/>
    <n v="622.72799254398615"/>
    <n v="569.74040460655317"/>
    <x v="0"/>
    <n v="0"/>
    <n v="0"/>
    <n v="0"/>
    <n v="0"/>
    <n v="0"/>
    <x v="0"/>
    <n v="2.0164272285390282E-4"/>
    <n v="1E-8"/>
    <n v="569.74040460655317"/>
    <n v="2.0164272285390282E-4"/>
    <n v="49.992307736606321"/>
    <n v="193.4780300582685"/>
    <n v="98044.925011001076"/>
    <n v="69.587857604773447"/>
    <n v="386016.33663595666"/>
    <x v="1"/>
    <n v="8.0268698064641784E-6"/>
    <n v="2180449.2501100106"/>
    <n v="0.17703523098117552"/>
  </r>
  <r>
    <x v="0"/>
    <n v="1000"/>
    <n v="25"/>
    <x v="6"/>
    <n v="21.989059681085827"/>
    <n v="3.2795912088460351"/>
    <n v="24.274561437798095"/>
    <n v="0"/>
    <m/>
    <n v="2.2110339877764209E-4"/>
    <n v="1E-8"/>
    <n v="102.8820301993857"/>
    <n v="61.729217639515277"/>
    <n v="-4.9937878894505596E-3"/>
    <m/>
    <m/>
    <m/>
    <m/>
    <m/>
    <m/>
    <m/>
    <m/>
    <m/>
    <m/>
    <m/>
    <s v="-"/>
    <m/>
    <m/>
    <m/>
    <m/>
    <m/>
    <m/>
    <m/>
    <m/>
    <m/>
    <m/>
    <m/>
    <n v="662.49616408984502"/>
    <n v="0.13510403544260782"/>
    <n v="0.27386953286880034"/>
    <n v="719.70972655939829"/>
    <n v="664.99305803457014"/>
    <x v="0"/>
    <n v="0"/>
    <n v="0"/>
    <n v="0"/>
    <n v="0"/>
    <n v="0"/>
    <x v="0"/>
    <n v="2.212712509806279E-4"/>
    <n v="1E-8"/>
    <n v="664.99305803457014"/>
    <n v="2.212712509806279E-4"/>
    <n v="47.10623136645728"/>
    <n v="192.18946815659834"/>
    <n v="95220.822548322845"/>
    <n v="66.09299275910233"/>
    <n v="393409.34088381683"/>
    <x v="1"/>
    <n v="8.3658855216259075E-6"/>
    <n v="2152208.2254832285"/>
    <n v="0.18279334509814257"/>
  </r>
  <r>
    <x v="0"/>
    <n v="1000"/>
    <n v="25"/>
    <x v="7"/>
    <n v="22.514533251913459"/>
    <n v="2.9030178424441413"/>
    <n v="24.601665830071124"/>
    <n v="0"/>
    <m/>
    <n v="2.4147214377645071E-4"/>
    <n v="1E-8"/>
    <n v="102.46586251799162"/>
    <n v="61.479517032620954"/>
    <n v="-5.5791805749756057E-3"/>
    <m/>
    <m/>
    <m/>
    <m/>
    <m/>
    <m/>
    <m/>
    <m/>
    <m/>
    <m/>
    <m/>
    <s v="-"/>
    <m/>
    <m/>
    <m/>
    <m/>
    <m/>
    <m/>
    <m/>
    <m/>
    <m/>
    <m/>
    <m/>
    <n v="758.58831901063559"/>
    <n v="0.1180008647583418"/>
    <n v="0.27258038187628048"/>
    <n v="817.40222426523553"/>
    <n v="761.37790929812354"/>
    <x v="0"/>
    <n v="0"/>
    <n v="0"/>
    <n v="0"/>
    <n v="0"/>
    <n v="0"/>
    <x v="0"/>
    <n v="2.4164280148437973E-4"/>
    <n v="1E-8"/>
    <n v="761.37790929812354"/>
    <n v="2.4164280148437973E-4"/>
    <n v="44.811728755388238"/>
    <n v="190.99236652341509"/>
    <n v="92881.516058320922"/>
    <n v="63.257096250821547"/>
    <n v="397931.08857880766"/>
    <x v="1"/>
    <n v="8.6369902932075577E-6"/>
    <n v="2128815.1605832092"/>
    <n v="0.18692608731224492"/>
  </r>
  <r>
    <x v="0"/>
    <n v="1000"/>
    <n v="25"/>
    <x v="8"/>
    <n v="22.944105302987097"/>
    <n v="2.6034095109281483"/>
    <n v="24.873706685378355"/>
    <n v="0"/>
    <m/>
    <n v="2.6135973020543568E-4"/>
    <n v="1E-8"/>
    <n v="102.1677774173401"/>
    <n v="61.300665973621101"/>
    <n v="-6.1497870300745335E-3"/>
    <m/>
    <m/>
    <m/>
    <m/>
    <m/>
    <m/>
    <m/>
    <m/>
    <m/>
    <m/>
    <m/>
    <s v="-"/>
    <m/>
    <m/>
    <m/>
    <m/>
    <m/>
    <m/>
    <m/>
    <m/>
    <m/>
    <m/>
    <m/>
    <n v="855.31285769088151"/>
    <n v="0.10466512063754956"/>
    <n v="0.27146644183712632"/>
    <n v="915.48087804991735"/>
    <n v="858.3877512059189"/>
    <x v="0"/>
    <n v="0"/>
    <n v="0"/>
    <n v="0"/>
    <n v="0"/>
    <n v="0"/>
    <x v="0"/>
    <n v="2.6153228112567279E-4"/>
    <n v="1E-8"/>
    <n v="858.3877512059189"/>
    <n v="2.6153228112567279E-4"/>
    <n v="42.997973392588044"/>
    <n v="190.13900875898273"/>
    <n v="91076.598005542124"/>
    <n v="61.01964201189169"/>
    <n v="401620.94485787832"/>
    <x v="1"/>
    <n v="8.8577935945006053E-6"/>
    <n v="2110765.9800554211"/>
    <n v="0.19027260655742292"/>
  </r>
  <r>
    <x v="0"/>
    <n v="1000"/>
    <n v="25"/>
    <x v="9"/>
    <n v="23.299934485794143"/>
    <n v="2.35923801016152"/>
    <n v="25.101303833758461"/>
    <n v="0"/>
    <m/>
    <n v="2.8165042871469671E-4"/>
    <n v="1E-8"/>
    <n v="101.94534173901286"/>
    <n v="61.167204567662793"/>
    <n v="-6.7264945708963636E-3"/>
    <m/>
    <m/>
    <m/>
    <m/>
    <m/>
    <m/>
    <m/>
    <m/>
    <m/>
    <m/>
    <m/>
    <s v="-"/>
    <m/>
    <m/>
    <m/>
    <m/>
    <m/>
    <m/>
    <m/>
    <m/>
    <m/>
    <m/>
    <m/>
    <n v="952.53143215934779"/>
    <n v="9.3988663927035032E-2"/>
    <n v="0.27053066809701964"/>
    <n v="1013.8732231369859"/>
    <n v="955.894679444796"/>
    <x v="0"/>
    <n v="0"/>
    <n v="0"/>
    <n v="0"/>
    <n v="0"/>
    <n v="0"/>
    <x v="0"/>
    <n v="2.8182511265015503E-4"/>
    <n v="1E-8"/>
    <n v="955.894679444796"/>
    <n v="2.8182511265015503E-4"/>
    <n v="41.525711280955335"/>
    <n v="189.50441997695972"/>
    <n v="89632.358416564151"/>
    <n v="59.195717176464072"/>
    <n v="404619.24559354235"/>
    <x v="1"/>
    <n v="9.0409598077094764E-6"/>
    <n v="2096323.5841656416"/>
    <n v="0.19301373540315581"/>
  </r>
  <r>
    <x v="0"/>
    <n v="1000"/>
    <n v="25"/>
    <x v="0"/>
    <n v="17.484145169315884"/>
    <n v="6.5566382106771339"/>
    <n v="21.495880003397954"/>
    <n v="0"/>
    <m/>
    <n v="1.4159892312270875E-4"/>
    <n v="1E-8"/>
    <n v="106.42842919401158"/>
    <n v="63.857057019740949"/>
    <n v="-2.5697441223675702E-3"/>
    <m/>
    <m/>
    <m/>
    <m/>
    <m/>
    <m/>
    <m/>
    <m/>
    <m/>
    <m/>
    <m/>
    <s v="-"/>
    <m/>
    <m/>
    <m/>
    <m/>
    <m/>
    <m/>
    <m/>
    <m/>
    <m/>
    <m/>
    <m/>
    <n v="293.26533519928546"/>
    <n v="0.30501836675868566"/>
    <n v="0.28226182860762961"/>
    <n v="338.0569974496251"/>
    <n v="294.55020726046928"/>
    <x v="0"/>
    <n v="0"/>
    <n v="0"/>
    <n v="0"/>
    <n v="0"/>
    <n v="0"/>
    <x v="0"/>
    <n v="1.4174897602331767E-4"/>
    <n v="1E-8"/>
    <n v="294.55020726046928"/>
    <n v="1.4174897602331767E-4"/>
    <n v="67.141508743606408"/>
    <n v="202.67106565378509"/>
    <n v="115890.56085497644"/>
    <n v="90.695225843616214"/>
    <n v="339247.81579107902"/>
    <x v="2"/>
    <n v="6.221365577526194E-6"/>
    <n v="2358905.6085497644"/>
    <n v="0.14381576548102989"/>
  </r>
  <r>
    <x v="0"/>
    <n v="1000"/>
    <n v="25"/>
    <x v="0"/>
    <n v="16.901566758990107"/>
    <n v="6.2371226893938543"/>
    <n v="20.713591024649215"/>
    <n v="0"/>
    <m/>
    <n v="1.3750140229213911E-4"/>
    <n v="1E-8"/>
    <n v="102.57095507382674"/>
    <n v="61.542572565631581"/>
    <n v="-2.4108457158125611E-3"/>
    <m/>
    <m/>
    <m/>
    <m/>
    <m/>
    <m/>
    <m/>
    <m/>
    <m/>
    <m/>
    <m/>
    <s v="-"/>
    <m/>
    <m/>
    <m/>
    <m/>
    <m/>
    <m/>
    <m/>
    <m/>
    <m/>
    <m/>
    <m/>
    <n v="297.16543727696899"/>
    <n v="0.30111257299478711"/>
    <n v="0.2837166115660148"/>
    <n v="340.42799726917832"/>
    <n v="298.37086013487527"/>
    <x v="0"/>
    <n v="0"/>
    <n v="0"/>
    <n v="0"/>
    <n v="0"/>
    <n v="0"/>
    <x v="1"/>
    <n v="1.3763251465276954E-4"/>
    <n v="1E-8"/>
    <n v="298.37086013487527"/>
    <n v="1.3763251465276954E-4"/>
    <n v="64.134834932189705"/>
    <n v="191.29403514293864"/>
    <n v="108342.94914049411"/>
    <n v="86.091133241933605"/>
    <n v="387041.93138849991"/>
    <x v="2"/>
    <n v="6.0614215034429727E-6"/>
    <n v="2283429.4914049413"/>
    <n v="0.16950027703739692"/>
  </r>
  <r>
    <x v="0"/>
    <n v="1000"/>
    <n v="25"/>
    <x v="0"/>
    <n v="14.775381795835266"/>
    <n v="5.1607093086481894"/>
    <n v="17.920173052198248"/>
    <n v="0"/>
    <m/>
    <n v="1.2505744993483514E-4"/>
    <n v="1E-8"/>
    <n v="88.753526139934536"/>
    <n v="53.252115269777597"/>
    <n v="-1.9133564827666437E-3"/>
    <m/>
    <m/>
    <m/>
    <m/>
    <m/>
    <m/>
    <m/>
    <m/>
    <m/>
    <m/>
    <m/>
    <s v="-"/>
    <m/>
    <m/>
    <m/>
    <m/>
    <m/>
    <m/>
    <m/>
    <m/>
    <m/>
    <m/>
    <m/>
    <n v="311.01704903396103"/>
    <n v="0.28798322949315108"/>
    <n v="0.28824552085029698"/>
    <n v="348.74029004076357"/>
    <n v="311.9737272753444"/>
    <x v="0"/>
    <n v="0"/>
    <n v="0"/>
    <n v="0"/>
    <n v="0"/>
    <n v="0"/>
    <x v="2"/>
    <n v="1.2514000859269395E-4"/>
    <n v="1E-8"/>
    <n v="311.9737272753444"/>
    <n v="1.2514000859269395E-4"/>
    <n v="53.847703966026693"/>
    <n v="154.85135202622436"/>
    <n v="84415.468498699163"/>
    <n v="70.923288789330144"/>
    <n v="509708.53640945506"/>
    <x v="2"/>
    <n v="5.4923635104578689E-6"/>
    <n v="2044154.6849869916"/>
    <n v="0.24934929834465963"/>
  </r>
  <r>
    <x v="0"/>
    <n v="1000"/>
    <n v="25"/>
    <x v="0"/>
    <n v="12.775336955016746"/>
    <n v="4.2552884180338619"/>
    <n v="15.364007137575546"/>
    <n v="0"/>
    <m/>
    <n v="1.1658263560933347E-4"/>
    <n v="1E-8"/>
    <n v="76.042412659960988"/>
    <n v="45.625447241111999"/>
    <n v="-1.5400745247760173E-3"/>
    <m/>
    <m/>
    <m/>
    <m/>
    <m/>
    <m/>
    <m/>
    <m/>
    <m/>
    <m/>
    <m/>
    <s v="-"/>
    <m/>
    <m/>
    <m/>
    <m/>
    <m/>
    <m/>
    <m/>
    <m/>
    <m/>
    <m/>
    <m/>
    <n v="323.61489313876194"/>
    <n v="0.27696475144344085"/>
    <n v="0.29150484418736922"/>
    <n v="356.17452948121439"/>
    <n v="324.38493040114997"/>
    <x v="0"/>
    <n v="0"/>
    <n v="0"/>
    <n v="0"/>
    <n v="0"/>
    <n v="0"/>
    <x v="3"/>
    <n v="1.1663823198210641E-4"/>
    <n v="1E-8"/>
    <n v="324.38493040114997"/>
    <n v="1.1663823198210641E-4"/>
    <n v="44.988230730128443"/>
    <n v="125.92732226392422"/>
    <n v="65943.683644411998"/>
    <n v="58.48306715282385"/>
    <n v="575935.15965652512"/>
    <x v="2"/>
    <n v="4.9353826987697902E-6"/>
    <n v="1859436.8364441199"/>
    <n v="0.30973633971773434"/>
  </r>
  <r>
    <x v="0"/>
    <n v="1000"/>
    <n v="25"/>
    <x v="0"/>
    <n v="11.678272587961491"/>
    <n v="3.7950696187563624"/>
    <n v="13.98564021721532"/>
    <n v="0"/>
    <m/>
    <n v="1.1271440500220847E-4"/>
    <n v="1E-8"/>
    <n v="69.188041103903714"/>
    <n v="41.512824339464707"/>
    <n v="-1.3601924957326078E-3"/>
    <m/>
    <m/>
    <m/>
    <m/>
    <m/>
    <m/>
    <m/>
    <m/>
    <m/>
    <m/>
    <m/>
    <s v="-"/>
    <m/>
    <m/>
    <m/>
    <m/>
    <m/>
    <m/>
    <m/>
    <m/>
    <m/>
    <m/>
    <m/>
    <n v="330.41119367080978"/>
    <n v="0.27135472955216622"/>
    <n v="0.2930635846705692"/>
    <n v="360.15106209429274"/>
    <n v="331.09128991867613"/>
    <x v="0"/>
    <n v="0"/>
    <n v="0"/>
    <n v="0"/>
    <n v="0"/>
    <n v="0"/>
    <x v="4"/>
    <n v="1.1275936646434466E-4"/>
    <n v="1E-8"/>
    <n v="331.09128991867613"/>
    <n v="1.1275936646434466E-4"/>
    <n v="40.405938908571265"/>
    <n v="111.72623366997169"/>
    <n v="57107.988770485979"/>
    <n v="52.206894280287585"/>
    <n v="601282.56866488385"/>
    <x v="2"/>
    <n v="4.6043561072699329E-6"/>
    <n v="1771079.88770486"/>
    <n v="0.33950053458293467"/>
  </r>
  <r>
    <x v="0"/>
    <n v="1000"/>
    <n v="25"/>
    <x v="0"/>
    <n v="10.270847062843613"/>
    <n v="3.2365748038796012"/>
    <n v="12.238107070374459"/>
    <n v="0"/>
    <m/>
    <n v="1.0931760632110976E-4"/>
    <n v="1E-8"/>
    <n v="60.636373026743129"/>
    <n v="36.381823533076137"/>
    <n v="-1.1593180599208841E-3"/>
    <m/>
    <m/>
    <m/>
    <m/>
    <m/>
    <m/>
    <m/>
    <m/>
    <m/>
    <m/>
    <m/>
    <s v="-"/>
    <m/>
    <m/>
    <m/>
    <m/>
    <m/>
    <m/>
    <m/>
    <m/>
    <m/>
    <m/>
    <m/>
    <n v="339.13456448094774"/>
    <n v="0.26446694617622502"/>
    <n v="0.29574935500868871"/>
    <n v="365.2717854193059"/>
    <n v="339.71422351090825"/>
    <x v="0"/>
    <n v="0"/>
    <n v="0"/>
    <n v="0"/>
    <n v="0"/>
    <n v="0"/>
    <x v="5"/>
    <n v="1.093518818967976E-4"/>
    <n v="1E-8"/>
    <n v="339.71422351090825"/>
    <n v="1.093518818967976E-4"/>
    <n v="34.770308508739234"/>
    <n v="95.121867837152337"/>
    <n v="46892.383262425479"/>
    <n v="44.467174399265858"/>
    <n v="615935.94700571394"/>
    <x v="2"/>
    <n v="4.1693754761577038E-6"/>
    <n v="1668923.8326242547"/>
    <n v="0.36906174803508074"/>
  </r>
  <r>
    <x v="0"/>
    <n v="1000"/>
    <n v="25"/>
    <x v="0"/>
    <n v="8.5677882362663418"/>
    <n v="2.6075040939256042"/>
    <n v="10.152031611171971"/>
    <n v="0"/>
    <m/>
    <n v="1.0416119281529996E-4"/>
    <n v="1E-8"/>
    <n v="50.115335295565316"/>
    <n v="30.069200943467621"/>
    <n v="-9.2067254254118872E-4"/>
    <m/>
    <m/>
    <m/>
    <m/>
    <m/>
    <m/>
    <m/>
    <m/>
    <m/>
    <m/>
    <m/>
    <s v="-"/>
    <m/>
    <m/>
    <m/>
    <m/>
    <m/>
    <m/>
    <m/>
    <m/>
    <m/>
    <m/>
    <m/>
    <n v="349.33424012151465"/>
    <n v="0.25684554518685043"/>
    <n v="0.29661074332501619"/>
    <n v="371.11436982955792"/>
    <n v="349.79457639278519"/>
    <x v="0"/>
    <n v="0"/>
    <n v="0"/>
    <n v="0"/>
    <n v="0"/>
    <n v="0"/>
    <x v="6"/>
    <n v="1.0418575094984677E-4"/>
    <n v="1E-8"/>
    <n v="349.79457639278519"/>
    <n v="1.0418575094984677E-4"/>
    <n v="28.304804560734802"/>
    <n v="76.114281616948574"/>
    <n v="36030.476480519857"/>
    <n v="36.082249560182035"/>
    <n v="639891.16340164945"/>
    <x v="2"/>
    <n v="3.5583799942542316E-6"/>
    <n v="1560304.7648051986"/>
    <n v="0.41010652395305525"/>
  </r>
  <r>
    <x v="0"/>
    <n v="1000"/>
    <n v="25"/>
    <x v="0"/>
    <n v="7.4094510188896479"/>
    <n v="2.203013242932002"/>
    <n v="8.7482674744439759"/>
    <n v="0"/>
    <m/>
    <n v="9.9999998169375307E-9"/>
    <n v="1E-8"/>
    <n v="43.280007203884153"/>
    <n v="25.968004120357126"/>
    <n v="-7.6467600609657878E-8"/>
    <m/>
    <m/>
    <m/>
    <m/>
    <m/>
    <m/>
    <m/>
    <m/>
    <m/>
    <m/>
    <m/>
    <s v="-"/>
    <m/>
    <m/>
    <m/>
    <m/>
    <m/>
    <m/>
    <m/>
    <m/>
    <m/>
    <m/>
    <m/>
    <n v="356.77132877147528"/>
    <n v="0.25182280370000021"/>
    <n v="0.29887689096354242"/>
    <n v="375.20902002492568"/>
    <n v="356.77136700527558"/>
    <x v="0"/>
    <n v="0"/>
    <n v="0"/>
    <n v="0"/>
    <n v="0"/>
    <n v="0"/>
    <x v="7"/>
    <n v="9.9999999999812695E-9"/>
    <n v="1E-8"/>
    <n v="356.77136700527558"/>
    <n v="9.9999999999812695E-9"/>
    <n v="24.085079182616965"/>
    <n v="64.474768603424138"/>
    <n v="29448.99599054666"/>
    <n v="30.449165031906716"/>
    <n v="632037.02016474772"/>
    <x v="2"/>
    <n v="3.1455961180631358E-6"/>
    <n v="1494489.9599054665"/>
    <n v="0.42291151972993318"/>
  </r>
  <r>
    <x v="0"/>
    <n v="1000"/>
    <n v="25"/>
    <x v="0"/>
    <n v="6.0765513237650692"/>
    <n v="1.761407498301504"/>
    <n v="7.1469430017699915"/>
    <n v="0"/>
    <m/>
    <n v="9.9174353444236778E-5"/>
    <n v="1E-8"/>
    <n v="35.197373628542955"/>
    <n v="21.118424012871358"/>
    <n v="-6.2103338793174923E-4"/>
    <m/>
    <m/>
    <m/>
    <m/>
    <m/>
    <m/>
    <m/>
    <m/>
    <m/>
    <m/>
    <m/>
    <s v="-"/>
    <m/>
    <m/>
    <m/>
    <m/>
    <m/>
    <m/>
    <m/>
    <m/>
    <m/>
    <m/>
    <m/>
    <n v="364.2297971207301"/>
    <n v="0.24645607189889143"/>
    <n v="0.29876630871131993"/>
    <n v="379.66118954317409"/>
    <n v="364.54031381469605"/>
    <x v="0"/>
    <n v="0"/>
    <n v="0"/>
    <n v="0"/>
    <n v="0"/>
    <n v="0"/>
    <x v="8"/>
    <n v="9.9188717424111681E-5"/>
    <n v="1E-8"/>
    <n v="364.54031381469605"/>
    <n v="9.9188717424111681E-5"/>
    <n v="19.40940904933775"/>
    <n v="51.327335182750595"/>
    <n v="22622.037071007282"/>
    <n v="24.547836358917806"/>
    <n v="636196.69520941109"/>
    <x v="2"/>
    <n v="2.6023718520243177E-6"/>
    <n v="1426220.3707100728"/>
    <n v="0.44607180508343719"/>
  </r>
  <r>
    <x v="0"/>
    <n v="1000"/>
    <n v="25"/>
    <x v="0"/>
    <n v="4.1901321368747277"/>
    <n v="1.1728013203668481"/>
    <n v="4.9031712192529557"/>
    <n v="0"/>
    <m/>
    <n v="9.6184254533284219E-5"/>
    <n v="1E-8"/>
    <n v="24.096488320901749"/>
    <n v="14.457892880090771"/>
    <n v="-4.1502738918025253E-4"/>
    <m/>
    <m/>
    <m/>
    <m/>
    <m/>
    <m/>
    <m/>
    <m/>
    <m/>
    <m/>
    <m/>
    <s v="-"/>
    <m/>
    <m/>
    <m/>
    <m/>
    <m/>
    <m/>
    <m/>
    <m/>
    <m/>
    <m/>
    <m/>
    <n v="375.40295163799948"/>
    <n v="0.23919240587840118"/>
    <n v="0.30008874425268206"/>
    <n v="386.03702332351884"/>
    <n v="375.61046533258963"/>
    <x v="0"/>
    <n v="0"/>
    <n v="0"/>
    <n v="0"/>
    <n v="0"/>
    <n v="0"/>
    <x v="9"/>
    <n v="9.619298839630251E-5"/>
    <n v="1E-8"/>
    <n v="375.61046533258963"/>
    <n v="9.619298839630251E-5"/>
    <n v="13.067912424563321"/>
    <n v="34.206076886055506"/>
    <n v="14183.809388664371"/>
    <n v="16.449291991866332"/>
    <n v="603668.88407412299"/>
    <x v="2"/>
    <n v="1.8089467862357306E-6"/>
    <n v="1341838.0938866436"/>
    <n v="0.44988205866595404"/>
  </r>
  <r>
    <x v="0"/>
    <n v="1000"/>
    <n v="25"/>
    <x v="0"/>
    <n v="17.483730459256975"/>
    <n v="6.5563586286886455"/>
    <n v="21.495299068970581"/>
    <n v="0"/>
    <m/>
    <n v="1.415801589547576E-4"/>
    <n v="1E-8"/>
    <n v="106.42732412340513"/>
    <n v="63.856393977382218"/>
    <n v="-2.5693431365626214E-3"/>
    <m/>
    <m/>
    <m/>
    <m/>
    <m/>
    <m/>
    <m/>
    <m/>
    <m/>
    <m/>
    <m/>
    <s v="-"/>
    <m/>
    <m/>
    <m/>
    <m/>
    <m/>
    <m/>
    <m/>
    <m/>
    <m/>
    <m/>
    <m/>
    <n v="293.27013543102413"/>
    <n v="0.30501360356288509"/>
    <n v="0.2822714924342492"/>
    <n v="338.06058731442909"/>
    <n v="294.55480699930541"/>
    <x v="0"/>
    <n v="0"/>
    <n v="0"/>
    <n v="0"/>
    <n v="0"/>
    <n v="0"/>
    <x v="0"/>
    <n v="1.4173014103535832E-4"/>
    <n v="1E-8"/>
    <n v="294.55480699930541"/>
    <n v="1.4173014103535832E-4"/>
    <n v="67.138981431430025"/>
    <n v="202.66771838164584"/>
    <n v="115884.30697401146"/>
    <n v="90.68799976606806"/>
    <n v="339226.54971658927"/>
    <x v="3"/>
    <n v="6.2214150039407179E-6"/>
    <n v="2358843.0697401147"/>
    <n v="0.14381056292734368"/>
  </r>
  <r>
    <x v="1"/>
    <n v="1000"/>
    <n v="25"/>
    <x v="0"/>
    <n v="17.326475321408203"/>
    <n v="6.679479579870633"/>
    <n v="21.4032318750264"/>
    <n v="0"/>
    <m/>
    <n v="1.401303232070253E-4"/>
    <n v="1E-8"/>
    <n v="106.59540415629819"/>
    <n v="63.957241996333693"/>
    <n v="-2.521438316188175E-3"/>
    <m/>
    <m/>
    <m/>
    <m/>
    <m/>
    <m/>
    <m/>
    <m/>
    <m/>
    <m/>
    <m/>
    <s v="-"/>
    <m/>
    <m/>
    <m/>
    <m/>
    <m/>
    <m/>
    <m/>
    <m/>
    <m/>
    <m/>
    <m/>
    <n v="286.62627946855861"/>
    <n v="0.31207808329471709"/>
    <n v="0.25111364362249933"/>
    <n v="331.00145786003088"/>
    <n v="287.88699862665277"/>
    <x v="0"/>
    <n v="0"/>
    <n v="0"/>
    <n v="0"/>
    <n v="0"/>
    <n v="0"/>
    <x v="0"/>
    <n v="1.4027983688240953E-4"/>
    <n v="1E-8"/>
    <n v="287.88699862665277"/>
    <n v="1.4027983688240953E-4"/>
    <n v="67.90405064506848"/>
    <n v="203.17743715385035"/>
    <n v="116727.97919880266"/>
    <n v="91.629268319302625"/>
    <n v="337076.83837331249"/>
    <x v="3"/>
    <n v="6.148708821935203E-6"/>
    <n v="2367279.7919880264"/>
    <n v="0.142389944574417"/>
  </r>
  <r>
    <x v="2"/>
    <n v="1000"/>
    <n v="25"/>
    <x v="0"/>
    <n v="17.112191894400723"/>
    <n v="6.8343065426478233"/>
    <n v="21.270374296799499"/>
    <n v="0"/>
    <m/>
    <n v="1.3833452264529279E-4"/>
    <n v="1E-8"/>
    <n v="106.74237507065868"/>
    <n v="64.045424544264122"/>
    <n v="-2.4599704571745024E-3"/>
    <m/>
    <m/>
    <m/>
    <m/>
    <m/>
    <m/>
    <m/>
    <m/>
    <m/>
    <m/>
    <m/>
    <s v="-"/>
    <m/>
    <m/>
    <m/>
    <m/>
    <m/>
    <m/>
    <m/>
    <m/>
    <m/>
    <m/>
    <m/>
    <n v="278.38857629854954"/>
    <n v="0.32130636007078467"/>
    <n v="0.21995048802335837"/>
    <n v="322.19980029058434"/>
    <n v="279.61856152713682"/>
    <x v="0"/>
    <n v="0"/>
    <n v="0"/>
    <n v="0"/>
    <n v="0"/>
    <n v="0"/>
    <x v="0"/>
    <n v="1.3848334938226597E-4"/>
    <n v="1E-8"/>
    <n v="279.61856152713682"/>
    <n v="1.3848334938226597E-4"/>
    <n v="68.849058576112029"/>
    <n v="203.62413728807655"/>
    <n v="117696.82254336464"/>
    <n v="92.787515141869292"/>
    <n v="333770.75039356755"/>
    <x v="3"/>
    <n v="6.0552803357649984E-6"/>
    <n v="2376968.2254336467"/>
    <n v="0.14041868411289993"/>
  </r>
  <r>
    <x v="3"/>
    <n v="1000"/>
    <n v="25"/>
    <x v="0"/>
    <n v="16.828366143915833"/>
    <n v="7.0469413668014838"/>
    <n v="21.098733586099332"/>
    <n v="0"/>
    <m/>
    <n v="1.3607650569781555E-4"/>
    <n v="1E-8"/>
    <n v="106.98878645034746"/>
    <n v="64.193271370927462"/>
    <n v="-2.3818997746021652E-3"/>
    <m/>
    <m/>
    <m/>
    <m/>
    <m/>
    <m/>
    <m/>
    <m/>
    <m/>
    <m/>
    <m/>
    <s v="-"/>
    <m/>
    <m/>
    <m/>
    <m/>
    <m/>
    <m/>
    <m/>
    <m/>
    <m/>
    <m/>
    <m/>
    <n v="267.80209238011645"/>
    <n v="0.3339983102798304"/>
    <n v="0.18880296942657168"/>
    <n v="310.86810660326694"/>
    <n v="268.99304226741754"/>
    <x v="0"/>
    <n v="0"/>
    <n v="0"/>
    <n v="0"/>
    <n v="0"/>
    <n v="0"/>
    <x v="0"/>
    <n v="1.3622450753488882E-4"/>
    <n v="1E-8"/>
    <n v="268.99304226741754"/>
    <n v="1.3622450753488882E-4"/>
    <n v="70.157726842206714"/>
    <n v="204.37517265674504"/>
    <n v="119086.31496090809"/>
    <n v="94.383530856357226"/>
    <n v="329498.67962106317"/>
    <x v="3"/>
    <n v="5.9295522949404411E-6"/>
    <n v="2390863.149609081"/>
    <n v="0.1378157840924262"/>
  </r>
  <r>
    <x v="4"/>
    <n v="1000"/>
    <n v="25"/>
    <x v="0"/>
    <n v="16.417867748234617"/>
    <n v="7.3433519571995118"/>
    <n v="20.844149758361599"/>
    <n v="0"/>
    <m/>
    <n v="1.3308513675593301E-4"/>
    <n v="1E-8"/>
    <n v="107.28382064906346"/>
    <n v="64.37029188878023"/>
    <n v="-2.2758312046917044E-3"/>
    <m/>
    <m/>
    <m/>
    <m/>
    <m/>
    <m/>
    <m/>
    <m/>
    <m/>
    <m/>
    <m/>
    <s v="-"/>
    <m/>
    <m/>
    <m/>
    <m/>
    <m/>
    <m/>
    <m/>
    <m/>
    <m/>
    <m/>
    <m/>
    <n v="253.88261975321626"/>
    <n v="0.35229798491798581"/>
    <n v="0.15767354820217327"/>
    <n v="295.87430526277507"/>
    <n v="255.02053535556212"/>
    <x v="0"/>
    <n v="0"/>
    <n v="0"/>
    <n v="0"/>
    <n v="0"/>
    <n v="0"/>
    <x v="0"/>
    <n v="1.3323172607336786E-4"/>
    <n v="1E-8"/>
    <n v="255.02053535556212"/>
    <n v="1.3323172607336786E-4"/>
    <n v="71.966677337271022"/>
    <n v="205.27788592942292"/>
    <n v="120939.91905052899"/>
    <n v="96.56452668146855"/>
    <n v="322897.5497702104"/>
    <x v="3"/>
    <n v="5.753666007509961E-6"/>
    <n v="2409399.1905052899"/>
    <n v="0.1340157957397228"/>
  </r>
  <r>
    <x v="5"/>
    <n v="1000"/>
    <n v="25"/>
    <x v="0"/>
    <n v="15.821473311048406"/>
    <n v="7.8289051774002347"/>
    <n v="20.505166001906606"/>
    <n v="0"/>
    <m/>
    <n v="1.283908623319713E-4"/>
    <n v="1E-8"/>
    <n v="107.89509296958502"/>
    <n v="64.737055278240575"/>
    <n v="-2.1207230910760691E-3"/>
    <m/>
    <m/>
    <m/>
    <m/>
    <m/>
    <m/>
    <m/>
    <m/>
    <m/>
    <m/>
    <m/>
    <s v="-"/>
    <m/>
    <m/>
    <m/>
    <m/>
    <m/>
    <m/>
    <m/>
    <m/>
    <m/>
    <m/>
    <m/>
    <n v="234.25352744890282"/>
    <n v="0.38180159949313697"/>
    <n v="0.12625211846374412"/>
    <n v="274.68350231610674"/>
    <n v="235.31388899444084"/>
    <x v="0"/>
    <n v="0"/>
    <n v="0"/>
    <n v="0"/>
    <n v="0"/>
    <n v="0"/>
    <x v="0"/>
    <n v="1.2853618140986044E-4"/>
    <n v="1E-8"/>
    <n v="235.31388899444084"/>
    <n v="1.2853618140986044E-4"/>
    <n v="75.007990262323489"/>
    <n v="207.16039765177987"/>
    <n v="124417.12850668629"/>
    <n v="100.53564321145271"/>
    <n v="314209.21809148177"/>
    <x v="3"/>
    <n v="5.4826251217546045E-6"/>
    <n v="2444171.2850668626"/>
    <n v="0.12855450025585513"/>
  </r>
  <r>
    <x v="6"/>
    <n v="1000"/>
    <n v="25"/>
    <x v="0"/>
    <n v="14.782696719728341"/>
    <n v="8.5792353689045218"/>
    <n v="19.861161777425732"/>
    <n v="0"/>
    <m/>
    <n v="1.2304298371126695E-4"/>
    <n v="1E-8"/>
    <n v="108.67959054854909"/>
    <n v="65.207753821958036"/>
    <n v="-1.9068405908858842E-3"/>
    <m/>
    <m/>
    <m/>
    <m/>
    <m/>
    <m/>
    <m/>
    <m/>
    <m/>
    <m/>
    <m/>
    <s v="-"/>
    <m/>
    <m/>
    <m/>
    <m/>
    <m/>
    <m/>
    <m/>
    <m/>
    <m/>
    <m/>
    <m/>
    <n v="207.03605720305063"/>
    <n v="0.43196039914722972"/>
    <n v="9.5233448958009725E-2"/>
    <n v="244.77411160183522"/>
    <n v="207.98947749849359"/>
    <x v="0"/>
    <n v="0"/>
    <n v="0"/>
    <n v="0"/>
    <n v="0"/>
    <n v="0"/>
    <x v="0"/>
    <n v="1.2318512202331267E-4"/>
    <n v="1E-8"/>
    <n v="207.98947749849359"/>
    <n v="1.2318512202331267E-4"/>
    <n v="79.587591913464664"/>
    <n v="209.60091568136116"/>
    <n v="129117.67899727607"/>
    <n v="105.93803361669133"/>
    <n v="296099.9002866621"/>
    <x v="3"/>
    <n v="5.0540592103535326E-6"/>
    <n v="2491176.7899727607"/>
    <n v="0.11885944886709536"/>
  </r>
  <r>
    <x v="7"/>
    <n v="1000"/>
    <n v="25"/>
    <x v="0"/>
    <n v="12.817860315536423"/>
    <n v="9.9794340746543444"/>
    <n v="18.631399284281358"/>
    <n v="0"/>
    <m/>
    <n v="1.1421659649318151E-4"/>
    <n v="1E-8"/>
    <n v="109.85342565591182"/>
    <n v="65.91205488089777"/>
    <n v="-1.549706077042298E-3"/>
    <m/>
    <m/>
    <m/>
    <m/>
    <m/>
    <m/>
    <m/>
    <m/>
    <m/>
    <m/>
    <m/>
    <s v="-"/>
    <m/>
    <m/>
    <m/>
    <m/>
    <m/>
    <m/>
    <m/>
    <m/>
    <m/>
    <m/>
    <m/>
    <n v="166.96059004736142"/>
    <n v="0.53562450798172923"/>
    <n v="6.3971228261274243E-2"/>
    <n v="199.63085493395366"/>
    <n v="167.73544308588259"/>
    <x v="0"/>
    <n v="0"/>
    <n v="0"/>
    <n v="0"/>
    <n v="0"/>
    <n v="0"/>
    <x v="0"/>
    <n v="1.1435094060448386E-4"/>
    <n v="1E-8"/>
    <n v="167.73544308588259"/>
    <n v="1.1435094060448386E-4"/>
    <n v="88.105652809313668"/>
    <n v="213.30545731992268"/>
    <n v="137742.65841492524"/>
    <n v="116.2233152471824"/>
    <n v="265957.22340277949"/>
    <x v="3"/>
    <n v="4.2643100628555713E-6"/>
    <n v="2577426.5841492526"/>
    <n v="0.10318711890316196"/>
  </r>
  <r>
    <x v="8"/>
    <n v="1000"/>
    <n v="25"/>
    <x v="0"/>
    <n v="8.8564308990141747"/>
    <n v="5.3700046469059268"/>
    <n v="11.973456040773995"/>
    <n v="0"/>
    <m/>
    <n v="8.8789764313996702E-5"/>
    <n v="1E-8"/>
    <n v="68.560316386738634"/>
    <n v="41.136189512095036"/>
    <n v="-8.2292534683156646E-4"/>
    <m/>
    <m/>
    <m/>
    <m/>
    <m/>
    <m/>
    <m/>
    <m/>
    <m/>
    <m/>
    <m/>
    <s v="-"/>
    <m/>
    <m/>
    <m/>
    <m/>
    <m/>
    <m/>
    <m/>
    <m/>
    <m/>
    <m/>
    <m/>
    <n v="199.91115689483001"/>
    <n v="0.44849245101991425"/>
    <n v="4.9856223901313272E-2"/>
    <n v="222.36057595246626"/>
    <n v="200.32261956824581"/>
    <x v="0"/>
    <n v="0"/>
    <n v="0"/>
    <n v="0"/>
    <n v="0"/>
    <n v="0"/>
    <x v="0"/>
    <n v="8.882649012354458E-5"/>
    <n v="1E-8"/>
    <n v="200.32261956824581"/>
    <n v="8.882649012354458E-5"/>
    <n v="49.358047453704948"/>
    <n v="110.46760437762684"/>
    <n v="62885.834452608258"/>
    <n v="62.341522945115891"/>
    <n v="639178.45103597699"/>
    <x v="3"/>
    <n v="3.2675932049526264E-6"/>
    <n v="1828858.3445260827"/>
    <n v="0.34949587700386336"/>
  </r>
  <r>
    <x v="9"/>
    <n v="1000"/>
    <n v="25"/>
    <x v="0"/>
    <n v="3.2865356645164732"/>
    <n v="1.1223229668806944"/>
    <n v="3.9557826881782474"/>
    <n v="0"/>
    <m/>
    <n v="8.662731088012848E-5"/>
    <n v="1E-8"/>
    <n v="20.291356223196175"/>
    <n v="12.174813639224707"/>
    <n v="-2.9395178360717262E-4"/>
    <m/>
    <m/>
    <m/>
    <m/>
    <m/>
    <m/>
    <m/>
    <m/>
    <m/>
    <m/>
    <m/>
    <s v="-"/>
    <m/>
    <m/>
    <m/>
    <m/>
    <m/>
    <m/>
    <m/>
    <m/>
    <m/>
    <m/>
    <m/>
    <n v="316.51771478287031"/>
    <n v="0.2837170429595961"/>
    <n v="4.3728798717661083E-2"/>
    <n v="324.84276355871822"/>
    <n v="316.66469067467392"/>
    <x v="0"/>
    <n v="0"/>
    <n v="0"/>
    <n v="0"/>
    <n v="0"/>
    <n v="0"/>
    <x v="0"/>
    <n v="8.6634000357234896E-5"/>
    <n v="1E-8"/>
    <n v="316.66469067467392"/>
    <n v="8.6634000357234896E-5"/>
    <n v="11.769106580406596"/>
    <n v="28.556327507965552"/>
    <n v="11976.653536063312"/>
    <n v="14.677888580605343"/>
    <n v="805007.43401016656"/>
    <x v="3"/>
    <n v="1.1699647918347968E-6"/>
    <n v="1319766.5353606332"/>
    <n v="0.60996199891535663"/>
  </r>
  <r>
    <x v="0"/>
    <n v="100"/>
    <n v="25"/>
    <x v="0"/>
    <n v="3.3611560946541923"/>
    <n v="0.9581469474347919"/>
    <n v="4.0690343360304704"/>
    <n v="0"/>
    <m/>
    <n v="5.9342723248291346E-2"/>
    <n v="1E-8"/>
    <n v="17.467494634622398"/>
    <n v="10.480496699258463"/>
    <n v="0.22359661229367539"/>
    <m/>
    <m/>
    <m/>
    <m/>
    <m/>
    <m/>
    <m/>
    <m/>
    <m/>
    <m/>
    <m/>
    <s v="-"/>
    <m/>
    <m/>
    <m/>
    <m/>
    <m/>
    <m/>
    <m/>
    <m/>
    <m/>
    <m/>
    <m/>
    <n v="487.59131450481715"/>
    <n v="0.23547280959283037"/>
    <n v="0.21215085511891008"/>
    <n v="384.15676386140291"/>
    <n v="375.79300835797949"/>
    <x v="1"/>
    <n v="0"/>
    <n v="0"/>
    <n v="0"/>
    <n v="1"/>
    <n v="0.1"/>
    <x v="0"/>
    <n v="5.4287506622658653E-2"/>
    <n v="1E-8"/>
    <n v="375.79300835797949"/>
    <n v="5.4287506622658653E-2"/>
    <n v="10.736993136250268"/>
    <n v="70.200439305102591"/>
    <n v="26397.022370324812"/>
    <n v="21.321467758450193"/>
    <n v="19515.758248542756"/>
    <x v="0"/>
    <n v="2.0595756087931843E-6"/>
    <n v="1463970.2237032482"/>
    <n v="1.3330707095377828E-2"/>
  </r>
  <r>
    <x v="0"/>
    <n v="200"/>
    <n v="25"/>
    <x v="0"/>
    <n v="6.0991080274538634"/>
    <n v="1.7900402557491635"/>
    <n v="7.3335769907029"/>
    <n v="0"/>
    <m/>
    <n v="5.993459558084005E-2"/>
    <n v="1E-8"/>
    <n v="32.326888225180653"/>
    <n v="19.396132784249584"/>
    <n v="0.37808049227227214"/>
    <m/>
    <m/>
    <m/>
    <m/>
    <m/>
    <m/>
    <m/>
    <m/>
    <m/>
    <m/>
    <m/>
    <s v="-"/>
    <m/>
    <m/>
    <m/>
    <m/>
    <m/>
    <m/>
    <m/>
    <m/>
    <m/>
    <m/>
    <m/>
    <n v="548.01083616406038"/>
    <n v="0.24408828843257208"/>
    <n v="0.23591870605712426"/>
    <n v="374.14741658519841"/>
    <n v="358.97059002792435"/>
    <x v="1"/>
    <n v="0"/>
    <n v="0"/>
    <n v="0"/>
    <n v="1"/>
    <n v="0.1"/>
    <x v="0"/>
    <n v="5.4781427657876997E-2"/>
    <n v="1E-8"/>
    <n v="358.97059002792435"/>
    <n v="5.4781427657876997E-2"/>
    <n v="19.786660477067549"/>
    <n v="101.94765773138643"/>
    <n v="42990.307818567991"/>
    <n v="33.831876418395588"/>
    <n v="53673.4646959534"/>
    <x v="0"/>
    <n v="3.40783145635856E-6"/>
    <n v="1629903.0781856799"/>
    <n v="3.2930464034523946E-2"/>
  </r>
  <r>
    <x v="0"/>
    <n v="300"/>
    <n v="25"/>
    <x v="0"/>
    <n v="8.406595271104484"/>
    <n v="2.5434462508240947"/>
    <n v="10.100392768032943"/>
    <n v="0"/>
    <m/>
    <n v="6.0618875340621339E-2"/>
    <n v="1E-8"/>
    <n v="45.430801019624781"/>
    <n v="27.258480399764462"/>
    <n v="0.49906868315582864"/>
    <m/>
    <m/>
    <m/>
    <m/>
    <m/>
    <m/>
    <m/>
    <m/>
    <m/>
    <m/>
    <m/>
    <s v="-"/>
    <m/>
    <m/>
    <m/>
    <m/>
    <m/>
    <m/>
    <m/>
    <m/>
    <m/>
    <m/>
    <m/>
    <n v="594.83988816401245"/>
    <n v="0.25181656884412745"/>
    <n v="0.24889369312599796"/>
    <n v="366.22415310922003"/>
    <n v="345.30554658609816"/>
    <x v="1"/>
    <n v="0"/>
    <n v="0"/>
    <n v="0"/>
    <n v="1"/>
    <n v="0.1"/>
    <x v="0"/>
    <n v="5.5622246688694539E-2"/>
    <n v="1E-8"/>
    <n v="345.30554658609816"/>
    <n v="5.5622246688694539E-2"/>
    <n v="27.78932223439325"/>
    <n v="124.72923432918363"/>
    <n v="56666.772138571381"/>
    <n v="44.100514277381208"/>
    <n v="92426.314862610947"/>
    <x v="0"/>
    <n v="4.2986766821719459E-6"/>
    <n v="1766667.7213857137"/>
    <n v="5.2316750764040063E-2"/>
  </r>
  <r>
    <x v="0"/>
    <n v="400"/>
    <n v="25"/>
    <x v="0"/>
    <n v="10.390162207309501"/>
    <n v="3.2351241482562254"/>
    <n v="12.497295743194485"/>
    <n v="0"/>
    <m/>
    <n v="6.1305098955017144E-2"/>
    <n v="1E-8"/>
    <n v="57.152679784051514"/>
    <n v="34.291607603718404"/>
    <n v="0.59822650472772443"/>
    <m/>
    <m/>
    <m/>
    <m/>
    <m/>
    <m/>
    <m/>
    <m/>
    <m/>
    <m/>
    <m/>
    <s v="-"/>
    <m/>
    <m/>
    <m/>
    <m/>
    <m/>
    <m/>
    <m/>
    <m/>
    <m/>
    <m/>
    <m/>
    <n v="632.90155145603546"/>
    <n v="0.25886593505782574"/>
    <n v="0.25745462956961629"/>
    <n v="359.64274472485266"/>
    <n v="333.78829909217325"/>
    <x v="1"/>
    <n v="0"/>
    <n v="0"/>
    <n v="0"/>
    <n v="1"/>
    <n v="0.1"/>
    <x v="0"/>
    <n v="5.6488205035092276E-2"/>
    <n v="1E-8"/>
    <n v="333.78829909217325"/>
    <n v="5.6488205035092276E-2"/>
    <n v="34.990173054572431"/>
    <n v="142.81117249751887"/>
    <n v="68525.932789685685"/>
    <n v="53.017412205229263"/>
    <n v="132756.36255405628"/>
    <x v="0"/>
    <n v="4.9180024451692122E-6"/>
    <n v="1885259.3278968567"/>
    <n v="7.0418090810963188E-2"/>
  </r>
  <r>
    <x v="0"/>
    <n v="600"/>
    <n v="25"/>
    <x v="0"/>
    <n v="13.619470929680668"/>
    <n v="4.4600601456796012"/>
    <n v="16.445055399467456"/>
    <n v="0"/>
    <m/>
    <n v="6.2478910164050432E-2"/>
    <n v="1E-8"/>
    <n v="77.238279138303852"/>
    <n v="46.342967122537004"/>
    <n v="0.75368969158650057"/>
    <m/>
    <m/>
    <m/>
    <m/>
    <m/>
    <m/>
    <m/>
    <m/>
    <m/>
    <m/>
    <m/>
    <s v="-"/>
    <m/>
    <m/>
    <m/>
    <m/>
    <m/>
    <m/>
    <m/>
    <m/>
    <m/>
    <m/>
    <m/>
    <n v="692.2486422959073"/>
    <n v="0.27120979755556385"/>
    <n v="0.26859704593759409"/>
    <n v="349.29404051284683"/>
    <n v="315.40379650265697"/>
    <x v="1"/>
    <n v="0"/>
    <n v="0"/>
    <n v="0"/>
    <n v="1"/>
    <n v="0.1"/>
    <x v="0"/>
    <n v="5.7986840893912824E-2"/>
    <n v="1E-8"/>
    <n v="315.40379650265697"/>
    <n v="5.7986840893912824E-2"/>
    <n v="47.438863350355341"/>
    <n v="170.28425851140321"/>
    <n v="88203.958218779517"/>
    <n v="67.937500267391357"/>
    <n v="212538.89318115363"/>
    <x v="0"/>
    <n v="5.6922744451740094E-6"/>
    <n v="2082039.5821877951"/>
    <n v="0.10208206174342709"/>
  </r>
  <r>
    <x v="0"/>
    <n v="800"/>
    <n v="25"/>
    <x v="0"/>
    <n v="16.099502894258489"/>
    <n v="5.494666217579625"/>
    <n v="19.521343702352311"/>
    <n v="0"/>
    <m/>
    <n v="6.342708476518473E-2"/>
    <n v="1E-8"/>
    <n v="93.617557590682736"/>
    <n v="56.170534117527701"/>
    <n v="0.86948612105881207"/>
    <m/>
    <m/>
    <m/>
    <m/>
    <m/>
    <m/>
    <m/>
    <m/>
    <m/>
    <m/>
    <m/>
    <s v="-"/>
    <m/>
    <m/>
    <m/>
    <m/>
    <m/>
    <m/>
    <m/>
    <m/>
    <m/>
    <m/>
    <m/>
    <n v="736.30985780210847"/>
    <n v="0.2814696724446033"/>
    <n v="0.27580911997177315"/>
    <n v="341.62809809948942"/>
    <n v="301.56679727270216"/>
    <x v="1"/>
    <n v="0"/>
    <n v="0"/>
    <n v="0"/>
    <n v="1"/>
    <n v="0.1"/>
    <x v="0"/>
    <n v="5.9194784306959604E-2"/>
    <n v="1E-8"/>
    <n v="301.56679727270216"/>
    <n v="5.9194784306959604E-2"/>
    <n v="57.688693137227645"/>
    <n v="189.95027865294253"/>
    <n v="103601.49081960252"/>
    <n v="79.852801068660426"/>
    <n v="286294.73271919216"/>
    <x v="0"/>
    <n v="6.1298726003612275E-6"/>
    <n v="2236014.9081960251"/>
    <n v="0.1280379355565967"/>
  </r>
  <r>
    <x v="0"/>
    <n v="1000"/>
    <n v="25"/>
    <x v="0"/>
    <n v="18.01154797098939"/>
    <n v="6.3541391891624954"/>
    <n v="21.922280264155518"/>
    <n v="0"/>
    <m/>
    <n v="6.4127084802896223E-2"/>
    <n v="1E-8"/>
    <n v="106.9161696298201"/>
    <n v="64.149701278949934"/>
    <n v="0.95828051606293529"/>
    <m/>
    <m/>
    <m/>
    <m/>
    <m/>
    <m/>
    <m/>
    <m/>
    <m/>
    <m/>
    <m/>
    <s v="-"/>
    <m/>
    <m/>
    <m/>
    <m/>
    <m/>
    <m/>
    <m/>
    <m/>
    <m/>
    <m/>
    <m/>
    <n v="770.23021452952037"/>
    <n v="0.28984846068006725"/>
    <n v="0.28103132701288636"/>
    <n v="335.90910962690117"/>
    <n v="291.08995649805263"/>
    <x v="1"/>
    <n v="0"/>
    <n v="0"/>
    <n v="0"/>
    <n v="1"/>
    <n v="0.1"/>
    <x v="0"/>
    <n v="6.0106575159982752E-2"/>
    <n v="1E-8"/>
    <n v="291.08995649805263"/>
    <n v="6.0106575159982752E-2"/>
    <n v="66.044625588833696"/>
    <n v="204.15357038887839"/>
    <n v="115518.92981417898"/>
    <n v="89.311509045073791"/>
    <n v="350968.94988324778"/>
    <x v="0"/>
    <n v="6.3952397551285954E-6"/>
    <n v="2355189.2981417896"/>
    <n v="0.14901942283796774"/>
  </r>
  <r>
    <x v="0"/>
    <n v="1300"/>
    <n v="25"/>
    <x v="0"/>
    <n v="20.109537909424226"/>
    <n v="7.3660661321344207"/>
    <n v="24.588990166335655"/>
    <n v="0"/>
    <m/>
    <n v="6.502487456700444E-2"/>
    <n v="1E-8"/>
    <n v="122.24989108806167"/>
    <n v="73.349934082337512"/>
    <n v="1.0523524283267665"/>
    <m/>
    <m/>
    <m/>
    <m/>
    <m/>
    <m/>
    <m/>
    <m/>
    <m/>
    <m/>
    <m/>
    <s v="-"/>
    <m/>
    <m/>
    <m/>
    <m/>
    <m/>
    <m/>
    <m/>
    <m/>
    <m/>
    <m/>
    <m/>
    <n v="805.93358510486337"/>
    <n v="0.29956765537363017"/>
    <n v="0.28644890240330534"/>
    <n v="329.79712004233471"/>
    <n v="279.75737094148053"/>
    <x v="1"/>
    <n v="0"/>
    <n v="0"/>
    <n v="0"/>
    <n v="1"/>
    <n v="0.1"/>
    <x v="0"/>
    <n v="6.123146820204918E-2"/>
    <n v="1E-8"/>
    <n v="279.75737094148053"/>
    <n v="6.123146820204918E-2"/>
    <n v="75.717202993628945"/>
    <n v="218.50285581130586"/>
    <n v="128547.86495978698"/>
    <n v="100.06482052638191"/>
    <n v="430240.93453403399"/>
    <x v="0"/>
    <n v="6.6280773346621751E-6"/>
    <n v="2485478.6495978697"/>
    <n v="0.17310184281954846"/>
  </r>
  <r>
    <x v="0"/>
    <n v="1600"/>
    <n v="25"/>
    <x v="0"/>
    <n v="21.559657512006684"/>
    <n v="8.1101728432007771"/>
    <n v="26.452510027063283"/>
    <n v="0"/>
    <m/>
    <n v="6.5671246156757554E-2"/>
    <n v="1E-8"/>
    <n v="133.38465174278042"/>
    <n v="80.03079042320654"/>
    <n v="1.1162176860403461"/>
    <m/>
    <m/>
    <m/>
    <m/>
    <m/>
    <m/>
    <m/>
    <m/>
    <m/>
    <m/>
    <m/>
    <s v="-"/>
    <m/>
    <m/>
    <m/>
    <m/>
    <m/>
    <m/>
    <m/>
    <m/>
    <m/>
    <m/>
    <m/>
    <n v="830.16439053970316"/>
    <n v="0.30659369696498917"/>
    <n v="0.29018467094416411"/>
    <n v="325.70366504247534"/>
    <n v="272.05554751953014"/>
    <x v="1"/>
    <n v="0"/>
    <n v="0"/>
    <n v="0"/>
    <n v="1"/>
    <n v="0.1"/>
    <x v="0"/>
    <n v="6.2039370395823391E-2"/>
    <n v="1E-8"/>
    <n v="272.05554751953014"/>
    <n v="6.2039370395823391E-2"/>
    <n v="82.728831237139957"/>
    <n v="227.41445173862834"/>
    <n v="137376.40839638223"/>
    <n v="107.69198564385599"/>
    <n v="490174.74252628972"/>
    <x v="0"/>
    <n v="6.7619240157165018E-6"/>
    <n v="2573764.0839638226"/>
    <n v="0.19045053335711234"/>
  </r>
  <r>
    <x v="0"/>
    <n v="1900"/>
    <n v="25"/>
    <x v="0"/>
    <n v="22.569203989891054"/>
    <n v="8.6488423294506731"/>
    <n v="27.758383019633264"/>
    <n v="0"/>
    <m/>
    <n v="6.6010857728384498E-2"/>
    <n v="1E-8"/>
    <n v="141.4886401877603"/>
    <n v="84.893183452375851"/>
    <n v="1.1629810305182939"/>
    <m/>
    <m/>
    <m/>
    <m/>
    <m/>
    <m/>
    <m/>
    <m/>
    <m/>
    <m/>
    <m/>
    <s v="-"/>
    <m/>
    <m/>
    <m/>
    <m/>
    <m/>
    <m/>
    <m/>
    <m/>
    <m/>
    <m/>
    <m/>
    <n v="848.30745421915219"/>
    <n v="0.31157586965110401"/>
    <n v="0.29302014413475624"/>
    <n v="322.97729544658279"/>
    <n v="266.81693896000547"/>
    <x v="1"/>
    <n v="0"/>
    <n v="0"/>
    <n v="0"/>
    <n v="1"/>
    <n v="0.1"/>
    <x v="0"/>
    <n v="6.250893947717609E-2"/>
    <n v="1E-8"/>
    <n v="266.81693896000547"/>
    <n v="6.250893947717609E-2"/>
    <n v="87.760375775410466"/>
    <n v="232.9160174313146"/>
    <n v="143265.61269243018"/>
    <n v="112.98712857543437"/>
    <n v="534118.98564218683"/>
    <x v="0"/>
    <n v="6.8481634059480154E-6"/>
    <n v="2632656.1269243015"/>
    <n v="0.20288216914458601"/>
  </r>
  <r>
    <x v="0"/>
    <n v="1000"/>
    <n v="25"/>
    <x v="1"/>
    <n v="12.408560068052344"/>
    <n v="10.918390717310974"/>
    <n v="18.739253234741472"/>
    <n v="0"/>
    <m/>
    <n v="9.8102559749153218E-2"/>
    <n v="1E-8"/>
    <n v="113.28064073859684"/>
    <n v="67.968383914515115"/>
    <n v="1.0400735028200483"/>
    <m/>
    <m/>
    <m/>
    <m/>
    <m/>
    <m/>
    <m/>
    <m/>
    <m/>
    <m/>
    <m/>
    <s v="-"/>
    <m/>
    <m/>
    <m/>
    <m/>
    <m/>
    <m/>
    <m/>
    <m/>
    <m/>
    <m/>
    <m/>
    <n v="645.85701971563583"/>
    <n v="0.58264812266205568"/>
    <n v="0.28655426786147148"/>
    <n v="156.6973468562995"/>
    <n v="125.82026830561185"/>
    <x v="1"/>
    <n v="0"/>
    <n v="0"/>
    <n v="0"/>
    <n v="1"/>
    <n v="0.1"/>
    <x v="0"/>
    <n v="9.1656510417205475E-2"/>
    <n v="1E-8"/>
    <n v="125.82026830561185"/>
    <n v="9.1656510417205475E-2"/>
    <n v="94.230828664922242"/>
    <n v="224.50402277261995"/>
    <n v="147711.51783328087"/>
    <n v="124.09510044083686"/>
    <n v="259190.46272923361"/>
    <x v="1"/>
    <n v="3.9847157690077377E-6"/>
    <n v="2677115.1783328084"/>
    <n v="9.6817075644330786E-2"/>
  </r>
  <r>
    <x v="0"/>
    <n v="1000"/>
    <n v="25"/>
    <x v="2"/>
    <n v="15.804169298663515"/>
    <n v="8.1337195197934236"/>
    <n v="20.657889073822119"/>
    <n v="0"/>
    <m/>
    <n v="7.8285409471974904E-2"/>
    <n v="1E-8"/>
    <n v="109.40890103112173"/>
    <n v="65.645340108098168"/>
    <n v="1.0177985765409785"/>
    <m/>
    <m/>
    <m/>
    <m/>
    <m/>
    <m/>
    <m/>
    <m/>
    <m/>
    <m/>
    <m/>
    <s v="-"/>
    <m/>
    <m/>
    <m/>
    <m/>
    <m/>
    <m/>
    <m/>
    <m/>
    <m/>
    <m/>
    <m/>
    <n v="713.8721198729703"/>
    <n v="0.3937343012505839"/>
    <n v="0.28373350379256329"/>
    <n v="244.29924881124404"/>
    <n v="204.9728316024806"/>
    <x v="1"/>
    <n v="0"/>
    <n v="0"/>
    <n v="0"/>
    <n v="1"/>
    <n v="0.1"/>
    <x v="0"/>
    <n v="7.3108016912081464E-2"/>
    <n v="1E-8"/>
    <n v="204.9728316024806"/>
    <n v="7.3108016912081464E-2"/>
    <n v="77.054818839263632"/>
    <n v="211.89500708752314"/>
    <n v="127878.17607081079"/>
    <n v="102.84899901723351"/>
    <n v="319001.59677651169"/>
    <x v="1"/>
    <n v="5.3956090542012394E-6"/>
    <n v="2478781.7607081076"/>
    <n v="0.12869289335313783"/>
  </r>
  <r>
    <x v="0"/>
    <n v="1000"/>
    <n v="25"/>
    <x v="0"/>
    <n v="18.016131445804877"/>
    <n v="6.3569192897548978"/>
    <n v="21.928530632337122"/>
    <n v="0"/>
    <m/>
    <n v="6.4208440222586025E-2"/>
    <n v="1E-8"/>
    <n v="106.92913587110556"/>
    <n v="64.157481023660694"/>
    <n v="0.9569459394283073"/>
    <m/>
    <m/>
    <m/>
    <m/>
    <m/>
    <m/>
    <m/>
    <m/>
    <m/>
    <m/>
    <m/>
    <s v="-"/>
    <m/>
    <m/>
    <m/>
    <m/>
    <m/>
    <m/>
    <m/>
    <m/>
    <m/>
    <m/>
    <m/>
    <n v="769.51309231432685"/>
    <n v="0.28989262419528489"/>
    <n v="0.28093493784202844"/>
    <n v="335.87080487676667"/>
    <n v="291.04012260017316"/>
    <x v="1"/>
    <n v="0"/>
    <n v="0"/>
    <n v="0"/>
    <n v="1"/>
    <n v="0.1"/>
    <x v="0"/>
    <n v="6.0179183188169956E-2"/>
    <n v="1E-8"/>
    <n v="291.04012260017316"/>
    <n v="6.0179183188169956E-2"/>
    <n v="66.069856560053893"/>
    <n v="204.19312220061479"/>
    <n v="115583.07262029609"/>
    <n v="89.382694461302819"/>
    <n v="351201.18345424964"/>
    <x v="1"/>
    <n v="6.3947643603704359E-6"/>
    <n v="2355830.7262029611"/>
    <n v="0.14907742714617805"/>
  </r>
  <r>
    <x v="0"/>
    <n v="1000"/>
    <n v="25"/>
    <x v="3"/>
    <n v="19.529564660557206"/>
    <n v="5.1667219599203023"/>
    <n v="22.812169209431136"/>
    <n v="0"/>
    <m/>
    <n v="5.3568903335833487E-2"/>
    <n v="1E-8"/>
    <n v="105.32147251980842"/>
    <n v="63.192883020384855"/>
    <n v="0.88904576123012036"/>
    <m/>
    <m/>
    <m/>
    <m/>
    <m/>
    <m/>
    <m/>
    <m/>
    <m/>
    <m/>
    <m/>
    <s v="-"/>
    <m/>
    <m/>
    <m/>
    <m/>
    <m/>
    <m/>
    <m/>
    <m/>
    <m/>
    <m/>
    <m/>
    <n v="825.82757864311156"/>
    <n v="0.22648972627224975"/>
    <n v="0.27860074563827619"/>
    <n v="429.9012476947438"/>
    <n v="381.30469802805135"/>
    <x v="1"/>
    <n v="0"/>
    <n v="0"/>
    <n v="0"/>
    <n v="1"/>
    <n v="0.1"/>
    <x v="0"/>
    <n v="5.0501792873964627E-2"/>
    <n v="1E-8"/>
    <n v="381.30469802805135"/>
    <n v="5.0501792873964627E-2"/>
    <n v="58.718961922672896"/>
    <n v="199.34403311059521"/>
    <n v="107548.97043737507"/>
    <n v="80.353394454915929"/>
    <n v="369735.52588928223"/>
    <x v="1"/>
    <n v="7.1177214528599544E-6"/>
    <n v="2275489.7043737508"/>
    <n v="0.1624861343818029"/>
  </r>
  <r>
    <x v="0"/>
    <n v="1000"/>
    <n v="25"/>
    <x v="4"/>
    <n v="20.619217362978564"/>
    <n v="4.3302070724613868"/>
    <n v="23.459762224067742"/>
    <n v="0"/>
    <m/>
    <n v="4.5402267603128023E-2"/>
    <n v="1E-8"/>
    <n v="104.24470886146813"/>
    <n v="62.546824830405569"/>
    <n v="0.82289696583362093"/>
    <m/>
    <m/>
    <m/>
    <m/>
    <m/>
    <m/>
    <m/>
    <m/>
    <m/>
    <m/>
    <m/>
    <s v="-"/>
    <m/>
    <m/>
    <m/>
    <m/>
    <m/>
    <m/>
    <m/>
    <m/>
    <m/>
    <m/>
    <m/>
    <n v="885.6070595781448"/>
    <n v="0.18458017737362056"/>
    <n v="0.27664376162357229"/>
    <n v="525.46653775249399"/>
    <n v="474.15857666133394"/>
    <x v="1"/>
    <n v="0"/>
    <n v="0"/>
    <n v="0"/>
    <n v="1"/>
    <n v="0.1"/>
    <x v="0"/>
    <n v="4.308941012924488E-2"/>
    <n v="1E-8"/>
    <n v="474.15857666133394"/>
    <n v="4.308941012924488E-2"/>
    <n v="53.56842307251901"/>
    <n v="196.15656936021315"/>
    <n v="102043.10902652233"/>
    <n v="74.019960583181074"/>
    <n v="381403.32425189944"/>
    <x v="1"/>
    <n v="7.6564681253122932E-6"/>
    <n v="2220431.0902652233"/>
    <n v="0.17176994409961269"/>
  </r>
  <r>
    <x v="0"/>
    <n v="1000"/>
    <n v="25"/>
    <x v="5"/>
    <n v="21.438724766602917"/>
    <n v="3.7167336732729845"/>
    <n v="23.955516006683709"/>
    <n v="0"/>
    <m/>
    <n v="3.9071174145980381E-2"/>
    <n v="1E-8"/>
    <n v="103.49615776011126"/>
    <n v="62.097694173084697"/>
    <n v="0.76127822765570752"/>
    <m/>
    <m/>
    <m/>
    <m/>
    <m/>
    <m/>
    <m/>
    <m/>
    <m/>
    <m/>
    <m/>
    <s v="-"/>
    <m/>
    <m/>
    <m/>
    <m/>
    <m/>
    <m/>
    <m/>
    <m/>
    <m/>
    <m/>
    <m/>
    <n v="949.32162855930494"/>
    <n v="0.15515147627110171"/>
    <n v="0.27496015573242372"/>
    <n v="622.0297038692911"/>
    <n v="568.68251473145119"/>
    <x v="1"/>
    <n v="0"/>
    <n v="0"/>
    <n v="0"/>
    <n v="1"/>
    <n v="0.1"/>
    <x v="0"/>
    <n v="3.7328515668690478E-2"/>
    <n v="1E-8"/>
    <n v="568.68251473145119"/>
    <n v="3.7328515668690478E-2"/>
    <n v="49.807010041200321"/>
    <n v="193.96827754396452"/>
    <n v="98106.437152891624"/>
    <n v="69.401483833755961"/>
    <n v="389389.00389626529"/>
    <x v="1"/>
    <n v="8.0697512047273953E-6"/>
    <n v="2181064.3715289161"/>
    <n v="0.17853164215566247"/>
  </r>
  <r>
    <x v="0"/>
    <n v="1000"/>
    <n v="25"/>
    <x v="6"/>
    <n v="22.073973128319981"/>
    <n v="3.24980785851869"/>
    <n v="24.344583264153293"/>
    <n v="0"/>
    <m/>
    <n v="3.4068552344145249E-2"/>
    <n v="1E-8"/>
    <n v="102.95221404326048"/>
    <n v="61.771327945512617"/>
    <n v="0.70582807256577973"/>
    <m/>
    <m/>
    <m/>
    <m/>
    <m/>
    <m/>
    <m/>
    <m/>
    <m/>
    <m/>
    <m/>
    <s v="-"/>
    <m/>
    <m/>
    <m/>
    <m/>
    <m/>
    <m/>
    <m/>
    <m/>
    <m/>
    <m/>
    <m/>
    <n v="1017.2888996116292"/>
    <n v="0.13349203078386393"/>
    <n v="0.27354074751442159"/>
    <n v="719.30279737516548"/>
    <n v="664.37486332873937"/>
    <x v="1"/>
    <n v="0"/>
    <n v="0"/>
    <n v="0"/>
    <n v="1"/>
    <n v="0.1"/>
    <x v="0"/>
    <n v="3.2751672279616395E-2"/>
    <n v="1E-8"/>
    <n v="664.37486332873937"/>
    <n v="3.2751672279616395E-2"/>
    <n v="46.953347178151603"/>
    <n v="192.39201020722413"/>
    <n v="95162.433027889449"/>
    <n v="65.890472422361924"/>
    <n v="395098.76741237717"/>
    <x v="1"/>
    <n v="8.3951997385862326E-6"/>
    <n v="2151624.3302788944"/>
    <n v="0.18362813705548883"/>
  </r>
  <r>
    <x v="0"/>
    <n v="1000"/>
    <n v="25"/>
    <x v="7"/>
    <n v="22.578974539421385"/>
    <n v="2.8837483060569862"/>
    <n v="24.656718894750785"/>
    <n v="0"/>
    <m/>
    <n v="3.0053523654219809E-2"/>
    <n v="1E-8"/>
    <n v="102.54254654169773"/>
    <n v="61.525527446486748"/>
    <n v="0.6566003950112308"/>
    <m/>
    <m/>
    <m/>
    <m/>
    <m/>
    <m/>
    <m/>
    <m/>
    <m/>
    <m/>
    <m/>
    <s v="-"/>
    <m/>
    <m/>
    <m/>
    <m/>
    <m/>
    <m/>
    <m/>
    <m/>
    <m/>
    <m/>
    <m/>
    <n v="1089.2099113941622"/>
    <n v="0.11695588202008957"/>
    <n v="0.27234509521103284"/>
    <n v="817.09424940469171"/>
    <n v="760.90971388854689"/>
    <x v="1"/>
    <n v="0"/>
    <n v="0"/>
    <n v="0"/>
    <n v="1"/>
    <n v="0.1"/>
    <x v="0"/>
    <n v="2.905258558479647E-2"/>
    <n v="1E-8"/>
    <n v="760.90971388854689"/>
    <n v="2.905258558479647E-2"/>
    <n v="44.721881046947722"/>
    <n v="191.21244655536893"/>
    <n v="92883.796969712057"/>
    <n v="63.135634364994537"/>
    <n v="399332.28390110575"/>
    <x v="1"/>
    <n v="8.6572434715306481E-6"/>
    <n v="2128837.9696971206"/>
    <n v="0.18758228178254477"/>
  </r>
  <r>
    <x v="0"/>
    <n v="1000"/>
    <n v="25"/>
    <x v="8"/>
    <n v="22.990944769692941"/>
    <n v="2.5900476678437805"/>
    <n v="24.914081288585262"/>
    <n v="0"/>
    <m/>
    <n v="2.6809633553698059E-2"/>
    <n v="1E-8"/>
    <n v="102.22735035971576"/>
    <n v="61.336409738768488"/>
    <n v="0.61257737367974452"/>
    <m/>
    <m/>
    <m/>
    <m/>
    <m/>
    <m/>
    <m/>
    <m/>
    <m/>
    <m/>
    <m/>
    <s v="-"/>
    <m/>
    <m/>
    <m/>
    <m/>
    <m/>
    <m/>
    <m/>
    <m/>
    <m/>
    <m/>
    <m/>
    <n v="1164.3339328429513"/>
    <n v="0.10395918829366778"/>
    <n v="0.27129566754048234"/>
    <n v="915.25502423933006"/>
    <n v="858.04524600307911"/>
    <x v="1"/>
    <n v="0"/>
    <n v="0"/>
    <n v="0"/>
    <n v="1"/>
    <n v="0.1"/>
    <x v="0"/>
    <n v="2.6042321355802887E-2"/>
    <n v="1E-8"/>
    <n v="858.04524600307911"/>
    <n v="2.6042321355802887E-2"/>
    <n v="42.937630678946839"/>
    <n v="190.30928344902637"/>
    <n v="91085.059809759405"/>
    <n v="60.935790539144683"/>
    <n v="402651.70790801715"/>
    <x v="1"/>
    <n v="8.8722179107819625E-6"/>
    <n v="2110850.598097594"/>
    <n v="0.19075329550604261"/>
  </r>
  <r>
    <x v="0"/>
    <n v="1000"/>
    <n v="25"/>
    <x v="9"/>
    <n v="23.331343924406855"/>
    <n v="2.3493139873840576"/>
    <n v="25.127801945870456"/>
    <n v="0"/>
    <m/>
    <n v="2.4132682559945898E-2"/>
    <n v="1E-8"/>
    <n v="101.97641565227022"/>
    <n v="61.185848915472185"/>
    <n v="0.573742297261298"/>
    <m/>
    <m/>
    <m/>
    <m/>
    <m/>
    <m/>
    <m/>
    <m/>
    <m/>
    <m/>
    <m/>
    <s v="-"/>
    <m/>
    <m/>
    <m/>
    <m/>
    <m/>
    <m/>
    <m/>
    <m/>
    <m/>
    <m/>
    <m/>
    <n v="1242.5307559274358"/>
    <n v="9.3494607783238592E-2"/>
    <n v="0.27040275672843328"/>
    <n v="1013.7163237287606"/>
    <n v="955.65960729678682"/>
    <x v="1"/>
    <n v="0"/>
    <n v="0"/>
    <n v="0"/>
    <n v="1"/>
    <n v="0.1"/>
    <x v="0"/>
    <n v="2.353937262299572E-2"/>
    <n v="1E-8"/>
    <n v="955.65960729678682"/>
    <n v="2.353937262299572E-2"/>
    <n v="41.47745690160923"/>
    <n v="189.59295855863567"/>
    <n v="89620.458784083195"/>
    <n v="59.127452549992547"/>
    <n v="405248.98379967693"/>
    <x v="1"/>
    <n v="9.0515119985976073E-6"/>
    <n v="2096204.5878408318"/>
    <n v="0.19332511060721339"/>
  </r>
  <r>
    <x v="0"/>
    <n v="1000"/>
    <n v="25"/>
    <x v="0"/>
    <n v="18.013662855761815"/>
    <n v="6.3554204987724052"/>
    <n v="21.925163478285768"/>
    <n v="0"/>
    <m/>
    <n v="6.4164551424429103E-2"/>
    <n v="1E-8"/>
    <n v="106.92216781698576"/>
    <n v="64.153300191221348"/>
    <n v="0.95766580922495503"/>
    <m/>
    <m/>
    <m/>
    <m/>
    <m/>
    <m/>
    <m/>
    <m/>
    <m/>
    <m/>
    <m/>
    <s v="-"/>
    <m/>
    <m/>
    <m/>
    <m/>
    <m/>
    <m/>
    <m/>
    <m/>
    <m/>
    <m/>
    <m/>
    <n v="769.89991747288639"/>
    <n v="0.28986878501803115"/>
    <n v="0.28098697587210808"/>
    <n v="335.89146685588452"/>
    <n v="291.06701286040891"/>
    <x v="1"/>
    <n v="0"/>
    <n v="0"/>
    <n v="0"/>
    <n v="1"/>
    <n v="0.1"/>
    <x v="0"/>
    <n v="6.0140016181592509E-2"/>
    <n v="1E-8"/>
    <n v="291.06701286040891"/>
    <n v="6.0140016181592509E-2"/>
    <n v="66.05625688691903"/>
    <n v="204.171866160506"/>
    <n v="115548.49428321826"/>
    <n v="89.34428309459453"/>
    <n v="351076.03720005392"/>
    <x v="2"/>
    <n v="6.3950213216783035E-6"/>
    <n v="2355484.9428321826"/>
    <n v="0.14904618187791424"/>
  </r>
  <r>
    <x v="0"/>
    <n v="1000"/>
    <n v="25"/>
    <x v="0"/>
    <n v="17.382019473331031"/>
    <n v="6.0431457970672033"/>
    <n v="21.096360258438374"/>
    <n v="0"/>
    <m/>
    <n v="6.3802820040050903E-2"/>
    <n v="1E-8"/>
    <n v="102.9462401160001"/>
    <n v="61.767743589184263"/>
    <n v="0.92631444932386042"/>
    <m/>
    <m/>
    <m/>
    <m/>
    <m/>
    <m/>
    <m/>
    <m/>
    <m/>
    <m/>
    <m/>
    <s v="-"/>
    <m/>
    <m/>
    <m/>
    <m/>
    <m/>
    <m/>
    <m/>
    <m/>
    <m/>
    <m/>
    <m/>
    <n v="758.3831846148455"/>
    <n v="0.28645442735317311"/>
    <n v="0.28253629383110079"/>
    <n v="338.47863140824683"/>
    <n v="295.22595995291528"/>
    <x v="1"/>
    <n v="0"/>
    <n v="0"/>
    <n v="0"/>
    <n v="1"/>
    <n v="0.1"/>
    <x v="1"/>
    <n v="5.98918724295599E-2"/>
    <n v="1E-8"/>
    <n v="295.22595995291528"/>
    <n v="5.98918724295599E-2"/>
    <n v="63.064433299314139"/>
    <n v="192.37476273958049"/>
    <n v="107836.71609919981"/>
    <n v="84.732391889915959"/>
    <n v="399380.52023669414"/>
    <x v="2"/>
    <n v="6.2216811829448769E-6"/>
    <n v="2278367.1609919984"/>
    <n v="0.17529243182332577"/>
  </r>
  <r>
    <x v="0"/>
    <n v="1000"/>
    <n v="25"/>
    <x v="0"/>
    <n v="15.100674451620902"/>
    <n v="4.9965462570146002"/>
    <n v="18.160334183640451"/>
    <n v="0"/>
    <m/>
    <n v="6.2641442666374184E-2"/>
    <n v="1E-8"/>
    <n v="88.766009561860031"/>
    <n v="53.259605322874641"/>
    <n v="0.81309026867696965"/>
    <m/>
    <m/>
    <m/>
    <m/>
    <m/>
    <m/>
    <m/>
    <m/>
    <m/>
    <m/>
    <m/>
    <s v="-"/>
    <m/>
    <m/>
    <m/>
    <m/>
    <m/>
    <m/>
    <m/>
    <m/>
    <m/>
    <m/>
    <m/>
    <n v="716.39379957886035"/>
    <n v="0.27513514930334748"/>
    <n v="0.28721950607129731"/>
    <n v="347.42462077811518"/>
    <n v="309.8486652403754"/>
    <x v="1"/>
    <n v="0"/>
    <n v="0"/>
    <n v="0"/>
    <n v="1"/>
    <n v="0.1"/>
    <x v="2"/>
    <n v="5.9095517309396058E-2"/>
    <n v="1E-8"/>
    <n v="309.8486652403754"/>
    <n v="5.9095517309396058E-2"/>
    <n v="52.874825594971973"/>
    <n v="154.88167828572202"/>
    <n v="83609.812563873289"/>
    <n v="69.672963119177439"/>
    <n v="520261.34030319814"/>
    <x v="2"/>
    <n v="5.6121269813951828E-6"/>
    <n v="2036098.1256387329"/>
    <n v="0.25551879536257116"/>
  </r>
  <r>
    <x v="0"/>
    <n v="1000"/>
    <n v="25"/>
    <x v="0"/>
    <n v="13.016108433253416"/>
    <n v="4.1324117072165603"/>
    <n v="15.540959106047705"/>
    <n v="0"/>
    <m/>
    <n v="6.1579483679854066E-2"/>
    <n v="1E-8"/>
    <n v="76.044922207848487"/>
    <n v="45.626952969832786"/>
    <n v="0.71158744266512053"/>
    <m/>
    <m/>
    <m/>
    <m/>
    <m/>
    <m/>
    <m/>
    <m/>
    <m/>
    <m/>
    <m/>
    <s v="-"/>
    <m/>
    <m/>
    <m/>
    <m/>
    <m/>
    <m/>
    <m/>
    <m/>
    <m/>
    <m/>
    <m/>
    <n v="678.62947832773375"/>
    <n v="0.26590454804095381"/>
    <n v="0.29069703241603839"/>
    <n v="355.22448810339046"/>
    <n v="322.8357569951736"/>
    <x v="1"/>
    <n v="0"/>
    <n v="0"/>
    <n v="0"/>
    <n v="1"/>
    <n v="0.1"/>
    <x v="3"/>
    <n v="5.8343569461211858E-2"/>
    <n v="1E-8"/>
    <n v="322.8357569951736"/>
    <n v="5.8343569461211858E-2"/>
    <n v="44.261998236509349"/>
    <n v="125.93268374459915"/>
    <n v="65347.444526526786"/>
    <n v="57.525243929804127"/>
    <n v="585688.63260776794"/>
    <x v="2"/>
    <n v="5.0242456385825485E-6"/>
    <n v="1853474.445265268"/>
    <n v="0.31599498666081938"/>
  </r>
  <r>
    <x v="0"/>
    <n v="1000"/>
    <n v="25"/>
    <x v="0"/>
    <n v="11.879420001577733"/>
    <n v="3.6924535981156521"/>
    <n v="14.133437535561148"/>
    <n v="0"/>
    <m/>
    <n v="6.1082222305923382E-2"/>
    <n v="1E-8"/>
    <n v="69.173472961601462"/>
    <n v="41.504083454151342"/>
    <n v="0.65520943755883421"/>
    <m/>
    <m/>
    <m/>
    <m/>
    <m/>
    <m/>
    <m/>
    <m/>
    <m/>
    <m/>
    <m/>
    <s v="-"/>
    <m/>
    <m/>
    <m/>
    <m/>
    <m/>
    <m/>
    <m/>
    <m/>
    <m/>
    <m/>
    <m/>
    <n v="657.39692457586682"/>
    <n v="0.26125658310832506"/>
    <n v="0.2922557495693508"/>
    <n v="359.35265595601635"/>
    <n v="329.79220579644976"/>
    <x v="1"/>
    <n v="0"/>
    <n v="0"/>
    <n v="0"/>
    <n v="1"/>
    <n v="0.1"/>
    <x v="4"/>
    <n v="5.8006921444092349E-2"/>
    <n v="1E-8"/>
    <n v="329.79220579644976"/>
    <n v="5.8006921444092349E-2"/>
    <n v="39.801307363555978"/>
    <n v="111.6969477691087"/>
    <n v="56620.073046283527"/>
    <n v="51.41934620112692"/>
    <n v="610431.47165968339"/>
    <x v="2"/>
    <n v="4.6785638649156729E-6"/>
    <n v="1766200.7304628352"/>
    <n v="0.34561840063315963"/>
  </r>
  <r>
    <x v="0"/>
    <n v="1000"/>
    <n v="25"/>
    <x v="0"/>
    <n v="10.475847944338831"/>
    <n v="3.17559845260873"/>
    <n v="12.412725522151305"/>
    <n v="0"/>
    <m/>
    <n v="6.0445144174541734E-2"/>
    <n v="1E-8"/>
    <n v="60.764494148192213"/>
    <n v="36.458696205347692"/>
    <n v="0.58567423515091166"/>
    <m/>
    <m/>
    <m/>
    <m/>
    <m/>
    <m/>
    <m/>
    <m/>
    <m/>
    <m/>
    <m/>
    <s v="-"/>
    <m/>
    <m/>
    <m/>
    <m/>
    <m/>
    <m/>
    <m/>
    <m/>
    <m/>
    <m/>
    <m/>
    <n v="631.13838968970015"/>
    <n v="0.25583409920260225"/>
    <n v="0.29400875714736274"/>
    <n v="364.36892544976769"/>
    <n v="338.3012721142444"/>
    <x v="1"/>
    <n v="0"/>
    <n v="0"/>
    <n v="0"/>
    <n v="1"/>
    <n v="0.1"/>
    <x v="5"/>
    <n v="5.7574334493326072E-2"/>
    <n v="1E-8"/>
    <n v="338.3012721142444"/>
    <n v="5.7574334493326072E-2"/>
    <n v="34.492431561501924"/>
    <n v="95.362448828511631"/>
    <n v="46856.415995761345"/>
    <n v="44.268891774731571"/>
    <n v="631772.90153308958"/>
    <x v="2"/>
    <n v="4.2258820851638058E-6"/>
    <n v="1668564.1599576133"/>
    <n v="0.37863266915018634"/>
  </r>
  <r>
    <x v="0"/>
    <n v="1000"/>
    <n v="25"/>
    <x v="0"/>
    <n v="8.6738426683698684"/>
    <n v="2.5503747174982117"/>
    <n v="10.228220867471814"/>
    <n v="0"/>
    <m/>
    <n v="5.9650535698153727E-2"/>
    <n v="1E-8"/>
    <n v="50.072251927103437"/>
    <n v="30.043350922591546"/>
    <n v="0.49501122996135483"/>
    <m/>
    <m/>
    <m/>
    <m/>
    <m/>
    <m/>
    <m/>
    <m/>
    <m/>
    <m/>
    <m/>
    <s v="-"/>
    <m/>
    <m/>
    <m/>
    <m/>
    <m/>
    <m/>
    <m/>
    <m/>
    <m/>
    <m/>
    <m/>
    <n v="596.61518994034941"/>
    <n v="0.24934685616821325"/>
    <n v="0.29596676296475399"/>
    <n v="370.69318668933505"/>
    <n v="349.10957495967216"/>
    <x v="1"/>
    <n v="0"/>
    <n v="0"/>
    <n v="0"/>
    <n v="1"/>
    <n v="0.1"/>
    <x v="6"/>
    <n v="5.7057752408641797E-2"/>
    <n v="1E-8"/>
    <n v="349.10957495967216"/>
    <n v="5.7057752408641797E-2"/>
    <n v="27.965380937119626"/>
    <n v="76.039283082617928"/>
    <n v="35762.604904598098"/>
    <n v="35.637053058518013"/>
    <n v="646259.89298525511"/>
    <x v="2"/>
    <n v="3.5988602579830886E-6"/>
    <n v="1557626.0490459809"/>
    <n v="0.41490054264377391"/>
  </r>
  <r>
    <x v="0"/>
    <n v="1000"/>
    <n v="25"/>
    <x v="0"/>
    <n v="7.5341737456866671"/>
    <n v="2.1749254044181949"/>
    <n v="8.85931745464889"/>
    <n v="0"/>
    <m/>
    <n v="5.9128402526045024E-2"/>
    <n v="1E-8"/>
    <n v="43.370755181658204"/>
    <n v="26.022452906598065"/>
    <n v="0.43676075079249443"/>
    <m/>
    <m/>
    <m/>
    <m/>
    <m/>
    <m/>
    <m/>
    <m/>
    <m/>
    <m/>
    <m/>
    <s v="-"/>
    <m/>
    <m/>
    <m/>
    <m/>
    <m/>
    <m/>
    <m/>
    <m/>
    <m/>
    <m/>
    <m/>
    <n v="574.27323540552106"/>
    <n v="0.24549582014096491"/>
    <n v="0.29709560235749105"/>
    <n v="374.64057466383866"/>
    <n v="355.89286000927393"/>
    <x v="1"/>
    <n v="0"/>
    <n v="0"/>
    <n v="0"/>
    <n v="1"/>
    <n v="0.1"/>
    <x v="7"/>
    <n v="5.6729473168950377E-2"/>
    <n v="1E-8"/>
    <n v="355.89286000927393"/>
    <n v="5.6729473168950377E-2"/>
    <n v="23.987686629616114"/>
    <n v="64.626017948418649"/>
    <n v="29492.643109190685"/>
    <n v="30.44638475283158"/>
    <n v="647515.35643864213"/>
    <x v="2"/>
    <n v="3.1755875911185509E-6"/>
    <n v="1494926.431091907"/>
    <n v="0.43314195466173638"/>
  </r>
  <r>
    <x v="0"/>
    <n v="1000"/>
    <n v="25"/>
    <x v="0"/>
    <n v="6.1295946204066425"/>
    <n v="1.7314866164596838"/>
    <n v="7.1842762315270479"/>
    <n v="0"/>
    <m/>
    <n v="5.8601040586002483E-2"/>
    <n v="1E-8"/>
    <n v="35.156823358476935"/>
    <n v="21.094093851020983"/>
    <n v="0.36242215309912051"/>
    <m/>
    <m/>
    <m/>
    <m/>
    <m/>
    <m/>
    <m/>
    <m/>
    <m/>
    <m/>
    <m/>
    <s v="-"/>
    <m/>
    <m/>
    <m/>
    <m/>
    <m/>
    <m/>
    <m/>
    <m/>
    <m/>
    <m/>
    <m/>
    <n v="545.40607842205634"/>
    <n v="0.24101058487441387"/>
    <n v="0.29824274015739466"/>
    <n v="379.44763176072013"/>
    <n v="364.19500187249611"/>
    <x v="1"/>
    <n v="0"/>
    <n v="0"/>
    <n v="0"/>
    <n v="1"/>
    <n v="0.1"/>
    <x v="8"/>
    <n v="5.6463258367533214E-2"/>
    <n v="1E-8"/>
    <n v="364.19500187249611"/>
    <n v="5.6463258367533214E-2"/>
    <n v="19.230339522508313"/>
    <n v="51.262913974827896"/>
    <n v="22487.278740250302"/>
    <n v="24.312407181397617"/>
    <n v="640534.78108321375"/>
    <x v="2"/>
    <n v="2.6230158919720244E-6"/>
    <n v="1424872.787402503"/>
    <n v="0.44953822316368885"/>
  </r>
  <r>
    <x v="0"/>
    <n v="1000"/>
    <n v="25"/>
    <x v="0"/>
    <n v="4.2139874146919052"/>
    <n v="1.1575415587031135"/>
    <n v="4.9189542779047013"/>
    <n v="0"/>
    <m/>
    <n v="5.7805002026332951E-2"/>
    <n v="1E-8"/>
    <n v="24.062265345936858"/>
    <n v="14.437359095271541"/>
    <n v="0.25775517919650531"/>
    <m/>
    <m/>
    <m/>
    <m/>
    <m/>
    <m/>
    <m/>
    <m/>
    <m/>
    <m/>
    <m/>
    <s v="-"/>
    <m/>
    <m/>
    <m/>
    <m/>
    <m/>
    <m/>
    <m/>
    <m/>
    <m/>
    <m/>
    <m/>
    <n v="504.33142012043453"/>
    <n v="0.23532269122781618"/>
    <n v="0.29970915815256105"/>
    <n v="385.93974424849955"/>
    <n v="375.45383052218187"/>
    <x v="1"/>
    <n v="0"/>
    <n v="0"/>
    <n v="0"/>
    <n v="1"/>
    <n v="0.1"/>
    <x v="9"/>
    <n v="5.6105190440545696E-2"/>
    <n v="1E-8"/>
    <n v="375.45383052218187"/>
    <n v="5.6105190440545696E-2"/>
    <n v="12.973916411116964"/>
    <n v="34.154795101039589"/>
    <n v="14114.145846251417"/>
    <n v="16.323638443455945"/>
    <n v="606127.77873629506"/>
    <x v="2"/>
    <n v="1.8187900622668819E-6"/>
    <n v="1341141.4584625142"/>
    <n v="0.45194917725618633"/>
  </r>
  <r>
    <x v="0"/>
    <n v="1000"/>
    <n v="25"/>
    <x v="0"/>
    <n v="18.012261227748265"/>
    <n v="6.3545710339815562"/>
    <n v="21.923252489101657"/>
    <n v="0"/>
    <m/>
    <n v="6.41396494509439E-2"/>
    <n v="1E-8"/>
    <n v="106.91819481265961"/>
    <n v="64.150916388644177"/>
    <n v="0.95807461375259884"/>
    <m/>
    <m/>
    <m/>
    <m/>
    <m/>
    <m/>
    <m/>
    <m/>
    <m/>
    <m/>
    <m/>
    <s v="-"/>
    <m/>
    <m/>
    <m/>
    <m/>
    <m/>
    <m/>
    <m/>
    <m/>
    <m/>
    <m/>
    <m/>
    <n v="770.1195339473926"/>
    <n v="0.28985530487050215"/>
    <n v="0.28101638979468524"/>
    <n v="335.90316479082128"/>
    <n v="291.08222707109303"/>
    <x v="1"/>
    <n v="0"/>
    <n v="0"/>
    <n v="0"/>
    <n v="1"/>
    <n v="0.1"/>
    <x v="0"/>
    <n v="6.0117786141734922E-2"/>
    <n v="1E-8"/>
    <n v="291.08222707109303"/>
    <n v="6.0117786141734922E-2"/>
    <n v="66.048546453919002"/>
    <n v="204.15974746084166"/>
    <n v="115528.89488836823"/>
    <n v="89.322550284204098"/>
    <n v="351005.05331895442"/>
    <x v="3"/>
    <n v="6.3951662513407621E-6"/>
    <n v="2355288.9488836825"/>
    <n v="0.14902844658839737"/>
  </r>
  <r>
    <x v="1"/>
    <n v="1000"/>
    <n v="25"/>
    <x v="0"/>
    <n v="17.869990952927896"/>
    <n v="6.4721104213897407"/>
    <n v="21.843350364873586"/>
    <n v="0"/>
    <m/>
    <n v="6.5171281484256674E-2"/>
    <n v="1E-8"/>
    <n v="107.08643738870722"/>
    <n v="64.251861933487632"/>
    <n v="0.96244854882654041"/>
    <m/>
    <m/>
    <m/>
    <m/>
    <m/>
    <m/>
    <m/>
    <m/>
    <m/>
    <m/>
    <m/>
    <s v="-"/>
    <m/>
    <m/>
    <m/>
    <m/>
    <m/>
    <m/>
    <m/>
    <m/>
    <m/>
    <m/>
    <m/>
    <n v="765.2534217201943"/>
    <n v="0.29629659888611126"/>
    <n v="0.24991616334530933"/>
    <n v="328.49605758297065"/>
    <n v="284.02914730692419"/>
    <x v="1"/>
    <n v="0"/>
    <n v="0"/>
    <n v="0"/>
    <n v="1"/>
    <n v="0.1"/>
    <x v="0"/>
    <n v="6.1058302135386058E-2"/>
    <n v="1E-8"/>
    <n v="284.02914730692419"/>
    <n v="6.1058302135386058E-2"/>
    <n v="66.78067030182261"/>
    <n v="204.67353289266271"/>
    <n v="116363.08330204041"/>
    <n v="90.248147607664819"/>
    <n v="349232.54228535673"/>
    <x v="3"/>
    <n v="6.3270576939881263E-6"/>
    <n v="2363630.833020404"/>
    <n v="0.14775257515112217"/>
  </r>
  <r>
    <x v="2"/>
    <n v="1000"/>
    <n v="25"/>
    <x v="0"/>
    <n v="17.67402853856666"/>
    <n v="6.6184663509747619"/>
    <n v="21.724591454239174"/>
    <n v="0"/>
    <m/>
    <n v="6.630606446720351E-2"/>
    <n v="1E-8"/>
    <n v="107.27484925228087"/>
    <n v="64.364909050752559"/>
    <n v="0.9710319532017353"/>
    <m/>
    <m/>
    <m/>
    <m/>
    <m/>
    <m/>
    <m/>
    <m/>
    <m/>
    <m/>
    <m/>
    <s v="-"/>
    <m/>
    <m/>
    <m/>
    <m/>
    <m/>
    <m/>
    <m/>
    <m/>
    <m/>
    <m/>
    <m/>
    <n v="760.83086576007224"/>
    <n v="0.30465320210582297"/>
    <n v="0.21899330240091258"/>
    <n v="319.29420514326648"/>
    <n v="275.31488915920482"/>
    <x v="1"/>
    <n v="0"/>
    <n v="0"/>
    <n v="0"/>
    <n v="1"/>
    <n v="0.1"/>
    <x v="0"/>
    <n v="6.2098021096567396E-2"/>
    <n v="1E-8"/>
    <n v="275.31488915920482"/>
    <n v="6.2098021096567396E-2"/>
    <n v="67.673321321076827"/>
    <n v="205.25038002340773"/>
    <n v="117296.5377858701"/>
    <n v="91.281516050645394"/>
    <n v="346334.71707265405"/>
    <x v="3"/>
    <n v="6.2400415765960169E-6"/>
    <n v="2372965.3778587012"/>
    <n v="0.1459501770671332"/>
  </r>
  <r>
    <x v="3"/>
    <n v="1000"/>
    <n v="25"/>
    <x v="0"/>
    <n v="17.417917621729188"/>
    <n v="6.8235398269551775"/>
    <n v="21.577103862656635"/>
    <n v="0"/>
    <m/>
    <n v="6.7998920718300201E-2"/>
    <n v="1E-8"/>
    <n v="107.55999645197912"/>
    <n v="64.535997369240818"/>
    <n v="0.97931559567624937"/>
    <m/>
    <m/>
    <m/>
    <m/>
    <m/>
    <m/>
    <m/>
    <m/>
    <m/>
    <m/>
    <m/>
    <s v="-"/>
    <m/>
    <m/>
    <m/>
    <m/>
    <m/>
    <m/>
    <m/>
    <m/>
    <m/>
    <m/>
    <m/>
    <n v="753.63482167227107"/>
    <n v="0.31623983785723148"/>
    <n v="0.18793419246001158"/>
    <n v="307.31905996597533"/>
    <n v="263.97702383414656"/>
    <x v="1"/>
    <n v="0"/>
    <n v="0"/>
    <n v="0"/>
    <n v="1"/>
    <n v="0.1"/>
    <x v="0"/>
    <n v="6.3646638258208876E-2"/>
    <n v="1E-8"/>
    <n v="263.97702383414656"/>
    <n v="6.3646638258208876E-2"/>
    <n v="68.941972741623346"/>
    <n v="206.12636319711243"/>
    <n v="118708.51421097659"/>
    <n v="92.840167782831003"/>
    <n v="342824.95060859632"/>
    <x v="3"/>
    <n v="6.1217952454960098E-6"/>
    <n v="2387085.1421097657"/>
    <n v="0.14361655751650276"/>
  </r>
  <r>
    <x v="4"/>
    <n v="1000"/>
    <n v="25"/>
    <x v="0"/>
    <n v="17.069090749016372"/>
    <n v="7.1338434843185654"/>
    <n v="21.393590323771679"/>
    <n v="0"/>
    <m/>
    <n v="7.0768764179184804E-2"/>
    <n v="1E-8"/>
    <n v="108.03653954714389"/>
    <n v="64.821923224115821"/>
    <n v="0.98432568873823145"/>
    <m/>
    <m/>
    <m/>
    <m/>
    <m/>
    <m/>
    <m/>
    <m/>
    <m/>
    <m/>
    <m/>
    <s v="-"/>
    <m/>
    <m/>
    <m/>
    <m/>
    <m/>
    <m/>
    <m/>
    <m/>
    <m/>
    <m/>
    <m/>
    <n v="740.71419945419029"/>
    <n v="0.33345704841284779"/>
    <n v="0.15663361751464452"/>
    <n v="291.02536850098295"/>
    <n v="248.55135508507456"/>
    <x v="1"/>
    <n v="0"/>
    <n v="0"/>
    <n v="0"/>
    <n v="1"/>
    <n v="0.1"/>
    <x v="0"/>
    <n v="6.6173129722800345E-2"/>
    <n v="1E-8"/>
    <n v="248.55135508507456"/>
    <n v="6.6173129722800345E-2"/>
    <n v="70.898788285946239"/>
    <n v="207.5983754364247"/>
    <n v="121067.44559287927"/>
    <n v="95.432757601984846"/>
    <n v="338644.90792064654"/>
    <x v="3"/>
    <n v="5.9509974726892083E-6"/>
    <n v="2410674.4559287927"/>
    <n v="0.14047724573004292"/>
  </r>
  <r>
    <x v="5"/>
    <n v="1000"/>
    <n v="25"/>
    <x v="0"/>
    <n v="16.485148357652783"/>
    <n v="7.5602821419399389"/>
    <n v="21.034258651139652"/>
    <n v="0"/>
    <m/>
    <n v="7.374273657733714E-2"/>
    <n v="1E-8"/>
    <n v="108.57095075138722"/>
    <n v="65.142569944167903"/>
    <n v="1.0073118267495293"/>
    <m/>
    <m/>
    <m/>
    <m/>
    <m/>
    <m/>
    <m/>
    <m/>
    <m/>
    <m/>
    <m/>
    <s v="-"/>
    <m/>
    <m/>
    <m/>
    <m/>
    <m/>
    <m/>
    <m/>
    <m/>
    <m/>
    <m/>
    <m/>
    <n v="731.6838210101057"/>
    <n v="0.35942707881127617"/>
    <n v="0.1258877676860817"/>
    <n v="269.04884675721041"/>
    <n v="228.02790763534105"/>
    <x v="1"/>
    <n v="0"/>
    <n v="0"/>
    <n v="0"/>
    <n v="1"/>
    <n v="0.1"/>
    <x v="0"/>
    <n v="6.8926402673978635E-2"/>
    <n v="1E-8"/>
    <n v="228.02790763534105"/>
    <n v="6.8926402673978635E-2"/>
    <n v="73.482248555212664"/>
    <n v="209.26127890019902"/>
    <n v="123714.50749420328"/>
    <n v="98.32641010656171"/>
    <n v="329024.67233612004"/>
    <x v="3"/>
    <n v="5.7040496436028602E-6"/>
    <n v="2437145.0749420328"/>
    <n v="0.13500413894890761"/>
  </r>
  <r>
    <x v="6"/>
    <n v="1000"/>
    <n v="25"/>
    <x v="0"/>
    <n v="15.54878867702743"/>
    <n v="8.3565733135411886"/>
    <n v="20.521127328141894"/>
    <n v="0"/>
    <m/>
    <n v="8.0066009070889246E-2"/>
    <n v="1E-8"/>
    <n v="109.74471065550343"/>
    <n v="65.846825881160072"/>
    <n v="1.019627148638202"/>
    <m/>
    <m/>
    <m/>
    <m/>
    <m/>
    <m/>
    <m/>
    <m/>
    <m/>
    <m/>
    <m/>
    <s v="-"/>
    <m/>
    <m/>
    <m/>
    <m/>
    <m/>
    <m/>
    <m/>
    <m/>
    <m/>
    <m/>
    <m/>
    <n v="706.76459459773571"/>
    <n v="0.40721804313748894"/>
    <n v="9.46031507267482E-2"/>
    <n v="235.64195740225861"/>
    <n v="196.95102027863433"/>
    <x v="1"/>
    <n v="0"/>
    <n v="0"/>
    <n v="0"/>
    <n v="1"/>
    <n v="0.1"/>
    <x v="0"/>
    <n v="7.4747835356617137E-2"/>
    <n v="1E-8"/>
    <n v="196.95102027863433"/>
    <n v="7.4747835356617137E-2"/>
    <n v="78.450799505619941"/>
    <n v="212.95965053272309"/>
    <n v="129554.38130012435"/>
    <n v="104.6611472048244"/>
    <n v="315232.42873089382"/>
    <x v="3"/>
    <n v="5.2795113113646783E-6"/>
    <n v="2495543.8130012434"/>
    <n v="0.12631813037647388"/>
  </r>
  <r>
    <x v="7"/>
    <n v="1000"/>
    <n v="25"/>
    <x v="0"/>
    <n v="13.662256894988973"/>
    <n v="9.8310589551080607"/>
    <n v="19.413787548309564"/>
    <n v="0"/>
    <m/>
    <n v="9.0800999981533403E-2"/>
    <n v="1E-8"/>
    <n v="111.54517084560915"/>
    <n v="66.927101986821356"/>
    <n v="1.0374678964138138"/>
    <m/>
    <m/>
    <m/>
    <m/>
    <m/>
    <m/>
    <m/>
    <m/>
    <m/>
    <m/>
    <m/>
    <s v="-"/>
    <m/>
    <m/>
    <m/>
    <m/>
    <m/>
    <m/>
    <m/>
    <m/>
    <m/>
    <m/>
    <m/>
    <n v="669.57518148529459"/>
    <n v="0.50639572163053215"/>
    <n v="6.3497477416276635E-2"/>
    <n v="184.83780063541775"/>
    <n v="150.84123327838731"/>
    <x v="1"/>
    <n v="0"/>
    <n v="0"/>
    <n v="0"/>
    <n v="1"/>
    <n v="0.1"/>
    <x v="0"/>
    <n v="8.4774699202599335E-2"/>
    <n v="1E-8"/>
    <n v="150.84123327838731"/>
    <n v="8.4774699202599335E-2"/>
    <n v="87.466610351785675"/>
    <n v="218.76001118901459"/>
    <n v="139498.67480737279"/>
    <n v="115.64045911760972"/>
    <n v="288624.11753889534"/>
    <x v="3"/>
    <n v="4.4911897168425867E-6"/>
    <n v="2594986.7480737278"/>
    <n v="0.11122373466960574"/>
  </r>
  <r>
    <x v="8"/>
    <n v="1000"/>
    <n v="25"/>
    <x v="0"/>
    <n v="9.3222736732525124"/>
    <n v="5.3232588254288302"/>
    <n v="12.42171532350153"/>
    <n v="0"/>
    <m/>
    <n v="8.8008584434526679E-2"/>
    <n v="1E-8"/>
    <n v="69.682534721018314"/>
    <n v="41.809520507425823"/>
    <n v="0.71746915331156624"/>
    <m/>
    <m/>
    <m/>
    <m/>
    <m/>
    <m/>
    <m/>
    <m/>
    <m/>
    <m/>
    <m/>
    <s v="-"/>
    <m/>
    <m/>
    <m/>
    <m/>
    <m/>
    <m/>
    <m/>
    <m/>
    <m/>
    <m/>
    <m/>
    <n v="547.43017997385641"/>
    <n v="0.42854458396396966"/>
    <n v="4.9558329662753829E-2"/>
    <n v="211.89290000912234"/>
    <n v="188.69560331807324"/>
    <x v="1"/>
    <n v="0"/>
    <n v="0"/>
    <n v="0"/>
    <n v="1"/>
    <n v="0.1"/>
    <x v="0"/>
    <n v="8.2863484858483688E-2"/>
    <n v="1E-8"/>
    <n v="188.69560331807324"/>
    <n v="8.2863484858483688E-2"/>
    <n v="49.362708444060864"/>
    <n v="112.72245313024467"/>
    <n v="63717.015229787321"/>
    <n v="62.402441883596083"/>
    <n v="662725.0403069231"/>
    <x v="3"/>
    <n v="3.4053519421287185E-6"/>
    <n v="1837170.152297873"/>
    <n v="0.36073144312627115"/>
  </r>
  <r>
    <x v="9"/>
    <n v="1000"/>
    <n v="25"/>
    <x v="0"/>
    <n v="3.3440892940397595"/>
    <n v="1.1190703456033566"/>
    <n v="4.0124097922987056"/>
    <n v="0"/>
    <m/>
    <n v="6.77158231130396E-2"/>
    <n v="1E-8"/>
    <n v="20.463272920264071"/>
    <n v="12.277963656663168"/>
    <n v="0.24309728278307613"/>
    <m/>
    <m/>
    <m/>
    <m/>
    <m/>
    <m/>
    <m/>
    <m/>
    <m/>
    <m/>
    <m/>
    <s v="-"/>
    <m/>
    <m/>
    <m/>
    <m/>
    <m/>
    <m/>
    <m/>
    <m/>
    <m/>
    <m/>
    <m/>
    <n v="436.63592569291899"/>
    <n v="0.27890230647708653"/>
    <n v="4.3661411102470682E-2"/>
    <n v="323.40858415704008"/>
    <n v="315.08728430138092"/>
    <x v="1"/>
    <n v="0"/>
    <n v="0"/>
    <n v="0"/>
    <n v="1"/>
    <n v="0.1"/>
    <x v="0"/>
    <n v="6.5540879220981396E-2"/>
    <n v="1E-8"/>
    <n v="315.08728430138092"/>
    <n v="6.5540879220981396E-2"/>
    <n v="11.7991916936884"/>
    <n v="28.809359894586116"/>
    <n v="12051.085508307922"/>
    <n v="14.704770288321006"/>
    <n v="814531.79570033262"/>
    <x v="3"/>
    <n v="1.1882507007336356E-6"/>
    <n v="1320510.8550830793"/>
    <n v="0.61683082162099057"/>
  </r>
  <r>
    <x v="0"/>
    <n v="100"/>
    <n v="25"/>
    <x v="0"/>
    <n v="3.2970807889183709"/>
    <n v="0.86787645648839762"/>
    <n v="3.9541012648012632"/>
    <n v="0.89188607326356084"/>
    <m/>
    <n v="0.18589873382104005"/>
    <n v="0.08"/>
    <n v="17.941153428366594"/>
    <n v="10.021625212030386"/>
    <n v="0.46421940452193688"/>
    <m/>
    <m/>
    <m/>
    <m/>
    <m/>
    <m/>
    <m/>
    <m/>
    <m/>
    <m/>
    <m/>
    <n v="0.52049181889709317"/>
    <m/>
    <m/>
    <m/>
    <m/>
    <m/>
    <m/>
    <m/>
    <m/>
    <m/>
    <m/>
    <m/>
    <n v="607.95099172119558"/>
    <n v="0.21948766568375125"/>
    <n v="0.2066567526186836"/>
    <n v="384.04561792857533"/>
    <n v="375.84128946022724"/>
    <x v="2"/>
    <n v="4.8813386259591285"/>
    <n v="1.3321822791215501"/>
    <n v="0.1"/>
    <n v="1"/>
    <n v="0.2"/>
    <x v="0"/>
    <n v="0.11434954140636942"/>
    <n v="0.08"/>
    <n v="375.84128946022724"/>
    <n v="0.11434954140636942"/>
    <n v="9.9742875636827844"/>
    <n v="70.241290263155236"/>
    <n v="25984.932992927512"/>
    <n v="18.991608792322051"/>
    <n v="18877.619469293015"/>
    <x v="0"/>
    <n v="2.0237176609944445E-6"/>
    <n v="1459849.3299292752"/>
    <n v="1.2931210832701188E-2"/>
  </r>
  <r>
    <x v="0"/>
    <n v="200"/>
    <n v="25"/>
    <x v="0"/>
    <n v="6.0473435332636454"/>
    <n v="1.5890195824653868"/>
    <n v="7.1717502977055982"/>
    <n v="1.6483102029922081"/>
    <m/>
    <n v="0.18468857861823693"/>
    <n v="0.08"/>
    <n v="33.219396176322526"/>
    <n v="18.55579350448534"/>
    <n v="0.73451682299842691"/>
    <m/>
    <m/>
    <m/>
    <m/>
    <m/>
    <m/>
    <m/>
    <m/>
    <m/>
    <m/>
    <m/>
    <n v="0.44561807702521339"/>
    <m/>
    <m/>
    <m/>
    <m/>
    <m/>
    <m/>
    <m/>
    <m/>
    <m/>
    <m/>
    <m/>
    <n v="725.99321671088603"/>
    <n v="0.22156649583488"/>
    <n v="0.23066563232013126"/>
    <n v="373.78307521394959"/>
    <n v="358.73480521167232"/>
    <x v="2"/>
    <n v="4.8813386259591285"/>
    <n v="1.3321822791215501"/>
    <n v="0.1"/>
    <n v="1"/>
    <n v="0.2"/>
    <x v="0"/>
    <n v="0.11817637411157933"/>
    <n v="0.08"/>
    <n v="358.73480521167232"/>
    <n v="0.11817637411157933"/>
    <n v="18.162527984645699"/>
    <n v="102.16003230498031"/>
    <n v="42004.862889497323"/>
    <n v="29.798756978723368"/>
    <n v="52274.620854973487"/>
    <x v="0"/>
    <n v="3.4015457604255459E-6"/>
    <n v="1620048.6288949731"/>
    <n v="3.2267315883369341E-2"/>
  </r>
  <r>
    <x v="0"/>
    <n v="300"/>
    <n v="25"/>
    <x v="0"/>
    <n v="8.3909955453148903"/>
    <n v="2.2318897398826683"/>
    <n v="9.9160123509425357"/>
    <n v="2.3141491093889144"/>
    <m/>
    <n v="0.18461865153671325"/>
    <n v="0.08"/>
    <n v="46.703645053773151"/>
    <n v="26.087867128129417"/>
    <n v="0.93043627541151253"/>
    <m/>
    <m/>
    <m/>
    <m/>
    <m/>
    <m/>
    <m/>
    <m/>
    <m/>
    <m/>
    <m/>
    <n v="0.40206409847860153"/>
    <m/>
    <m/>
    <m/>
    <m/>
    <m/>
    <m/>
    <m/>
    <m/>
    <m/>
    <m/>
    <m/>
    <n v="809.93401026226502"/>
    <n v="0.22507936264021725"/>
    <n v="0.24389371876463661"/>
    <n v="365.5956882046134"/>
    <n v="344.71587255650832"/>
    <x v="2"/>
    <n v="4.8813386259591285"/>
    <n v="1.3321822791215501"/>
    <n v="0.1"/>
    <n v="1"/>
    <n v="0.2"/>
    <x v="0"/>
    <n v="0.12123344084478638"/>
    <n v="0.08"/>
    <n v="344.71587255650832"/>
    <n v="0.12123344084478638"/>
    <n v="25.316493869551284"/>
    <n v="125.08022866686812"/>
    <n v="55047.550647755459"/>
    <n v="38.548545607656798"/>
    <n v="90364.129697133743"/>
    <x v="0"/>
    <n v="4.3353356447017659E-6"/>
    <n v="1750475.5064775546"/>
    <n v="5.1622618747160648E-2"/>
  </r>
  <r>
    <x v="0"/>
    <n v="400"/>
    <n v="25"/>
    <x v="0"/>
    <n v="10.420861351700179"/>
    <n v="2.8169463932206043"/>
    <n v="12.302715951148635"/>
    <n v="2.9089131897624956"/>
    <m/>
    <n v="0.18482048669484716"/>
    <n v="0.08"/>
    <n v="58.773774880472551"/>
    <n v="32.830037739773495"/>
    <n v="1.0845299428604269"/>
    <m/>
    <m/>
    <m/>
    <m/>
    <m/>
    <m/>
    <m/>
    <m/>
    <m/>
    <m/>
    <m/>
    <n v="0.37282994441954304"/>
    <m/>
    <m/>
    <m/>
    <m/>
    <m/>
    <m/>
    <m/>
    <m/>
    <m/>
    <m/>
    <m/>
    <n v="875.08897627709314"/>
    <n v="0.22896947344034241"/>
    <n v="0.25265651497600716"/>
    <n v="358.75482825887246"/>
    <n v="332.82400484687946"/>
    <x v="2"/>
    <n v="4.8813386259591285"/>
    <n v="1.3321822791215501"/>
    <n v="0.1"/>
    <n v="1"/>
    <n v="0.2"/>
    <x v="0"/>
    <n v="0.12355473507542779"/>
    <n v="0.08"/>
    <n v="332.82400484687946"/>
    <n v="0.12355473507542779"/>
    <n v="31.700925261176163"/>
    <n v="143.27641681581377"/>
    <n v="66257.530850767216"/>
    <n v="46.076144319447657"/>
    <n v="130154.07939962692"/>
    <x v="0"/>
    <n v="4.9989612057628943E-6"/>
    <n v="1862575.308507672"/>
    <n v="6.9878559436025514E-2"/>
  </r>
  <r>
    <x v="0"/>
    <n v="600"/>
    <n v="25"/>
    <x v="0"/>
    <n v="13.75117835456884"/>
    <n v="3.8446336202955562"/>
    <n v="16.247099941648045"/>
    <n v="3.926061260516633"/>
    <m/>
    <n v="0.18546810798495669"/>
    <n v="0.08"/>
    <n v="79.46943339016245"/>
    <n v="44.390282956357773"/>
    <n v="1.3164505649990552"/>
    <m/>
    <m/>
    <m/>
    <m/>
    <m/>
    <m/>
    <m/>
    <m/>
    <m/>
    <m/>
    <m/>
    <n v="0.33531075488766637"/>
    <m/>
    <m/>
    <m/>
    <m/>
    <m/>
    <m/>
    <m/>
    <m/>
    <m/>
    <m/>
    <m/>
    <n v="971.94080011600784"/>
    <n v="0.23663506928028233"/>
    <n v="0.26410728248983451"/>
    <n v="347.93336168192133"/>
    <n v="313.71551761648067"/>
    <x v="2"/>
    <n v="4.8813386259591285"/>
    <n v="1.3321822791215501"/>
    <n v="0.1"/>
    <n v="1"/>
    <n v="0.2"/>
    <x v="0"/>
    <n v="0.12688289878616391"/>
    <n v="0.08"/>
    <n v="313.71551761648067"/>
    <n v="0.12688289878616391"/>
    <n v="42.636336498379926"/>
    <n v="170.91345687742648"/>
    <n v="84660.393524627943"/>
    <n v="58.528453895144644"/>
    <n v="209170.86658821104"/>
    <x v="0"/>
    <n v="5.8527164646004078E-6"/>
    <n v="2046603.9352462795"/>
    <n v="0.10220388175059397"/>
  </r>
  <r>
    <x v="0"/>
    <n v="800"/>
    <n v="25"/>
    <x v="0"/>
    <n v="16.325167955275102"/>
    <n v="4.7047850163530525"/>
    <n v="19.32497107645947"/>
    <n v="4.7530689893763336"/>
    <m/>
    <n v="0.18625439970801311"/>
    <n v="0.08"/>
    <n v="96.349235927467319"/>
    <n v="53.819055490819622"/>
    <n v="1.4825896968334717"/>
    <m/>
    <m/>
    <m/>
    <m/>
    <m/>
    <m/>
    <m/>
    <m/>
    <m/>
    <m/>
    <m/>
    <n v="0.31192261255774606"/>
    <m/>
    <m/>
    <m/>
    <m/>
    <m/>
    <m/>
    <m/>
    <m/>
    <m/>
    <m/>
    <m/>
    <n v="1040.5667294675661"/>
    <n v="0.24345625138265495"/>
    <n v="0.27160953455096754"/>
    <n v="339.89471694259805"/>
    <n v="299.27188105083025"/>
    <x v="2"/>
    <n v="4.8813386259591285"/>
    <n v="1.3321822791215501"/>
    <n v="0.1"/>
    <n v="1"/>
    <n v="0.2"/>
    <x v="0"/>
    <n v="0.12923949017580669"/>
    <n v="0.08"/>
    <n v="299.27188105083025"/>
    <n v="0.12923949017580669"/>
    <n v="51.537959479885728"/>
    <n v="190.66095807469111"/>
    <n v="98844.349855612862"/>
    <n v="68.303287128446385"/>
    <n v="282332.80477935984"/>
    <x v="0"/>
    <n v="6.3539776403543078E-6"/>
    <n v="2188443.4985561287"/>
    <n v="0.1290107809343192"/>
  </r>
  <r>
    <x v="0"/>
    <n v="1000"/>
    <n v="25"/>
    <x v="0"/>
    <n v="18.326700481769464"/>
    <n v="5.4189652590899478"/>
    <n v="21.738808620719677"/>
    <n v="5.4239488093024484"/>
    <m/>
    <n v="0.18716372660187319"/>
    <n v="0.08"/>
    <n v="110.08188609881644"/>
    <n v="61.489881880810273"/>
    <n v="1.6034067553052687"/>
    <m/>
    <m/>
    <m/>
    <m/>
    <m/>
    <m/>
    <m/>
    <m/>
    <m/>
    <m/>
    <m/>
    <n v="0.29561612981216101"/>
    <m/>
    <m/>
    <m/>
    <m/>
    <m/>
    <m/>
    <m/>
    <m/>
    <m/>
    <m/>
    <m/>
    <n v="1089.9099687602175"/>
    <n v="0.2492760920635286"/>
    <n v="0.27688025380695136"/>
    <n v="333.8100127048159"/>
    <n v="288.20659110758288"/>
    <x v="2"/>
    <n v="4.8813386259591285"/>
    <n v="1.3321822791215501"/>
    <n v="0.1"/>
    <n v="1"/>
    <n v="0.2"/>
    <x v="0"/>
    <n v="0.13107079975014613"/>
    <n v="0.08"/>
    <n v="288.20659110758288"/>
    <n v="0.13107079975014613"/>
    <n v="58.768718054768414"/>
    <n v="204.98503646602856"/>
    <n v="109788.62208646035"/>
    <n v="76.065167296066249"/>
    <n v="346920.29247184342"/>
    <x v="0"/>
    <n v="6.6681033012004899E-6"/>
    <n v="2297886.2208646033"/>
    <n v="0.15097365975818902"/>
  </r>
  <r>
    <x v="0"/>
    <n v="1300"/>
    <n v="25"/>
    <x v="0"/>
    <n v="20.515940919808514"/>
    <n v="6.2465330370540233"/>
    <n v="24.398979968799356"/>
    <n v="6.1933033012656766"/>
    <m/>
    <n v="0.18847012002052754"/>
    <n v="0.08"/>
    <n v="125.8832687166981"/>
    <n v="70.316267266820461"/>
    <n v="1.7296178480682558"/>
    <m/>
    <m/>
    <m/>
    <m/>
    <m/>
    <m/>
    <m/>
    <m/>
    <m/>
    <m/>
    <m/>
    <n v="0.27927226617737055"/>
    <m/>
    <m/>
    <m/>
    <m/>
    <m/>
    <m/>
    <m/>
    <m/>
    <m/>
    <m/>
    <m/>
    <n v="1141.1786883316497"/>
    <n v="0.2560161549803267"/>
    <n v="0.28266946321000236"/>
    <n v="327.42073838882732"/>
    <n v="276.36976429752207"/>
    <x v="2"/>
    <n v="4.8813386259591285"/>
    <n v="1.3321822791215501"/>
    <n v="0.1"/>
    <n v="1"/>
    <n v="0.2"/>
    <x v="0"/>
    <n v="0.13317368011403574"/>
    <n v="0.08"/>
    <n v="276.36976429752207"/>
    <n v="0.13317368011403574"/>
    <n v="66.989826256720505"/>
    <n v="219.34102802090507"/>
    <n v="121404.11158073017"/>
    <n v="84.567984164627347"/>
    <n v="425274.04625420889"/>
    <x v="0"/>
    <n v="6.9557676899353187E-6"/>
    <n v="2414041.1158073014"/>
    <n v="0.17616686123094019"/>
  </r>
  <r>
    <x v="0"/>
    <n v="1600"/>
    <n v="25"/>
    <x v="0"/>
    <n v="22.037521845501207"/>
    <n v="6.8535341339571278"/>
    <n v="26.261481976732114"/>
    <n v="6.7516694032310669"/>
    <m/>
    <n v="0.18972845145068509"/>
    <n v="0.08"/>
    <n v="137.39374721918912"/>
    <n v="76.745826103361779"/>
    <n v="1.8106673816967671"/>
    <m/>
    <m/>
    <m/>
    <m/>
    <m/>
    <m/>
    <m/>
    <m/>
    <m/>
    <m/>
    <m/>
    <n v="0.2681806933304906"/>
    <m/>
    <m/>
    <m/>
    <m/>
    <m/>
    <m/>
    <m/>
    <m/>
    <m/>
    <m/>
    <m/>
    <n v="1173.6048143701519"/>
    <n v="0.26097286284260024"/>
    <n v="0.2866049258033353"/>
    <n v="323.10836325045204"/>
    <n v="268.27112352176886"/>
    <x v="2"/>
    <n v="4.8813386259591285"/>
    <n v="1.3321822791215501"/>
    <n v="0.1"/>
    <n v="1"/>
    <n v="0.2"/>
    <x v="0"/>
    <n v="0.13478239790857988"/>
    <n v="0.08"/>
    <n v="268.27112352176886"/>
    <n v="0.13478239790857988"/>
    <n v="72.915225645165876"/>
    <n v="228.32765149571597"/>
    <n v="129201.31415753927"/>
    <n v="90.549574205222058"/>
    <n v="484617.44598547206"/>
    <x v="0"/>
    <n v="7.12753574747329E-6"/>
    <n v="2492013.1415753923"/>
    <n v="0.19446825456109282"/>
  </r>
  <r>
    <x v="0"/>
    <n v="1900"/>
    <n v="25"/>
    <x v="0"/>
    <n v="23.110164229397853"/>
    <n v="7.2962825017912012"/>
    <n v="27.580177005989963"/>
    <n v="7.1601256456988382"/>
    <m/>
    <n v="0.19080693357017142"/>
    <n v="0.08"/>
    <n v="145.84205457191192"/>
    <n v="81.464907867144248"/>
    <n v="1.8651010249766919"/>
    <m/>
    <m/>
    <m/>
    <m/>
    <m/>
    <m/>
    <m/>
    <m/>
    <m/>
    <m/>
    <m/>
    <n v="0.2604843989151332"/>
    <m/>
    <m/>
    <m/>
    <m/>
    <m/>
    <m/>
    <m/>
    <m/>
    <m/>
    <m/>
    <m/>
    <n v="1195.215209587373"/>
    <n v="0.26454806654092788"/>
    <n v="0.28949615370777559"/>
    <n v="320.17108367966159"/>
    <n v="262.66469709902748"/>
    <x v="2"/>
    <n v="4.8813386259591285"/>
    <n v="1.3321822791215501"/>
    <n v="0.1"/>
    <n v="1"/>
    <n v="0.2"/>
    <x v="0"/>
    <n v="0.13602887973780348"/>
    <n v="0.08"/>
    <n v="262.66469709902748"/>
    <n v="0.13602887973780348"/>
    <n v="77.188292559321425"/>
    <n v="234.01189446621717"/>
    <n v="134440.95998850628"/>
    <n v="94.736715812385455"/>
    <n v="528662.1492851082"/>
    <x v="0"/>
    <n v="7.2399353782000066E-6"/>
    <n v="2544409.5998850628"/>
    <n v="0.20777399570768368"/>
  </r>
  <r>
    <x v="0"/>
    <n v="1000"/>
    <n v="25"/>
    <x v="1"/>
    <n v="13.531926546293722"/>
    <n v="8.8552164399928692"/>
    <n v="18.755738991096472"/>
    <n v="5.6853810253465777"/>
    <m/>
    <n v="0.21965442906594754"/>
    <n v="0.08"/>
    <n v="115.99871504410521"/>
    <n v="64.794922572320345"/>
    <n v="1.330974445283081"/>
    <m/>
    <m/>
    <m/>
    <m/>
    <m/>
    <m/>
    <m/>
    <m/>
    <m/>
    <m/>
    <m/>
    <n v="0.23410470456585544"/>
    <m/>
    <m/>
    <m/>
    <m/>
    <m/>
    <m/>
    <m/>
    <m/>
    <m/>
    <m/>
    <m/>
    <n v="784.43597674450632"/>
    <n v="0.4721336996743517"/>
    <n v="0.28561028692607943"/>
    <n v="152.62101133704613"/>
    <n v="118.94875410296633"/>
    <x v="2"/>
    <n v="4.8813386259591285"/>
    <n v="1.3321822791215501"/>
    <n v="0.1"/>
    <n v="1"/>
    <n v="0.2"/>
    <x v="0"/>
    <n v="0.13984131179982873"/>
    <n v="0.08"/>
    <n v="118.94875410296633"/>
    <n v="0.13984131179982873"/>
    <n v="78.710917488554244"/>
    <n v="223.39618468817724"/>
    <n v="130334.32274721858"/>
    <n v="95.085505234348503"/>
    <n v="267999.9709487767"/>
    <x v="1"/>
    <n v="4.6376757887017256E-6"/>
    <n v="2503343.2274721861"/>
    <n v="0.10705682225581045"/>
  </r>
  <r>
    <x v="0"/>
    <n v="1000"/>
    <n v="25"/>
    <x v="2"/>
    <n v="16.446719672406758"/>
    <n v="6.7949486571778861"/>
    <n v="20.584956178282663"/>
    <n v="5.5279883372357963"/>
    <m/>
    <n v="0.19672351040120423"/>
    <n v="0.08"/>
    <n v="112.36623500129164"/>
    <n v="62.765880586552548"/>
    <n v="1.5276935347345733"/>
    <m/>
    <m/>
    <m/>
    <m/>
    <m/>
    <m/>
    <m/>
    <m/>
    <m/>
    <m/>
    <m/>
    <n v="0.27635614287465698"/>
    <m/>
    <m/>
    <m/>
    <m/>
    <m/>
    <m/>
    <m/>
    <m/>
    <m/>
    <m/>
    <m/>
    <n v="964.25887294279096"/>
    <n v="0.33009293769333481"/>
    <n v="0.28036132634258848"/>
    <n v="241.33741665813909"/>
    <n v="200.41210557550457"/>
    <x v="2"/>
    <n v="4.8813386259591285"/>
    <n v="1.3321822791215501"/>
    <n v="0.1"/>
    <n v="1"/>
    <n v="0.2"/>
    <x v="0"/>
    <n v="0.13279948082335677"/>
    <n v="0.08"/>
    <n v="200.41210557550457"/>
    <n v="0.13279948082335677"/>
    <n v="66.891643722756839"/>
    <n v="211.90653707588316"/>
    <n v="118274.80717408493"/>
    <n v="84.398333838902147"/>
    <n v="319172.59293801838"/>
    <x v="1"/>
    <n v="5.8319211720104534E-6"/>
    <n v="2382748.0717408489"/>
    <n v="0.13395146416164302"/>
  </r>
  <r>
    <x v="0"/>
    <n v="1000"/>
    <n v="25"/>
    <x v="0"/>
    <n v="18.327628325560557"/>
    <n v="5.4194674722222542"/>
    <n v="21.740039657052705"/>
    <n v="5.4240976361668656"/>
    <m/>
    <n v="0.18717052024701261"/>
    <n v="0.08"/>
    <n v="110.08488871202918"/>
    <n v="61.491559089825579"/>
    <n v="1.6032695771397449"/>
    <m/>
    <m/>
    <m/>
    <m/>
    <m/>
    <m/>
    <m/>
    <m/>
    <m/>
    <m/>
    <m/>
    <n v="0.2955827281665146"/>
    <m/>
    <m/>
    <m/>
    <m/>
    <m/>
    <m/>
    <m/>
    <m/>
    <m/>
    <m/>
    <m/>
    <n v="1089.8312834787275"/>
    <n v="0.24928507756719387"/>
    <n v="0.27686169546389577"/>
    <n v="333.80222462752863"/>
    <n v="288.19649490885558"/>
    <x v="2"/>
    <n v="4.8813386259591285"/>
    <n v="1.3321822791215501"/>
    <n v="0.1"/>
    <n v="1"/>
    <n v="0.2"/>
    <x v="0"/>
    <n v="0.13107254286146272"/>
    <n v="0.08"/>
    <n v="288.19649490885558"/>
    <n v="0.13107254286146272"/>
    <n v="58.773284516753286"/>
    <n v="204.99398886093255"/>
    <n v="109800.29617552481"/>
    <n v="76.077049291475959"/>
    <n v="346965.40345326287"/>
    <x v="1"/>
    <n v="6.6680258623245622E-6"/>
    <n v="2298002.9617552478"/>
    <n v="0.15098562065744497"/>
  </r>
  <r>
    <x v="0"/>
    <n v="1000"/>
    <n v="25"/>
    <x v="3"/>
    <n v="19.586618518437913"/>
    <n v="4.4662199595370202"/>
    <n v="22.49630565535853"/>
    <n v="5.3556739521779271"/>
    <m/>
    <n v="0.1808008103313736"/>
    <n v="0.08"/>
    <n v="108.60704426883127"/>
    <n v="60.666060150164604"/>
    <n v="1.6534116219974218"/>
    <m/>
    <m/>
    <m/>
    <m/>
    <m/>
    <m/>
    <m/>
    <m/>
    <m/>
    <m/>
    <m/>
    <n v="0.30872148617729966"/>
    <m/>
    <m/>
    <m/>
    <m/>
    <m/>
    <m/>
    <m/>
    <m/>
    <m/>
    <m/>
    <m/>
    <n v="1206.5663637912651"/>
    <n v="0.19853126233076338"/>
    <n v="0.27431891186529272"/>
    <n v="428.59909517264293"/>
    <n v="379.86055279255396"/>
    <x v="2"/>
    <n v="4.8813386259591285"/>
    <n v="1.3321822791215501"/>
    <n v="0.1"/>
    <n v="1"/>
    <n v="0.2"/>
    <x v="0"/>
    <n v="0.13048142454192715"/>
    <n v="0.08"/>
    <n v="379.86055279255396"/>
    <n v="0.13048142454192715"/>
    <n v="53.065802417062699"/>
    <n v="200.63239162301284"/>
    <n v="103937.24051326043"/>
    <n v="69.998471237829207"/>
    <n v="362737.90420077642"/>
    <x v="1"/>
    <n v="7.2621513008744417E-6"/>
    <n v="2239372.4051326043"/>
    <n v="0.16198194787494352"/>
  </r>
  <r>
    <x v="0"/>
    <n v="1000"/>
    <n v="25"/>
    <x v="4"/>
    <n v="20.49683801804111"/>
    <n v="3.7892191609908332"/>
    <n v="23.04988393891135"/>
    <n v="5.3090367870873356"/>
    <m/>
    <n v="0.17643274357031491"/>
    <n v="0.08"/>
    <n v="107.60715118946352"/>
    <n v="60.107536767956475"/>
    <n v="1.6807866424234481"/>
    <m/>
    <m/>
    <m/>
    <m/>
    <m/>
    <m/>
    <m/>
    <m/>
    <m/>
    <m/>
    <m/>
    <n v="0.31658975249737681"/>
    <m/>
    <m/>
    <m/>
    <m/>
    <m/>
    <m/>
    <m/>
    <m/>
    <m/>
    <m/>
    <m/>
    <n v="1314.0912350486756"/>
    <n v="0.1643921145561221"/>
    <n v="0.27220747782489546"/>
    <n v="524.70141459072545"/>
    <n v="473.69791383695264"/>
    <x v="2"/>
    <n v="4.8813386259591285"/>
    <n v="1.3321822791215501"/>
    <n v="0.1"/>
    <n v="1"/>
    <n v="0.2"/>
    <x v="0"/>
    <n v="0.13046357274213666"/>
    <n v="0.08"/>
    <n v="473.69791383695264"/>
    <n v="0.13046357274213666"/>
    <n v="49.011091644297878"/>
    <n v="197.7309702386361"/>
    <n v="99853.381374004079"/>
    <n v="65.643565911293564"/>
    <n v="373114.93327449681"/>
    <x v="1"/>
    <n v="7.7026024605573635E-6"/>
    <n v="2198533.8137400406"/>
    <n v="0.16971080041737976"/>
  </r>
  <r>
    <x v="0"/>
    <n v="1000"/>
    <n v="25"/>
    <x v="5"/>
    <n v="21.17512458294069"/>
    <n v="3.2848521581769061"/>
    <n v="23.46248428453486"/>
    <n v="5.2748712685551773"/>
    <m/>
    <n v="0.17314921097739358"/>
    <n v="0.08"/>
    <n v="106.87865196038523"/>
    <n v="59.700609405664771"/>
    <n v="1.6963325763118853"/>
    <m/>
    <m/>
    <m/>
    <m/>
    <m/>
    <m/>
    <m/>
    <m/>
    <m/>
    <m/>
    <m/>
    <n v="0.32158748336175458"/>
    <m/>
    <m/>
    <m/>
    <m/>
    <m/>
    <m/>
    <m/>
    <m/>
    <m/>
    <m/>
    <m/>
    <n v="1417.2179102625767"/>
    <n v="0.14000444788116895"/>
    <n v="0.27058462610849188"/>
    <n v="621.74306098806051"/>
    <n v="569.05162210663434"/>
    <x v="2"/>
    <n v="4.8813386259591285"/>
    <n v="1.3321822791215501"/>
    <n v="0.1"/>
    <n v="1"/>
    <n v="0.2"/>
    <x v="0"/>
    <n v="0.13070063207032259"/>
    <n v="0.08"/>
    <n v="569.05162210663434"/>
    <n v="0.13070063207032259"/>
    <n v="45.982499849998085"/>
    <n v="195.6415198217081"/>
    <n v="96810.16541250117"/>
    <n v="62.331929180578534"/>
    <n v="380054.03638732631"/>
    <x v="1"/>
    <n v="8.0403779764354773E-6"/>
    <n v="2168101.6541250115"/>
    <n v="0.17529345806468011"/>
  </r>
  <r>
    <x v="0"/>
    <n v="1000"/>
    <n v="25"/>
    <x v="6"/>
    <n v="21.70161924875455"/>
    <n v="2.897025643830677"/>
    <n v="23.784807785264878"/>
    <n v="5.249307927077675"/>
    <m/>
    <n v="0.17055486261326414"/>
    <n v="0.08"/>
    <n v="106.33508308197385"/>
    <n v="59.396981013091661"/>
    <n v="1.7044932724680555"/>
    <m/>
    <m/>
    <m/>
    <m/>
    <m/>
    <m/>
    <m/>
    <m/>
    <m/>
    <m/>
    <m/>
    <n v="0.32470818937401491"/>
    <m/>
    <m/>
    <m/>
    <m/>
    <m/>
    <m/>
    <m/>
    <m/>
    <m/>
    <m/>
    <m/>
    <n v="1517.6417566829189"/>
    <n v="0.12180151590821084"/>
    <n v="0.26923927763350874"/>
    <n v="719.39653292973469"/>
    <n v="665.39512044889102"/>
    <x v="2"/>
    <n v="4.8813386259591285"/>
    <n v="1.3321822791215501"/>
    <n v="0.1"/>
    <n v="1"/>
    <n v="0.2"/>
    <x v="0"/>
    <n v="0.1310598288516712"/>
    <n v="0.08"/>
    <n v="665.39512044889102"/>
    <n v="0.1310598288516712"/>
    <n v="43.654530744023205"/>
    <n v="194.09563129264475"/>
    <n v="94496.526722759081"/>
    <n v="59.774654545350522"/>
    <n v="385083.91103918641"/>
    <x v="1"/>
    <n v="8.3065197975110587E-6"/>
    <n v="2144965.267227591"/>
    <n v="0.17952920586770843"/>
  </r>
  <r>
    <x v="0"/>
    <n v="1000"/>
    <n v="25"/>
    <x v="7"/>
    <n v="22.122219745450455"/>
    <n v="2.5902670904471106"/>
    <n v="24.044020221390547"/>
    <n v="5.2296203624883217"/>
    <m/>
    <n v="0.16842806181318376"/>
    <n v="0.08"/>
    <n v="105.9171665948475"/>
    <n v="59.16353992355242"/>
    <n v="1.7080024885177334"/>
    <m/>
    <m/>
    <m/>
    <m/>
    <m/>
    <m/>
    <m/>
    <m/>
    <m/>
    <m/>
    <m/>
    <n v="0.3266016211748578"/>
    <m/>
    <m/>
    <m/>
    <m/>
    <m/>
    <m/>
    <m/>
    <m/>
    <m/>
    <m/>
    <m/>
    <n v="1616.4367457201834"/>
    <n v="0.10773019930097641"/>
    <n v="0.26809606821070209"/>
    <n v="817.48398291293051"/>
    <n v="762.43550146131599"/>
    <x v="2"/>
    <n v="4.8813386259591285"/>
    <n v="1.3321822791215501"/>
    <n v="0.1"/>
    <n v="1"/>
    <n v="0.2"/>
    <x v="0"/>
    <n v="0.13147541486268757"/>
    <n v="0.08"/>
    <n v="762.43550146131599"/>
    <n v="0.13147541486268757"/>
    <n v="41.815064901843805"/>
    <n v="192.9146187654564"/>
    <n v="92689.158025033175"/>
    <n v="57.752153521157503"/>
    <n v="388908.93655917776"/>
    <x v="1"/>
    <n v="8.5211719537343615E-6"/>
    <n v="2126891.5802503317"/>
    <n v="0.18285320237781177"/>
  </r>
  <r>
    <x v="0"/>
    <n v="1000"/>
    <n v="25"/>
    <x v="8"/>
    <n v="22.464249261598827"/>
    <n v="2.3416240880271708"/>
    <n v="24.255267885006344"/>
    <n v="5.2139232855204583"/>
    <m/>
    <n v="0.16664406076786895"/>
    <n v="0.08"/>
    <n v="105.58448744106398"/>
    <n v="58.977710968441741"/>
    <n v="1.7084616619657691"/>
    <m/>
    <m/>
    <m/>
    <m/>
    <m/>
    <m/>
    <m/>
    <m/>
    <m/>
    <m/>
    <m/>
    <n v="0.32767295727390605"/>
    <m/>
    <m/>
    <m/>
    <m/>
    <m/>
    <m/>
    <m/>
    <m/>
    <m/>
    <m/>
    <m/>
    <n v="1714.2407888994476"/>
    <n v="9.6540846266005217E-2"/>
    <n v="0.26714257994929891"/>
    <n v="915.90914010839333"/>
    <n v="860.00995791656351"/>
    <x v="2"/>
    <n v="4.8813386259591285"/>
    <n v="1.3321822791215501"/>
    <n v="0.1"/>
    <n v="1"/>
    <n v="0.2"/>
    <x v="0"/>
    <n v="0.13191846742900626"/>
    <n v="0.08"/>
    <n v="860.00995791656351"/>
    <n v="0.13191846742900626"/>
    <n v="40.323805311483568"/>
    <n v="191.97910466628915"/>
    <n v="91230.584301949406"/>
    <n v="56.103527091284732"/>
    <n v="391847.89370946295"/>
    <x v="1"/>
    <n v="8.697771164922994E-6"/>
    <n v="2112305.8430194939"/>
    <n v="0.18550717691019836"/>
  </r>
  <r>
    <x v="0"/>
    <n v="1000"/>
    <n v="25"/>
    <x v="9"/>
    <n v="22.749048095402308"/>
    <n v="2.1363748657921904"/>
    <n v="24.432171996708913"/>
    <n v="5.2012576207163717"/>
    <m/>
    <n v="0.16511569049072622"/>
    <n v="0.08"/>
    <n v="105.31625140111608"/>
    <n v="58.827878848034878"/>
    <n v="1.706875650871531"/>
    <m/>
    <m/>
    <m/>
    <m/>
    <m/>
    <m/>
    <m/>
    <m/>
    <m/>
    <m/>
    <m/>
    <n v="0.32816595049495784"/>
    <m/>
    <m/>
    <m/>
    <m/>
    <m/>
    <m/>
    <m/>
    <m/>
    <m/>
    <m/>
    <m/>
    <n v="1811.4065866275457"/>
    <n v="8.7441053790877313E-2"/>
    <n v="0.26630940016913968"/>
    <n v="1014.5766237280628"/>
    <n v="957.96876119178023"/>
    <x v="2"/>
    <n v="4.8813386259591285"/>
    <n v="1.3321822791215501"/>
    <n v="0.1"/>
    <n v="1"/>
    <n v="0.2"/>
    <x v="0"/>
    <n v="0.13236666066186589"/>
    <n v="0.08"/>
    <n v="957.96876119178023"/>
    <n v="0.13236666066186589"/>
    <n v="39.094433526817355"/>
    <n v="191.22776431601366"/>
    <n v="90040.270976740561"/>
    <n v="54.746823048190151"/>
    <n v="394227.86086094193"/>
    <x v="1"/>
    <n v="8.8454576157877783E-6"/>
    <n v="2100402.7097674059"/>
    <n v="0.18769155982692382"/>
  </r>
  <r>
    <x v="0"/>
    <n v="1000"/>
    <n v="25"/>
    <x v="0"/>
    <n v="18.326785668811173"/>
    <n v="5.4190098743637147"/>
    <n v="21.738920817240583"/>
    <n v="5.4239618200846129"/>
    <m/>
    <n v="0.18716401986248021"/>
    <n v="0.08"/>
    <n v="110.08214859462625"/>
    <n v="61.490028506535097"/>
    <n v="1.6033991295985333"/>
    <m/>
    <m/>
    <m/>
    <m/>
    <m/>
    <m/>
    <m/>
    <m/>
    <m/>
    <m/>
    <m/>
    <n v="0.29561401477076038"/>
    <m/>
    <m/>
    <m/>
    <m/>
    <m/>
    <m/>
    <m/>
    <m/>
    <m/>
    <m/>
    <m/>
    <n v="1089.9052729414839"/>
    <n v="0.2492768578496333"/>
    <n v="0.27687855069558259"/>
    <n v="333.80929789335403"/>
    <n v="288.20570814221657"/>
    <x v="2"/>
    <n v="4.8813386259591285"/>
    <n v="1.3321822791215501"/>
    <n v="0.1"/>
    <n v="1"/>
    <n v="0.2"/>
    <x v="0"/>
    <n v="0.13107081674446938"/>
    <n v="0.08"/>
    <n v="288.20570814221657"/>
    <n v="0.13107081674446938"/>
    <n v="58.769128940497986"/>
    <n v="204.98581909140393"/>
    <n v="109789.68304747868"/>
    <n v="76.066265407617379"/>
    <n v="346924.41190337448"/>
    <x v="2"/>
    <n v="6.6680965347924578E-6"/>
    <n v="2297896.8304747869"/>
    <n v="0.15097475539478142"/>
  </r>
  <r>
    <x v="0"/>
    <n v="1000"/>
    <n v="25"/>
    <x v="0"/>
    <n v="17.689477841689008"/>
    <n v="5.1685501821344317"/>
    <n v="20.938275369165407"/>
    <n v="5.2281394973796527"/>
    <m/>
    <n v="0.18904395420647746"/>
    <n v="0.08"/>
    <n v="106.1433067847916"/>
    <n v="59.289858013303217"/>
    <n v="1.5435399510712724"/>
    <m/>
    <m/>
    <m/>
    <m/>
    <m/>
    <m/>
    <m/>
    <m/>
    <m/>
    <m/>
    <m/>
    <n v="0.29523694841059533"/>
    <m/>
    <m/>
    <m/>
    <m/>
    <m/>
    <m/>
    <m/>
    <m/>
    <m/>
    <m/>
    <m/>
    <n v="1064.198043606094"/>
    <n v="0.24684698672679881"/>
    <n v="0.27833704631843126"/>
    <n v="336.44583760707377"/>
    <n v="292.4280680704577"/>
    <x v="2"/>
    <n v="4.8813386259591285"/>
    <n v="1.3321822791215501"/>
    <n v="0.1"/>
    <n v="1"/>
    <n v="0.2"/>
    <x v="1"/>
    <n v="0.13202852806287527"/>
    <n v="0.08"/>
    <n v="292.4280680704577"/>
    <n v="0.13202852806287527"/>
    <n v="56.264630137729178"/>
    <n v="193.55287363417273"/>
    <n v="102647.36048185434"/>
    <n v="72.256100929500434"/>
    <n v="394794.46188852296"/>
    <x v="2"/>
    <n v="6.4781572813847152E-6"/>
    <n v="2226473.6048185434"/>
    <n v="0.17731827632454619"/>
  </r>
  <r>
    <x v="0"/>
    <n v="1000"/>
    <n v="25"/>
    <x v="0"/>
    <n v="15.387063423256196"/>
    <n v="4.323137184436284"/>
    <n v="18.090402395863933"/>
    <n v="4.5294171590074246"/>
    <m/>
    <n v="0.19608267128138712"/>
    <n v="0.08"/>
    <n v="92.06070496383289"/>
    <n v="51.423554543830363"/>
    <n v="1.334588696202041"/>
    <m/>
    <m/>
    <m/>
    <m/>
    <m/>
    <m/>
    <m/>
    <m/>
    <m/>
    <m/>
    <m/>
    <n v="0.29464910149598639"/>
    <m/>
    <m/>
    <m/>
    <m/>
    <m/>
    <m/>
    <m/>
    <m/>
    <m/>
    <m/>
    <m/>
    <n v="974.63646837057411"/>
    <n v="0.23897407530441098"/>
    <n v="0.28300973579024097"/>
    <n v="345.63062157458546"/>
    <n v="307.34212026955396"/>
    <x v="2"/>
    <n v="4.8813386259591285"/>
    <n v="1.3321822791215501"/>
    <n v="0.1"/>
    <n v="1"/>
    <n v="0.2"/>
    <x v="2"/>
    <n v="0.13562822357691703"/>
    <n v="0.08"/>
    <n v="307.34212026955396"/>
    <n v="0.13562822357691703"/>
    <n v="47.66638071447543"/>
    <n v="157.01720521110065"/>
    <n v="80088.98573568069"/>
    <n v="59.690946944737419"/>
    <n v="515766.70275883324"/>
    <x v="2"/>
    <n v="5.8184502467854024E-6"/>
    <n v="2000889.8573568068"/>
    <n v="0.25776866270898369"/>
  </r>
  <r>
    <x v="0"/>
    <n v="1000"/>
    <n v="25"/>
    <x v="0"/>
    <n v="13.282127934808502"/>
    <n v="3.6189898733696944"/>
    <n v="15.536641318553425"/>
    <n v="3.8988108601714391"/>
    <m/>
    <n v="0.20312917418747559"/>
    <n v="0.08"/>
    <n v="79.316768962039632"/>
    <n v="44.305007185880449"/>
    <n v="1.1490849564214827"/>
    <m/>
    <m/>
    <m/>
    <m/>
    <m/>
    <m/>
    <m/>
    <m/>
    <m/>
    <m/>
    <m/>
    <n v="0.29472703283968871"/>
    <m/>
    <m/>
    <m/>
    <m/>
    <m/>
    <m/>
    <m/>
    <m/>
    <m/>
    <m/>
    <m/>
    <n v="895.13209418385736"/>
    <n v="0.23293257526953379"/>
    <n v="0.28650187259288473"/>
    <n v="353.64034512373945"/>
    <n v="320.58961597311605"/>
    <x v="2"/>
    <n v="4.8813386259591285"/>
    <n v="1.3321822791215501"/>
    <n v="0.1"/>
    <n v="1"/>
    <n v="0.2"/>
    <x v="3"/>
    <n v="0.13928814213857424"/>
    <n v="0.08"/>
    <n v="320.58961597311605"/>
    <n v="0.13928814213857424"/>
    <n v="40.322140229251417"/>
    <n v="128.48253423793"/>
    <n v="62981.037499401587"/>
    <n v="49.524844586100173"/>
    <n v="583438.33946100622"/>
    <x v="2"/>
    <n v="5.1910136289722141E-6"/>
    <n v="1829810.3749940158"/>
    <n v="0.31885180422748138"/>
  </r>
  <r>
    <x v="0"/>
    <n v="1000"/>
    <n v="25"/>
    <x v="0"/>
    <n v="12.128164712167893"/>
    <n v="3.2561376440262411"/>
    <n v="14.152914919495775"/>
    <n v="3.5553421789744131"/>
    <m/>
    <n v="0.20737510589682798"/>
    <n v="0.08"/>
    <n v="72.363379214025173"/>
    <n v="40.420961141349217"/>
    <n v="1.0482963988543466"/>
    <m/>
    <m/>
    <m/>
    <m/>
    <m/>
    <m/>
    <m/>
    <m/>
    <m/>
    <m/>
    <m/>
    <n v="0.29485105682759966"/>
    <m/>
    <m/>
    <m/>
    <m/>
    <m/>
    <m/>
    <m/>
    <m/>
    <m/>
    <m/>
    <m/>
    <n v="851.87487549316677"/>
    <n v="0.23006834016509775"/>
    <n v="0.28812010884601441"/>
    <n v="357.90587210054895"/>
    <n v="327.72667606599367"/>
    <x v="2"/>
    <n v="4.8813386259591285"/>
    <n v="1.3321822791215501"/>
    <n v="0.1"/>
    <n v="1"/>
    <n v="0.2"/>
    <x v="4"/>
    <n v="0.14154866144996978"/>
    <n v="0.08"/>
    <n v="327.72667606599367"/>
    <n v="0.14154866144996978"/>
    <n v="36.468677881721334"/>
    <n v="114.29976581371432"/>
    <n v="54731.830335171369"/>
    <n v="44.372788312190423"/>
    <n v="609556.60696010233"/>
    <x v="2"/>
    <n v="4.8251733388286807E-6"/>
    <n v="1747318.3033517138"/>
    <n v="0.34885264224088314"/>
  </r>
  <r>
    <x v="0"/>
    <n v="1000"/>
    <n v="25"/>
    <x v="0"/>
    <n v="10.695120166264722"/>
    <n v="2.8245530460546622"/>
    <n v="12.447822599857952"/>
    <n v="3.1316206326898142"/>
    <m/>
    <n v="0.21306950591051316"/>
    <n v="0.08"/>
    <n v="63.774402282589413"/>
    <n v="35.623303727331965"/>
    <n v="0.92472560629688694"/>
    <m/>
    <m/>
    <m/>
    <m/>
    <m/>
    <m/>
    <m/>
    <m/>
    <m/>
    <m/>
    <m/>
    <n v="0.29528659909952787"/>
    <m/>
    <m/>
    <m/>
    <m/>
    <m/>
    <m/>
    <m/>
    <m/>
    <m/>
    <m/>
    <m/>
    <n v="798.87186137606852"/>
    <n v="0.22691141550224972"/>
    <n v="0.29001790355034174"/>
    <n v="363.12255196890544"/>
    <n v="336.50905822762491"/>
    <x v="2"/>
    <n v="4.8813386259591285"/>
    <n v="1.3321822791215501"/>
    <n v="0.1"/>
    <n v="1"/>
    <n v="0.2"/>
    <x v="5"/>
    <n v="0.14470217680213718"/>
    <n v="0.08"/>
    <n v="336.50905822762491"/>
    <n v="0.14470217680213718"/>
    <n v="31.824558995627864"/>
    <n v="97.880552387948853"/>
    <n v="45429.983550812984"/>
    <n v="38.289811838410536"/>
    <n v="632127.62046396022"/>
    <x v="2"/>
    <n v="4.3486364544608694E-6"/>
    <n v="1654299.8355081298"/>
    <n v="0.38211188014160552"/>
  </r>
  <r>
    <x v="0"/>
    <n v="1000"/>
    <n v="25"/>
    <x v="0"/>
    <n v="8.8552028231835695"/>
    <n v="2.2977331610928644"/>
    <n v="10.277231054517179"/>
    <n v="2.5874740274424055"/>
    <m/>
    <n v="0.22073906779265529"/>
    <n v="0.08"/>
    <n v="52.728228466292364"/>
    <n v="29.45309764465922"/>
    <n v="0.76933537157884579"/>
    <m/>
    <m/>
    <m/>
    <m/>
    <m/>
    <m/>
    <m/>
    <m/>
    <m/>
    <m/>
    <m/>
    <n v="0.29733066435426098"/>
    <m/>
    <m/>
    <m/>
    <m/>
    <m/>
    <m/>
    <m/>
    <m/>
    <m/>
    <m/>
    <m/>
    <n v="732.28175158458953"/>
    <n v="0.22357511949514219"/>
    <n v="0.2917597133567153"/>
    <n v="369.64898710207842"/>
    <n v="347.6140657951666"/>
    <x v="2"/>
    <n v="4.8813386259591285"/>
    <n v="1.3321822791215501"/>
    <n v="0.1"/>
    <n v="1"/>
    <n v="0.2"/>
    <x v="6"/>
    <n v="0.14929423986710852"/>
    <n v="0.08"/>
    <n v="347.6140657951666"/>
    <n v="0.14929423986710852"/>
    <n v="26.063986086725563"/>
    <n v="78.25912317527235"/>
    <n v="34833.241987099296"/>
    <n v="31.005537139598342"/>
    <n v="649070.10621485882"/>
    <x v="2"/>
    <n v="3.6920058290445267E-6"/>
    <n v="1548332.4198709929"/>
    <n v="0.41920591333283547"/>
  </r>
  <r>
    <x v="0"/>
    <n v="1000"/>
    <n v="25"/>
    <x v="0"/>
    <n v="7.6820520703343664"/>
    <n v="1.9745637373210636"/>
    <n v="8.9019326454992775"/>
    <n v="2.2362219496138209"/>
    <m/>
    <n v="0.22422104711605095"/>
    <n v="0.08"/>
    <n v="45.588991980061749"/>
    <n v="25.465240751805609"/>
    <n v="0.67920742232399611"/>
    <m/>
    <m/>
    <m/>
    <m/>
    <m/>
    <m/>
    <m/>
    <m/>
    <m/>
    <m/>
    <m/>
    <n v="0.30372987906736637"/>
    <m/>
    <m/>
    <m/>
    <m/>
    <m/>
    <m/>
    <m/>
    <m/>
    <m/>
    <m/>
    <m/>
    <n v="694.1604053705488"/>
    <n v="0.22181292714221804"/>
    <n v="0.29178828436611187"/>
    <n v="373.67251366166721"/>
    <n v="354.55669420855054"/>
    <x v="2"/>
    <n v="4.8813386259591285"/>
    <n v="1.3321822791215501"/>
    <n v="0.1"/>
    <n v="1"/>
    <n v="0.2"/>
    <x v="7"/>
    <n v="0.15186615758141622"/>
    <n v="0.08"/>
    <n v="354.55669420855054"/>
    <n v="0.15186615758141622"/>
    <n v="22.486311007547144"/>
    <n v="66.331697355520745"/>
    <n v="28787.534585955706"/>
    <n v="26.707785246231182"/>
    <n v="650566.92327830987"/>
    <x v="2"/>
    <n v="3.2503873587287358E-6"/>
    <n v="1487875.3458595569"/>
    <n v="0.43724558316575396"/>
  </r>
  <r>
    <x v="0"/>
    <n v="1000"/>
    <n v="25"/>
    <x v="0"/>
    <n v="6.2420912351709665"/>
    <n v="1.589605970062858"/>
    <n v="7.2220751516692783"/>
    <n v="1.8099273398485274"/>
    <m/>
    <n v="0.2291637933829902"/>
    <n v="0.08"/>
    <n v="36.915711782714865"/>
    <n v="20.620492957647272"/>
    <n v="0.56597144409284272"/>
    <m/>
    <m/>
    <m/>
    <m/>
    <m/>
    <m/>
    <m/>
    <m/>
    <m/>
    <m/>
    <m/>
    <n v="0.3127039586794732"/>
    <m/>
    <m/>
    <m/>
    <m/>
    <m/>
    <m/>
    <m/>
    <m/>
    <m/>
    <m/>
    <m/>
    <n v="646.06396496563116"/>
    <n v="0.22010377027099248"/>
    <n v="0.29183454122767866"/>
    <n v="378.6108552849434"/>
    <n v="363.07824291920997"/>
    <x v="2"/>
    <n v="4.8813386259591285"/>
    <n v="1.3321822791215501"/>
    <n v="0.1"/>
    <n v="1"/>
    <n v="0.2"/>
    <x v="8"/>
    <n v="0.15603307071158748"/>
    <n v="0.08"/>
    <n v="363.07824291920997"/>
    <n v="0.15603307071158748"/>
    <n v="18.177190902107768"/>
    <n v="52.518243398727506"/>
    <n v="22033.924325179207"/>
    <n v="21.554129188025701"/>
    <n v="645059.23252529325"/>
    <x v="2"/>
    <n v="2.6764733115679114E-6"/>
    <n v="1420339.2432517922"/>
    <n v="0.45415856499779866"/>
  </r>
  <r>
    <x v="0"/>
    <n v="1000"/>
    <n v="25"/>
    <x v="0"/>
    <n v="4.2713493536552285"/>
    <n v="1.0811853074257547"/>
    <n v="4.9357953981150837"/>
    <n v="1.2354911012999954"/>
    <m/>
    <n v="0.24067131324618724"/>
    <n v="0.08"/>
    <n v="25.214379699594851"/>
    <n v="14.084326535196034"/>
    <n v="0.39442192867173298"/>
    <m/>
    <m/>
    <m/>
    <m/>
    <m/>
    <m/>
    <m/>
    <m/>
    <m/>
    <m/>
    <m/>
    <n v="0.31924303481969113"/>
    <m/>
    <m/>
    <m/>
    <m/>
    <m/>
    <m/>
    <m/>
    <m/>
    <m/>
    <m/>
    <m/>
    <n v="571.96795602478005"/>
    <n v="0.2190498633388745"/>
    <n v="0.29227197739132815"/>
    <n v="385.38570344040801"/>
    <n v="374.75699168891344"/>
    <x v="2"/>
    <n v="4.8813386259591285"/>
    <n v="1.3321822791215501"/>
    <n v="0.1"/>
    <n v="1"/>
    <n v="0.2"/>
    <x v="9"/>
    <n v="0.16679296779949224"/>
    <n v="0.08"/>
    <n v="374.75699168891344"/>
    <n v="0.16679296779949224"/>
    <n v="12.405468520275821"/>
    <n v="34.888852809661749"/>
    <n v="13904.209030933656"/>
    <n v="14.652503489129582"/>
    <n v="610233.18646057695"/>
    <x v="2"/>
    <n v="1.8451569432750033E-6"/>
    <n v="1339042.0903093365"/>
    <n v="0.45572367805078101"/>
  </r>
  <r>
    <x v="0"/>
    <n v="1000"/>
    <n v="25"/>
    <x v="0"/>
    <n v="18.329186720847161"/>
    <n v="5.4203107975704015"/>
    <n v="21.742107170578123"/>
    <n v="5.4243473505912778"/>
    <m/>
    <n v="0.18718212712074855"/>
    <n v="0.08"/>
    <n v="110.0899267061141"/>
    <n v="61.494373228210875"/>
    <n v="1.6030360196346001"/>
    <m/>
    <m/>
    <m/>
    <m/>
    <m/>
    <m/>
    <m/>
    <m/>
    <m/>
    <m/>
    <m/>
    <n v="0.2955260635106382"/>
    <m/>
    <m/>
    <m/>
    <m/>
    <m/>
    <m/>
    <m/>
    <m/>
    <m/>
    <m/>
    <m/>
    <n v="1089.6975936188114"/>
    <n v="0.24930016005556629"/>
    <n v="0.27683048814252581"/>
    <n v="333.78913267887458"/>
    <n v="288.17958380151185"/>
    <x v="2"/>
    <n v="4.8813386259591285"/>
    <n v="1.3321822791215501"/>
    <n v="0.1"/>
    <n v="1"/>
    <n v="0.2"/>
    <x v="0"/>
    <n v="0.13107555582205993"/>
    <n v="0.08"/>
    <n v="288.17958380151185"/>
    <n v="0.13107555582205993"/>
    <n v="58.780951298833415"/>
    <n v="205.00901065557818"/>
    <n v="109819.90081263495"/>
    <n v="76.097009722726384"/>
    <n v="347041.17022412724"/>
    <x v="3"/>
    <n v="6.6678958997482509E-6"/>
    <n v="2298199.0081263492"/>
    <n v="0.15100570881677441"/>
  </r>
  <r>
    <x v="1"/>
    <n v="1000"/>
    <n v="25"/>
    <x v="0"/>
    <n v="18.199560720754409"/>
    <n v="5.51298199541991"/>
    <n v="21.661180396439367"/>
    <n v="5.4305542800270095"/>
    <m/>
    <n v="0.18781190618325663"/>
    <n v="0.08"/>
    <n v="110.22597418075837"/>
    <n v="61.570367049197465"/>
    <n v="1.5980555611952854"/>
    <m/>
    <m/>
    <m/>
    <m/>
    <m/>
    <m/>
    <m/>
    <m/>
    <m/>
    <m/>
    <m/>
    <n v="0.29427116990115737"/>
    <m/>
    <m/>
    <m/>
    <m/>
    <m/>
    <m/>
    <m/>
    <m/>
    <m/>
    <m/>
    <m/>
    <n v="1079.8681775381713"/>
    <n v="0.25450976791302315"/>
    <n v="0.24636446227931946"/>
    <n v="326.12749195896453"/>
    <n v="280.84039694052836"/>
    <x v="2"/>
    <n v="4.8813386259591285"/>
    <n v="1.3321822791215501"/>
    <n v="0.1"/>
    <n v="1"/>
    <n v="0.2"/>
    <x v="0"/>
    <n v="0.13116021597556307"/>
    <n v="0.08"/>
    <n v="280.84039694052836"/>
    <n v="0.13116021597556307"/>
    <n v="59.326956761174742"/>
    <n v="205.41506286450493"/>
    <n v="110349.90567483671"/>
    <n v="76.63640832549558"/>
    <n v="345147.30744920502"/>
    <x v="3"/>
    <n v="6.6104569266433633E-6"/>
    <n v="2303499.0567483669"/>
    <n v="0.14983609671471584"/>
  </r>
  <r>
    <x v="2"/>
    <n v="1000"/>
    <n v="25"/>
    <x v="0"/>
    <n v="18.041981701414503"/>
    <n v="5.641442589414134"/>
    <n v="21.571640031473969"/>
    <n v="5.4407411598993267"/>
    <m/>
    <n v="0.18874841007893289"/>
    <n v="0.08"/>
    <n v="110.44603532021674"/>
    <n v="61.693289484044776"/>
    <n v="1.5893901957330305"/>
    <m/>
    <m/>
    <m/>
    <m/>
    <m/>
    <m/>
    <m/>
    <m/>
    <m/>
    <m/>
    <m/>
    <n v="0.29212751517156166"/>
    <m/>
    <m/>
    <m/>
    <m/>
    <m/>
    <m/>
    <m/>
    <m/>
    <m/>
    <m/>
    <m/>
    <n v="1066.1598735596735"/>
    <n v="0.2615212650119797"/>
    <n v="0.21570922009532509"/>
    <n v="316.35971010677486"/>
    <n v="271.464775693158"/>
    <x v="2"/>
    <n v="4.8813386259591285"/>
    <n v="1.3321822791215501"/>
    <n v="0.1"/>
    <n v="1"/>
    <n v="0.2"/>
    <x v="0"/>
    <n v="0.13130747610120719"/>
    <n v="0.08"/>
    <n v="271.464775693158"/>
    <n v="0.13130747610120719"/>
    <n v="60.104978657981931"/>
    <n v="206.0735009118041"/>
    <n v="111203.40107039822"/>
    <n v="77.501313229154974"/>
    <n v="343236.5207140221"/>
    <x v="3"/>
    <n v="6.5344567895555017E-6"/>
    <n v="2312034.0107039823"/>
    <n v="0.14845651885956096"/>
  </r>
  <r>
    <x v="3"/>
    <n v="1000"/>
    <n v="25"/>
    <x v="0"/>
    <n v="17.806355890740299"/>
    <n v="5.8027544425015138"/>
    <n v="21.420544992740147"/>
    <n v="5.4508768314441944"/>
    <m/>
    <n v="0.18984292313074061"/>
    <n v="0.08"/>
    <n v="110.67087099323437"/>
    <n v="61.818878892678605"/>
    <n v="1.581028098304639"/>
    <m/>
    <m/>
    <m/>
    <m/>
    <m/>
    <m/>
    <m/>
    <m/>
    <m/>
    <m/>
    <m/>
    <n v="0.29005023360356319"/>
    <m/>
    <m/>
    <m/>
    <m/>
    <m/>
    <m/>
    <m/>
    <m/>
    <m/>
    <m/>
    <m/>
    <n v="1050.1377920699449"/>
    <n v="0.27089667627355812"/>
    <n v="0.18535089153693757"/>
    <n v="303.93164153088645"/>
    <n v="259.6237429176249"/>
    <x v="2"/>
    <n v="4.8813386259591285"/>
    <n v="1.3321822791215501"/>
    <n v="0.1"/>
    <n v="1"/>
    <n v="0.2"/>
    <x v="0"/>
    <n v="0.1314711483895406"/>
    <n v="0.08"/>
    <n v="259.6237429176249"/>
    <n v="0.1314711483895406"/>
    <n v="61.044074793233492"/>
    <n v="206.74832400346625"/>
    <n v="112071.30851593229"/>
    <n v="78.376428296170005"/>
    <n v="339516.40066365246"/>
    <x v="3"/>
    <n v="6.4339821424482561E-6"/>
    <n v="2320713.0851593232"/>
    <n v="0.14629830927175719"/>
  </r>
  <r>
    <x v="4"/>
    <n v="1000"/>
    <n v="25"/>
    <x v="0"/>
    <n v="17.47888833273084"/>
    <n v="6.0371071713501783"/>
    <n v="21.216807289370305"/>
    <n v="5.4683536002479372"/>
    <m/>
    <n v="0.19015740114218366"/>
    <n v="0.08"/>
    <n v="111.0540302867677"/>
    <n v="62.032905201055527"/>
    <n v="1.5880905021541798"/>
    <m/>
    <m/>
    <m/>
    <m/>
    <m/>
    <m/>
    <m/>
    <m/>
    <m/>
    <m/>
    <m/>
    <n v="0.29041474239745124"/>
    <m/>
    <m/>
    <m/>
    <m/>
    <m/>
    <m/>
    <m/>
    <m/>
    <m/>
    <m/>
    <m/>
    <n v="1037.6850709231414"/>
    <n v="0.28454362096104774"/>
    <n v="0.1548634224681312"/>
    <n v="287.13352672850971"/>
    <n v="243.63981984605215"/>
    <x v="2"/>
    <n v="4.8813386259591285"/>
    <n v="1.3321822791215501"/>
    <n v="0.1"/>
    <n v="1"/>
    <n v="0.2"/>
    <x v="0"/>
    <n v="0.13120962146377824"/>
    <n v="0.08"/>
    <n v="243.63981984605215"/>
    <n v="0.13120962146377824"/>
    <n v="62.433734049830719"/>
    <n v="207.90326835837635"/>
    <n v="113537.34814592378"/>
    <n v="79.842880027374022"/>
    <n v="334755.1016317372"/>
    <x v="3"/>
    <n v="6.2875786862854947E-6"/>
    <n v="2335373.4814592376"/>
    <n v="0.14334114191558278"/>
  </r>
  <r>
    <x v="5"/>
    <n v="1000"/>
    <n v="25"/>
    <x v="0"/>
    <n v="16.979858175513446"/>
    <n v="6.4173544665740989"/>
    <n v="20.919095324745324"/>
    <n v="5.4996504644066153"/>
    <m/>
    <n v="0.19352397706985441"/>
    <n v="0.08"/>
    <n v="111.73662665246921"/>
    <n v="62.414191999335664"/>
    <n v="1.5558032832831037"/>
    <m/>
    <m/>
    <m/>
    <m/>
    <m/>
    <m/>
    <m/>
    <m/>
    <m/>
    <m/>
    <m/>
    <n v="0.28289130252043521"/>
    <m/>
    <m/>
    <m/>
    <m/>
    <m/>
    <m/>
    <m/>
    <m/>
    <m/>
    <m/>
    <m/>
    <n v="998.88068640876747"/>
    <n v="0.30677017179528654"/>
    <n v="0.12414991115937711"/>
    <n v="263.23100824683149"/>
    <n v="220.97904476721681"/>
    <x v="2"/>
    <n v="4.8813386259591285"/>
    <n v="1.3321822791215501"/>
    <n v="0.1"/>
    <n v="1"/>
    <n v="0.2"/>
    <x v="0"/>
    <n v="0.13201644730876205"/>
    <n v="0.08"/>
    <n v="220.97904476721681"/>
    <n v="0.13201644730876205"/>
    <n v="64.691534423624731"/>
    <n v="209.97637560539195"/>
    <n v="116018.93657832763"/>
    <n v="82.24759077254096"/>
    <n v="327706.89676274202"/>
    <x v="3"/>
    <n v="6.0602595661258016E-6"/>
    <n v="2360189.365783276"/>
    <n v="0.13884771345624039"/>
  </r>
  <r>
    <x v="6"/>
    <n v="1000"/>
    <n v="25"/>
    <x v="0"/>
    <n v="16.090891212913842"/>
    <n v="7.0327207660546636"/>
    <n v="20.353968964201158"/>
    <n v="5.5443774879405217"/>
    <m/>
    <n v="0.19871994003003493"/>
    <n v="0.08"/>
    <n v="112.73772810024444"/>
    <n v="62.97339035572238"/>
    <n v="1.5111843696160987"/>
    <m/>
    <m/>
    <m/>
    <m/>
    <m/>
    <m/>
    <m/>
    <m/>
    <m/>
    <m/>
    <m/>
    <n v="0.272561594679123"/>
    <m/>
    <m/>
    <m/>
    <m/>
    <m/>
    <m/>
    <m/>
    <m/>
    <m/>
    <m/>
    <m/>
    <n v="943.89148317544868"/>
    <n v="0.3455208553390206"/>
    <n v="9.373653767399788E-2"/>
    <n v="228.33917688665187"/>
    <n v="188.29929836739947"/>
    <x v="2"/>
    <n v="4.8813386259591285"/>
    <n v="1.3321822791215501"/>
    <n v="0.1"/>
    <n v="1"/>
    <n v="0.2"/>
    <x v="0"/>
    <n v="0.1333116156088012"/>
    <n v="0.08"/>
    <n v="188.29929836739947"/>
    <n v="0.1333116156088012"/>
    <n v="68.254332735664931"/>
    <n v="213.05363420020436"/>
    <n v="119588.23986790908"/>
    <n v="85.633313103789078"/>
    <n v="313023.46125726984"/>
    <x v="3"/>
    <n v="5.6860715071268802E-6"/>
    <n v="2395882.3986790907"/>
    <n v="0.13065059513348712"/>
  </r>
  <r>
    <x v="7"/>
    <n v="1000"/>
    <n v="25"/>
    <x v="0"/>
    <n v="14.312328043251268"/>
    <n v="8.2430346092020663"/>
    <n v="19.210897936785571"/>
    <n v="5.6246680685898385"/>
    <m/>
    <n v="0.21176809855487314"/>
    <n v="0.08"/>
    <n v="114.61481449541661"/>
    <n v="64.021899105069224"/>
    <n v="1.3953989289248643"/>
    <m/>
    <m/>
    <m/>
    <m/>
    <m/>
    <m/>
    <m/>
    <m/>
    <m/>
    <m/>
    <m/>
    <n v="0.24808556023372683"/>
    <m/>
    <m/>
    <m/>
    <m/>
    <m/>
    <m/>
    <m/>
    <m/>
    <m/>
    <m/>
    <m/>
    <n v="835.66091380405692"/>
    <n v="0.42908117238070742"/>
    <n v="6.3210258623568188E-2"/>
    <n v="173.57586640351346"/>
    <n v="137.96144934162456"/>
    <x v="2"/>
    <n v="4.8813386259591285"/>
    <n v="1.3321822791215501"/>
    <n v="0.1"/>
    <n v="1"/>
    <n v="0.2"/>
    <x v="0"/>
    <n v="0.13722832766259271"/>
    <n v="0.08"/>
    <n v="137.96144934162456"/>
    <n v="0.13722832766259271"/>
    <n v="75.150175157755186"/>
    <n v="218.945742874806"/>
    <n v="126290.77969522502"/>
    <n v="91.875292698501781"/>
    <n v="287491.86478734668"/>
    <x v="3"/>
    <n v="4.9549472501206038E-6"/>
    <n v="2462907.7969522504"/>
    <n v="0.11672863480439923"/>
  </r>
  <r>
    <x v="8"/>
    <n v="1000"/>
    <n v="25"/>
    <x v="0"/>
    <n v="9.9059573976973283"/>
    <n v="4.8485924089441541"/>
    <n v="12.761584488814375"/>
    <n v="3.6363295835722629"/>
    <m/>
    <n v="0.22306110141236637"/>
    <n v="0.08"/>
    <n v="74.321052692604667"/>
    <n v="41.514484474070727"/>
    <n v="1.0310581253439679"/>
    <m/>
    <m/>
    <m/>
    <m/>
    <m/>
    <m/>
    <m/>
    <m/>
    <m/>
    <m/>
    <m/>
    <n v="0.28354363971900354"/>
    <m/>
    <m/>
    <m/>
    <m/>
    <m/>
    <m/>
    <m/>
    <m/>
    <m/>
    <m/>
    <m/>
    <n v="686.307789918563"/>
    <n v="0.37993655201624704"/>
    <n v="4.8422909870077885E-2"/>
    <n v="195.42829160255513"/>
    <n v="170.77872724657863"/>
    <x v="2"/>
    <n v="4.8813386259591285"/>
    <n v="1.3321822791215501"/>
    <n v="0.1"/>
    <n v="1"/>
    <n v="0.2"/>
    <x v="0"/>
    <n v="0.14370676759988804"/>
    <n v="0.08"/>
    <n v="170.77872724657863"/>
    <n v="0.14370676759988804"/>
    <n v="45.882336557575314"/>
    <n v="118.20624165322742"/>
    <n v="62479.362160144876"/>
    <n v="54.326113004760714"/>
    <n v="658319.26025490207"/>
    <x v="3"/>
    <n v="3.6656082907257043E-6"/>
    <n v="1824793.6216014489"/>
    <n v="0.36076367895080513"/>
  </r>
  <r>
    <x v="9"/>
    <n v="1000"/>
    <n v="25"/>
    <x v="0"/>
    <n v="3.4929059759023784"/>
    <n v="1.0800907924635359"/>
    <n v="4.1421531606868287"/>
    <n v="1.0684155820500216"/>
    <m/>
    <n v="0.24436732457847671"/>
    <n v="0.08"/>
    <n v="21.832447322188468"/>
    <n v="12.195236242639334"/>
    <n v="0.38493141266185127"/>
    <m/>
    <m/>
    <m/>
    <m/>
    <m/>
    <m/>
    <m/>
    <m/>
    <m/>
    <m/>
    <m/>
    <n v="0.36028247727655227"/>
    <m/>
    <m/>
    <m/>
    <m/>
    <m/>
    <m/>
    <m/>
    <m/>
    <m/>
    <m/>
    <m/>
    <n v="500.7725496639539"/>
    <n v="0.26075587998886096"/>
    <n v="4.2082418394867621E-2"/>
    <n v="316.99844949195284"/>
    <n v="308.30684333302827"/>
    <x v="2"/>
    <n v="4.8813386259591285"/>
    <n v="1.3321822791215501"/>
    <n v="0.1"/>
    <n v="1"/>
    <n v="0.2"/>
    <x v="0"/>
    <n v="0.1668437260564414"/>
    <n v="0.08"/>
    <n v="308.30684333302827"/>
    <n v="0.1668437260564414"/>
    <n v="11.610819865263984"/>
    <n v="29.982577650189761"/>
    <n v="12186.801656449274"/>
    <n v="13.698137770883154"/>
    <n v="832606.11369218095"/>
    <x v="3"/>
    <n v="1.2408882485906303E-6"/>
    <n v="1321868.0165644928"/>
    <n v="0.62987083676939759"/>
  </r>
  <r>
    <x v="0"/>
    <n v="100"/>
    <n v="25"/>
    <x v="0"/>
    <n v="3.1127888499999918"/>
    <n v="0.38526478946731763"/>
    <n v="3.5077536385646897"/>
    <n v="4.2990793330580583"/>
    <m/>
    <n v="0.91271162563344843"/>
    <n v="0.36"/>
    <n v="21.648647668150549"/>
    <n v="7.9851569267768427"/>
    <n v="1.2815207731679457"/>
    <m/>
    <m/>
    <m/>
    <m/>
    <m/>
    <m/>
    <m/>
    <m/>
    <m/>
    <m/>
    <m/>
    <n v="0.2980919108223023"/>
    <m/>
    <m/>
    <m/>
    <m/>
    <m/>
    <m/>
    <m/>
    <m/>
    <m/>
    <m/>
    <m/>
    <n v="1015.3170240412413"/>
    <n v="0.10983233977200324"/>
    <n v="0.17588794123171567"/>
    <n v="382.30243171759463"/>
    <n v="374.55663745726844"/>
    <x v="3"/>
    <n v="19.525354503836514"/>
    <n v="5.3287291164862003"/>
    <n v="0.4"/>
    <n v="1"/>
    <n v="0.5"/>
    <x v="0"/>
    <n v="0.86949034222224075"/>
    <n v="0.36"/>
    <n v="374.55663745726844"/>
    <n v="0.86949034222224075"/>
    <n v="6.0071602464545331"/>
    <n v="70.526966637612205"/>
    <n v="24011.977591125553"/>
    <n v="10.405990894803496"/>
    <n v="16643.122820631368"/>
    <x v="0"/>
    <n v="1.9314532804571615E-6"/>
    <n v="1440119.7759112555"/>
    <n v="1.1556762915848583E-2"/>
  </r>
  <r>
    <x v="0"/>
    <n v="200"/>
    <n v="25"/>
    <x v="0"/>
    <n v="5.9268983066971854"/>
    <n v="0.58722542984940651"/>
    <n v="6.5147332298789555"/>
    <n v="7.9438378567435866"/>
    <m/>
    <n v="0.97927994364285154"/>
    <n v="0.36"/>
    <n v="40.09760170567175"/>
    <n v="14.790098989796956"/>
    <n v="1.945415744517069"/>
    <m/>
    <m/>
    <m/>
    <m/>
    <m/>
    <m/>
    <m/>
    <m/>
    <m/>
    <m/>
    <m/>
    <n v="0.24489620503338827"/>
    <m/>
    <m/>
    <m/>
    <m/>
    <m/>
    <m/>
    <m/>
    <m/>
    <m/>
    <m/>
    <m/>
    <n v="1328.2105526652506"/>
    <n v="9.0138062316377804E-2"/>
    <n v="0.19923009650983486"/>
    <n v="370.25098913002529"/>
    <n v="355.5026804067158"/>
    <x v="3"/>
    <n v="19.525354503836514"/>
    <n v="5.3287291164862003"/>
    <n v="0.4"/>
    <n v="1"/>
    <n v="0.5"/>
    <x v="0"/>
    <n v="0.96991521996515417"/>
    <n v="0.36"/>
    <n v="355.5026804067158"/>
    <n v="0.96991521996515417"/>
    <n v="10.066296536957134"/>
    <n v="102.57358990497264"/>
    <n v="37588.188839049908"/>
    <n v="15.115293397854368"/>
    <n v="47027.155373079906"/>
    <x v="0"/>
    <n v="3.4384986105953528E-6"/>
    <n v="1575881.8883904992"/>
    <n v="2.9841802053522114E-2"/>
  </r>
  <r>
    <x v="0"/>
    <n v="300"/>
    <n v="25"/>
    <x v="0"/>
    <n v="8.4196804257681688"/>
    <n v="0.73134587977712739"/>
    <n v="9.1463259267217776"/>
    <n v="11.14743948243113"/>
    <m/>
    <n v="0.99999999928676853"/>
    <n v="0.36"/>
    <n v="56.370634196773729"/>
    <n v="20.79244703979359"/>
    <n v="2.5472727794776002"/>
    <m/>
    <m/>
    <m/>
    <m/>
    <m/>
    <m/>
    <m/>
    <m/>
    <m/>
    <m/>
    <m/>
    <n v="0.22850743289454206"/>
    <m/>
    <m/>
    <m/>
    <m/>
    <m/>
    <m/>
    <m/>
    <m/>
    <m/>
    <m/>
    <m/>
    <n v="1613.1106338757654"/>
    <n v="7.9960618683009924E-2"/>
    <n v="0.21275616223689214"/>
    <n v="360.42568009666707"/>
    <n v="339.47424413696649"/>
    <x v="3"/>
    <n v="19.525354503836514"/>
    <n v="5.3287291164862003"/>
    <n v="0.4"/>
    <n v="1"/>
    <n v="0.5"/>
    <x v="0"/>
    <n v="0.99999999900000003"/>
    <n v="0.36"/>
    <n v="339.47424413696649"/>
    <n v="0.99999999900000003"/>
    <n v="13.339492398514952"/>
    <n v="125.47029480279559"/>
    <n v="48297.349179533077"/>
    <n v="18.918729623222699"/>
    <n v="82494.604869242015"/>
    <x v="0"/>
    <n v="4.5472865464576127E-6"/>
    <n v="1682973.4917953308"/>
    <n v="4.9017174228478178E-2"/>
  </r>
  <r>
    <x v="0"/>
    <n v="400"/>
    <n v="25"/>
    <x v="0"/>
    <n v="10.647715753670457"/>
    <n v="0.84210974507172576"/>
    <n v="11.483388256926588"/>
    <n v="14.001636289280267"/>
    <m/>
    <n v="0.99999999926132332"/>
    <n v="0.36"/>
    <n v="70.910910212353613"/>
    <n v="26.155663602917318"/>
    <n v="3.1466117243299614"/>
    <m/>
    <m/>
    <m/>
    <m/>
    <m/>
    <m/>
    <m/>
    <m/>
    <m/>
    <m/>
    <m/>
    <n v="0.22473171415965329"/>
    <m/>
    <m/>
    <m/>
    <m/>
    <m/>
    <m/>
    <m/>
    <m/>
    <m/>
    <m/>
    <m/>
    <n v="1898.8473867037128"/>
    <n v="7.3332863631409409E-2"/>
    <n v="0.2219977810442646"/>
    <n v="352.03683701889167"/>
    <n v="325.54152453873189"/>
    <x v="3"/>
    <n v="19.525354503836514"/>
    <n v="5.3287291164862003"/>
    <n v="0.4"/>
    <n v="1"/>
    <n v="0.5"/>
    <x v="0"/>
    <n v="0.99999999900000003"/>
    <n v="0.36"/>
    <n v="325.54152453873189"/>
    <n v="0.99999999900000003"/>
    <n v="16.136648383460518"/>
    <n v="143.52235670190049"/>
    <n v="57372.802102280642"/>
    <n v="22.324695586207127"/>
    <n v="120441.91939728543"/>
    <x v="0"/>
    <n v="5.3916363672572004E-6"/>
    <n v="1773728.0210228064"/>
    <n v="6.7903262489946756E-2"/>
  </r>
  <r>
    <x v="0"/>
    <n v="600"/>
    <n v="25"/>
    <x v="0"/>
    <n v="14.434020608775326"/>
    <n v="1.0106384500666552"/>
    <n v="15.435771204008512"/>
    <n v="18.863084951485106"/>
    <m/>
    <n v="0.99999999922840788"/>
    <n v="0.36"/>
    <n v="95.76936003906593"/>
    <n v="35.324763948835795"/>
    <n v="4.1808486628219281"/>
    <m/>
    <m/>
    <m/>
    <m/>
    <m/>
    <m/>
    <m/>
    <m/>
    <m/>
    <m/>
    <m/>
    <n v="0.22164182972058166"/>
    <m/>
    <m/>
    <m/>
    <m/>
    <m/>
    <m/>
    <m/>
    <m/>
    <m/>
    <m/>
    <m/>
    <n v="2392.8170605644514"/>
    <n v="6.5473790503204843E-2"/>
    <n v="0.23397559171833721"/>
    <n v="338.30971639917391"/>
    <n v="302.39272915348585"/>
    <x v="3"/>
    <n v="19.525354503836514"/>
    <n v="5.3287291164862003"/>
    <n v="0.4"/>
    <n v="1"/>
    <n v="0.5"/>
    <x v="0"/>
    <n v="0.99999999900000003"/>
    <n v="0.36"/>
    <n v="302.39272915348585"/>
    <n v="0.99999999900000003"/>
    <n v="20.726834266033205"/>
    <n v="170.7565067912611"/>
    <n v="71853.327489854084"/>
    <n v="27.816041288682491"/>
    <n v="197686.9354454515"/>
    <x v="0"/>
    <n v="6.5770672614624493E-6"/>
    <n v="1918533.2748985407"/>
    <n v="0.10304066029603054"/>
  </r>
  <r>
    <x v="0"/>
    <n v="800"/>
    <n v="25"/>
    <x v="0"/>
    <n v="17.474909154722948"/>
    <n v="1.1331310510425547"/>
    <n v="18.596362793771409"/>
    <n v="22.784830871442487"/>
    <m/>
    <n v="0.9999999992079367"/>
    <n v="0.36"/>
    <n v="115.91836859773065"/>
    <n v="42.756775302441632"/>
    <n v="5.0324776659727171"/>
    <m/>
    <m/>
    <m/>
    <m/>
    <m/>
    <m/>
    <m/>
    <m/>
    <m/>
    <m/>
    <m/>
    <n v="0.22086965202275013"/>
    <m/>
    <m/>
    <m/>
    <m/>
    <m/>
    <m/>
    <m/>
    <m/>
    <m/>
    <m/>
    <m/>
    <n v="2800.4541644502606"/>
    <n v="6.0932939608065784E-2"/>
    <n v="0.24169717187883841"/>
    <n v="327.69915750821019"/>
    <n v="284.21533146390158"/>
    <x v="3"/>
    <n v="19.525354503836514"/>
    <n v="5.3287291164862003"/>
    <n v="0.4"/>
    <n v="1"/>
    <n v="0.5"/>
    <x v="0"/>
    <n v="0.99999999900000003"/>
    <n v="0.36"/>
    <n v="284.21533146390158"/>
    <n v="0.99999999900000003"/>
    <n v="24.313350814810761"/>
    <n v="189.95105778017614"/>
    <n v="82616.805671997208"/>
    <n v="32.00418763069765"/>
    <n v="271087.73160615319"/>
    <x v="0"/>
    <n v="7.3517935942522251E-6"/>
    <n v="2026168.0567199721"/>
    <n v="0.13379331033626055"/>
  </r>
  <r>
    <x v="0"/>
    <n v="1000"/>
    <n v="25"/>
    <x v="0"/>
    <n v="19.89998860570098"/>
    <n v="1.2241657820557557"/>
    <n v="21.108968505166434"/>
    <n v="25.927293722257939"/>
    <m/>
    <n v="0.99999999919405813"/>
    <n v="0.36"/>
    <n v="132.13909533597663"/>
    <n v="48.739830246876629"/>
    <n v="5.7288566189295338"/>
    <m/>
    <m/>
    <m/>
    <m/>
    <m/>
    <m/>
    <m/>
    <m/>
    <m/>
    <m/>
    <m/>
    <n v="0.22095852657431239"/>
    <m/>
    <m/>
    <m/>
    <m/>
    <m/>
    <m/>
    <m/>
    <m/>
    <m/>
    <m/>
    <m/>
    <n v="3134.4095467550992"/>
    <n v="5.7992685988239562E-2"/>
    <n v="0.24720329875893718"/>
    <n v="319.49950220888172"/>
    <n v="269.98123729033131"/>
    <x v="3"/>
    <n v="19.525354503836514"/>
    <n v="5.3287291164862003"/>
    <n v="0.4"/>
    <n v="1"/>
    <n v="0.5"/>
    <x v="0"/>
    <n v="0.99999999900000003"/>
    <n v="0.36"/>
    <n v="269.98123729033131"/>
    <n v="0.99999999900000003"/>
    <n v="27.125479798719454"/>
    <n v="203.54977252470613"/>
    <n v="90551.851439785532"/>
    <n v="35.209030850324346"/>
    <n v="336701.10358435486"/>
    <x v="0"/>
    <n v="7.883982815738768E-6"/>
    <n v="2105518.5143978554"/>
    <n v="0.15991362758481656"/>
  </r>
  <r>
    <x v="0"/>
    <n v="1300"/>
    <n v="25"/>
    <x v="0"/>
    <n v="22.625250434812518"/>
    <n v="1.3199306818780097"/>
    <n v="23.923983267568925"/>
    <n v="29.478482697563233"/>
    <m/>
    <n v="0.99999999918021465"/>
    <n v="0.36"/>
    <n v="150.57312419415476"/>
    <n v="55.53926712079479"/>
    <n v="6.5338485240077624"/>
    <m/>
    <m/>
    <m/>
    <m/>
    <m/>
    <m/>
    <m/>
    <m/>
    <m/>
    <m/>
    <m/>
    <n v="0.22164806075815655"/>
    <m/>
    <m/>
    <m/>
    <m/>
    <m/>
    <m/>
    <m/>
    <m/>
    <m/>
    <m/>
    <m/>
    <n v="3521.2092105411243"/>
    <n v="5.5171861103384588E-2"/>
    <n v="0.25303558391345904"/>
    <n v="310.58470873981662"/>
    <n v="254.28494853724234"/>
    <x v="3"/>
    <n v="19.525354503836514"/>
    <n v="5.3287291164862003"/>
    <n v="0.4"/>
    <n v="1"/>
    <n v="0.5"/>
    <x v="0"/>
    <n v="0.99999999900000003"/>
    <n v="0.36"/>
    <n v="254.28494853724234"/>
    <n v="0.99999999900000003"/>
    <n v="30.241275554459918"/>
    <n v="216.84531987174572"/>
    <n v="98633.799530859076"/>
    <n v="38.661676855214502"/>
    <n v="417568.01927342295"/>
    <x v="0"/>
    <n v="8.414130169652905E-6"/>
    <n v="2186337.9953085911"/>
    <n v="0.19098969151587436"/>
  </r>
  <r>
    <x v="0"/>
    <n v="1600"/>
    <n v="25"/>
    <x v="0"/>
    <n v="24.546852463984187"/>
    <n v="1.3833086575503788"/>
    <n v="25.902967986259746"/>
    <n v="31.997572097712904"/>
    <m/>
    <n v="0.99999999917121507"/>
    <n v="0.36"/>
    <n v="163.73583512619109"/>
    <n v="60.394365415398354"/>
    <n v="7.1184890445041731"/>
    <m/>
    <m/>
    <m/>
    <m/>
    <m/>
    <m/>
    <m/>
    <m/>
    <m/>
    <m/>
    <m/>
    <n v="0.22246966184703065"/>
    <m/>
    <m/>
    <m/>
    <m/>
    <m/>
    <m/>
    <m/>
    <m/>
    <m/>
    <m/>
    <m/>
    <n v="3802.6729428270096"/>
    <n v="5.3403480955701917E-2"/>
    <n v="0.25706137303429072"/>
    <n v="304.50975899553077"/>
    <n v="243.42842057492226"/>
    <x v="3"/>
    <n v="19.525354503836514"/>
    <n v="5.3287291164862003"/>
    <n v="0.4"/>
    <n v="1"/>
    <n v="0.5"/>
    <x v="0"/>
    <n v="0.99999999900000003"/>
    <n v="0.36"/>
    <n v="243.42842057492226"/>
    <n v="0.99999999900000003"/>
    <n v="32.411335229157359"/>
    <n v="224.78880159148397"/>
    <n v="103694.13203554583"/>
    <n v="40.995675808664117"/>
    <n v="478728.99355874246"/>
    <x v="0"/>
    <n v="8.7567004785883319E-6"/>
    <n v="2236941.3203554582"/>
    <n v="0.21401052821656968"/>
  </r>
  <r>
    <x v="0"/>
    <n v="1900"/>
    <n v="25"/>
    <x v="0"/>
    <n v="25.922742035893894"/>
    <n v="1.426528841800339"/>
    <n v="27.316659877543362"/>
    <n v="33.810180605710904"/>
    <m/>
    <n v="0.99999999916502513"/>
    <n v="0.36"/>
    <n v="173.2639618460764"/>
    <n v="63.908838385847851"/>
    <n v="7.5471118672031174"/>
    <m/>
    <m/>
    <m/>
    <m/>
    <m/>
    <m/>
    <m/>
    <m/>
    <m/>
    <m/>
    <m/>
    <n v="0.2232200991534582"/>
    <m/>
    <m/>
    <m/>
    <m/>
    <m/>
    <m/>
    <m/>
    <m/>
    <m/>
    <m/>
    <m/>
    <n v="4009.3294267462825"/>
    <n v="5.2221935192489188E-2"/>
    <n v="0.25995142046017167"/>
    <n v="300.27851361610226"/>
    <n v="235.7734931447213"/>
    <x v="3"/>
    <n v="19.525354503836514"/>
    <n v="5.3287291164862003"/>
    <n v="0.4"/>
    <n v="1"/>
    <n v="0.5"/>
    <x v="0"/>
    <n v="0.99999999900000003"/>
    <n v="0.36"/>
    <n v="235.7734931447213"/>
    <n v="0.99999999900000003"/>
    <n v="33.95152668957563"/>
    <n v="229.64838485662924"/>
    <n v="106935.94043373043"/>
    <n v="42.612983443090378"/>
    <n v="524337.94175611436"/>
    <x v="0"/>
    <n v="8.9914219098624792E-6"/>
    <n v="2269359.4043373042"/>
    <n v="0.23105108020967308"/>
  </r>
  <r>
    <x v="0"/>
    <n v="1000"/>
    <n v="25"/>
    <x v="1"/>
    <n v="19.890843365733232"/>
    <n v="1.3499002612967534"/>
    <n v="21.174716493805285"/>
    <n v="25.753795878573328"/>
    <m/>
    <n v="0.99999999917671145"/>
    <n v="0.36"/>
    <n v="133.86519356956478"/>
    <n v="49.376505824839469"/>
    <n v="5.5584910164871495"/>
    <m/>
    <m/>
    <m/>
    <m/>
    <m/>
    <m/>
    <m/>
    <m/>
    <m/>
    <m/>
    <m/>
    <n v="0.21583191241768399"/>
    <m/>
    <m/>
    <m/>
    <m/>
    <m/>
    <m/>
    <m/>
    <m/>
    <m/>
    <m/>
    <m/>
    <n v="2851.0893441938283"/>
    <n v="6.3750570719172089E-2"/>
    <n v="0.25286902185954052"/>
    <n v="121.33934311344049"/>
    <n v="71.843835950253236"/>
    <x v="3"/>
    <n v="19.525354503836514"/>
    <n v="5.3287291164862003"/>
    <n v="0.4"/>
    <n v="1"/>
    <n v="0.5"/>
    <x v="0"/>
    <n v="0.99999999900000003"/>
    <n v="0.36"/>
    <n v="71.843835950253236"/>
    <n v="0.99999999900000003"/>
    <n v="27.809397493104122"/>
    <n v="207.83226795760513"/>
    <n v="92755.216023966874"/>
    <n v="35.736931011864911"/>
    <n v="342140.66247458605"/>
    <x v="1"/>
    <n v="7.7893246406085573E-6"/>
    <n v="2127552.1602396686"/>
    <n v="0.16081423001918033"/>
  </r>
  <r>
    <x v="0"/>
    <n v="1000"/>
    <n v="25"/>
    <x v="2"/>
    <n v="19.884196502892021"/>
    <n v="1.2639806071185362"/>
    <n v="21.115756927199723"/>
    <n v="25.914328976256154"/>
    <m/>
    <n v="0.9999999991939863"/>
    <n v="0.36"/>
    <n v="132.53840097548357"/>
    <n v="48.887115113907875"/>
    <n v="5.7303474177057119"/>
    <m/>
    <m/>
    <m/>
    <m/>
    <m/>
    <m/>
    <m/>
    <m/>
    <m/>
    <m/>
    <m/>
    <n v="0.22112659845277521"/>
    <m/>
    <m/>
    <m/>
    <m/>
    <m/>
    <m/>
    <m/>
    <m/>
    <m/>
    <m/>
    <m/>
    <n v="3035.5541838403365"/>
    <n v="5.9859592600745082E-2"/>
    <n v="0.24811653186351795"/>
    <n v="219.85944526328552"/>
    <n v="170.3804749874779"/>
    <x v="3"/>
    <n v="19.525354503836514"/>
    <n v="5.3287291164862003"/>
    <n v="0.4"/>
    <n v="1"/>
    <n v="0.5"/>
    <x v="0"/>
    <n v="0.99999999900000003"/>
    <n v="0.36"/>
    <n v="170.3804749874779"/>
    <n v="0.99999999900000003"/>
    <n v="27.328865059784523"/>
    <n v="204.53286760761262"/>
    <n v="91033.714800289381"/>
    <n v="35.295180691761075"/>
    <n v="337617.21950868634"/>
    <x v="1"/>
    <n v="7.8584189240861403E-6"/>
    <n v="2110337.1480028937"/>
    <n v="0.1599825979598514"/>
  </r>
  <r>
    <x v="0"/>
    <n v="1000"/>
    <n v="25"/>
    <x v="0"/>
    <n v="19.900003116976464"/>
    <n v="1.2241663547057624"/>
    <n v="21.10898395280708"/>
    <n v="25.92731287569945"/>
    <m/>
    <n v="0.99999999919405824"/>
    <n v="0.36"/>
    <n v="132.13919195928636"/>
    <n v="48.73986588662202"/>
    <n v="5.7288609360754847"/>
    <m/>
    <m/>
    <m/>
    <m/>
    <m/>
    <m/>
    <m/>
    <m/>
    <m/>
    <m/>
    <m/>
    <n v="0.22095852985385533"/>
    <m/>
    <m/>
    <m/>
    <m/>
    <m/>
    <m/>
    <m/>
    <m/>
    <m/>
    <m/>
    <m/>
    <n v="3134.4115386590815"/>
    <n v="5.7992670677215252E-2"/>
    <n v="0.24720330873082114"/>
    <n v="319.49944675438985"/>
    <n v="269.9810706213421"/>
    <x v="3"/>
    <n v="19.525354503836514"/>
    <n v="5.3287291164862003"/>
    <n v="0.4"/>
    <n v="1"/>
    <n v="0.5"/>
    <x v="0"/>
    <n v="0.99999999900000003"/>
    <n v="0.36"/>
    <n v="269.9810706213421"/>
    <n v="0.99999999900000003"/>
    <n v="27.125497151080534"/>
    <n v="203.55000986705966"/>
    <n v="90551.968963813473"/>
    <n v="35.209053524033983"/>
    <n v="336701.69962589582"/>
    <x v="1"/>
    <n v="7.8839827805703598E-6"/>
    <n v="2105519.689638135"/>
    <n v="0.1599138214108855"/>
  </r>
  <r>
    <x v="0"/>
    <n v="1000"/>
    <n v="25"/>
    <x v="3"/>
    <n v="19.916966620932147"/>
    <n v="1.1927686843622576"/>
    <n v="21.108462605487162"/>
    <n v="25.911329053196773"/>
    <m/>
    <n v="0.99999999919188431"/>
    <n v="0.36"/>
    <n v="131.85756283311773"/>
    <n v="48.635986290904079"/>
    <n v="5.6968066191747404"/>
    <m/>
    <m/>
    <m/>
    <m/>
    <m/>
    <m/>
    <m/>
    <m/>
    <m/>
    <m/>
    <m/>
    <n v="0.21985775440074948"/>
    <m/>
    <m/>
    <m/>
    <m/>
    <m/>
    <m/>
    <m/>
    <m/>
    <m/>
    <m/>
    <m/>
    <n v="3218.1347032065978"/>
    <n v="5.6506658332009282E-2"/>
    <n v="0.24677784639149417"/>
    <n v="419.29191816782691"/>
    <n v="369.73139361922551"/>
    <x v="3"/>
    <n v="19.525354503836514"/>
    <n v="5.3287291164862003"/>
    <n v="0.4"/>
    <n v="1"/>
    <n v="0.5"/>
    <x v="0"/>
    <n v="0.99999999900000003"/>
    <n v="0.36"/>
    <n v="369.73139361922551"/>
    <n v="0.99999999900000003"/>
    <n v="26.969703286894465"/>
    <n v="202.85934027023723"/>
    <n v="90238.004345334281"/>
    <n v="35.18531667931687"/>
    <n v="336236.23630104703"/>
    <x v="1"/>
    <n v="7.902978948092301E-6"/>
    <n v="2102380.0434533427"/>
    <n v="0.15993123476797738"/>
  </r>
  <r>
    <x v="0"/>
    <n v="1000"/>
    <n v="25"/>
    <x v="4"/>
    <n v="19.934132201181406"/>
    <n v="1.1647417477346138"/>
    <n v="21.110153300501107"/>
    <n v="25.886278929292395"/>
    <m/>
    <n v="0.99999999918904336"/>
    <n v="0.36"/>
    <n v="131.61943968476086"/>
    <n v="48.548153982083925"/>
    <n v="5.6553216247154836"/>
    <m/>
    <m/>
    <m/>
    <m/>
    <m/>
    <m/>
    <m/>
    <m/>
    <m/>
    <m/>
    <m/>
    <n v="0.21846792426840594"/>
    <m/>
    <m/>
    <m/>
    <m/>
    <m/>
    <m/>
    <m/>
    <m/>
    <m/>
    <m/>
    <m/>
    <n v="3297.1916718057009"/>
    <n v="5.5174480789154927E-2"/>
    <n v="0.24650852430434556"/>
    <n v="519.13410598097516"/>
    <n v="469.53085944795993"/>
    <x v="3"/>
    <n v="19.525354503836514"/>
    <n v="5.3287291164862003"/>
    <n v="0.4"/>
    <n v="1"/>
    <n v="0.5"/>
    <x v="0"/>
    <n v="0.99999999900000003"/>
    <n v="0.36"/>
    <n v="469.53085944795993"/>
    <n v="0.99999999900000003"/>
    <n v="26.832712526164759"/>
    <n v="202.27709855709307"/>
    <n v="89985.152373096877"/>
    <n v="35.182991623864588"/>
    <n v="335929.57524400263"/>
    <x v="1"/>
    <n v="7.9195165995787851E-6"/>
    <n v="2099851.5237309691"/>
    <n v="0.1599777753081944"/>
  </r>
  <r>
    <x v="0"/>
    <n v="1000"/>
    <n v="25"/>
    <x v="5"/>
    <n v="19.952232343232534"/>
    <n v="1.1380190385433591"/>
    <n v="21.113625428475917"/>
    <n v="25.857060016769989"/>
    <m/>
    <n v="0.99913034851107441"/>
    <n v="0.36"/>
    <n v="131.40109740699845"/>
    <n v="48.467617896024016"/>
    <n v="5.6197038071410539"/>
    <m/>
    <m/>
    <m/>
    <m/>
    <m/>
    <m/>
    <m/>
    <m/>
    <m/>
    <m/>
    <m/>
    <n v="0.21733730762493145"/>
    <m/>
    <m/>
    <m/>
    <m/>
    <m/>
    <m/>
    <m/>
    <m/>
    <m/>
    <m/>
    <m/>
    <n v="3379.201137496068"/>
    <n v="5.3899745564706024E-2"/>
    <n v="0.24631680271073481"/>
    <n v="618.99768053313164"/>
    <n v="569.34923392554242"/>
    <x v="3"/>
    <n v="19.525354503836514"/>
    <n v="5.3287291164862003"/>
    <n v="0.4"/>
    <n v="1"/>
    <n v="0.5"/>
    <x v="0"/>
    <n v="0.99893223356721672"/>
    <n v="0.36"/>
    <n v="569.34923392554242"/>
    <n v="0.99893223356721672"/>
    <n v="26.708056516301976"/>
    <n v="201.74461153185601"/>
    <n v="89772.470487210536"/>
    <n v="35.208814856824063"/>
    <n v="335743.42284559971"/>
    <x v="1"/>
    <n v="7.9347077669777081E-6"/>
    <n v="2097724.7048721053"/>
    <n v="0.16005123173017569"/>
  </r>
  <r>
    <x v="0"/>
    <n v="1000"/>
    <n v="25"/>
    <x v="6"/>
    <n v="20.018438512752585"/>
    <n v="1.0796561708401615"/>
    <n v="21.150225276435471"/>
    <n v="25.786589330071354"/>
    <m/>
    <n v="0.95845986545907824"/>
    <n v="0.36"/>
    <n v="130.9977353470635"/>
    <n v="48.3188368083431"/>
    <n v="6.0439673838281607"/>
    <m/>
    <m/>
    <m/>
    <m/>
    <m/>
    <m/>
    <m/>
    <m/>
    <m/>
    <m/>
    <m/>
    <n v="0.23438413302607305"/>
    <m/>
    <m/>
    <m/>
    <m/>
    <m/>
    <m/>
    <m/>
    <m/>
    <m/>
    <m/>
    <m/>
    <n v="3690.9406130202588"/>
    <n v="5.1047029368668749E-2"/>
    <n v="0.24644139521744982"/>
    <n v="718.76998385320314"/>
    <n v="668.95692110617711"/>
    <x v="3"/>
    <n v="19.525354503836514"/>
    <n v="5.3287291164862003"/>
    <n v="0.4"/>
    <n v="1"/>
    <n v="0.5"/>
    <x v="0"/>
    <n v="0.95031551168579542"/>
    <n v="0.36"/>
    <n v="668.95692110617711"/>
    <n v="0.95031551168579542"/>
    <n v="26.634886868909618"/>
    <n v="200.76437235598766"/>
    <n v="89884.891018421258"/>
    <n v="36.01909894913441"/>
    <n v="337369.46899683343"/>
    <x v="1"/>
    <n v="7.9523887993559758E-6"/>
    <n v="2098848.9101842125"/>
    <n v="0.16074023592637884"/>
  </r>
  <r>
    <x v="0"/>
    <n v="1000"/>
    <n v="25"/>
    <x v="7"/>
    <n v="20.079793048371318"/>
    <n v="1.0251932275165585"/>
    <n v="21.183677248283594"/>
    <n v="25.728767716922977"/>
    <m/>
    <n v="0.92750446311776358"/>
    <n v="0.36"/>
    <n v="130.67103728538549"/>
    <n v="48.198333424937275"/>
    <n v="6.413049802839133"/>
    <m/>
    <m/>
    <m/>
    <m/>
    <m/>
    <m/>
    <m/>
    <m/>
    <m/>
    <m/>
    <m/>
    <n v="0.2492560029845883"/>
    <m/>
    <m/>
    <m/>
    <m/>
    <m/>
    <m/>
    <m/>
    <m/>
    <m/>
    <m/>
    <m/>
    <n v="3975.0931493419598"/>
    <n v="4.8395432742897586E-2"/>
    <n v="0.24648221502186635"/>
    <n v="818.53451557715857"/>
    <n v="768.56824792239706"/>
    <x v="3"/>
    <n v="19.525354503836514"/>
    <n v="5.3287291164862003"/>
    <n v="0.4"/>
    <n v="1"/>
    <n v="0.5"/>
    <x v="0"/>
    <n v="0.9149386796601493"/>
    <n v="0.36"/>
    <n v="768.56824792239706"/>
    <n v="0.9149386796601493"/>
    <n v="26.513686696378723"/>
    <n v="199.97371496813417"/>
    <n v="89888.792597331616"/>
    <n v="36.541319493464115"/>
    <n v="338617.86513059307"/>
    <x v="1"/>
    <n v="7.9730149937222415E-6"/>
    <n v="2098887.9259733162"/>
    <n v="0.16133203728520473"/>
  </r>
  <r>
    <x v="0"/>
    <n v="1000"/>
    <n v="25"/>
    <x v="8"/>
    <n v="20.136045943014068"/>
    <n v="0.97524835912430097"/>
    <n v="21.214201140939007"/>
    <n v="25.680620243530708"/>
    <m/>
    <n v="0.90283969068298364"/>
    <n v="0.36"/>
    <n v="130.40143689210601"/>
    <n v="48.098890656924354"/>
    <n v="6.7387099081815407"/>
    <m/>
    <m/>
    <m/>
    <m/>
    <m/>
    <m/>
    <m/>
    <m/>
    <m/>
    <m/>
    <m/>
    <n v="0.26240448417047529"/>
    <m/>
    <m/>
    <m/>
    <m/>
    <m/>
    <m/>
    <m/>
    <m/>
    <m/>
    <m/>
    <m/>
    <n v="4237.5536735245942"/>
    <n v="4.5971486394662017E-2"/>
    <n v="0.24647725329645506"/>
    <n v="918.30464810156309"/>
    <n v="868.19871943382532"/>
    <x v="3"/>
    <n v="19.525354503836514"/>
    <n v="5.3287291164862003"/>
    <n v="0.4"/>
    <n v="1"/>
    <n v="0.5"/>
    <x v="0"/>
    <n v="0.88766996537695142"/>
    <n v="0.36"/>
    <n v="868.19871943382532"/>
    <n v="0.88766996537695142"/>
    <n v="26.372814688342501"/>
    <n v="199.32343282233168"/>
    <n v="89837.924707771017"/>
    <n v="36.888974522784366"/>
    <n v="339620.76800829003"/>
    <x v="1"/>
    <n v="7.9942395929690625E-6"/>
    <n v="2098379.24707771"/>
    <n v="0.16184908828147249"/>
  </r>
  <r>
    <x v="0"/>
    <n v="1000"/>
    <n v="25"/>
    <x v="9"/>
    <n v="20.187530292176184"/>
    <n v="0.92966554442125537"/>
    <n v="21.242125674586781"/>
    <n v="25.639832206936845"/>
    <m/>
    <n v="0.88241175305825281"/>
    <n v="0.36"/>
    <n v="130.17462944097895"/>
    <n v="48.015232170852897"/>
    <n v="7.0307206164527614"/>
    <m/>
    <m/>
    <m/>
    <m/>
    <m/>
    <m/>
    <m/>
    <m/>
    <m/>
    <m/>
    <m/>
    <n v="0.27421086689290436"/>
    <m/>
    <m/>
    <m/>
    <m/>
    <m/>
    <m/>
    <m/>
    <m/>
    <m/>
    <m/>
    <m/>
    <n v="4483.2119232041805"/>
    <n v="4.3765184269362913E-2"/>
    <n v="0.24644604655984492"/>
    <n v="1018.0853960776603"/>
    <n v="967.85161497780211"/>
    <x v="3"/>
    <n v="19.525354503836514"/>
    <n v="5.3287291164862003"/>
    <n v="0.4"/>
    <n v="1"/>
    <n v="0.5"/>
    <x v="0"/>
    <n v="0.86565158874838322"/>
    <n v="0.36"/>
    <n v="967.85161497780211"/>
    <n v="0.86565158874838322"/>
    <n v="26.226282193685886"/>
    <n v="198.77789257234122"/>
    <n v="89759.925244502461"/>
    <n v="37.127151507645955"/>
    <n v="340455.79182103608"/>
    <x v="1"/>
    <n v="8.0150117856297285E-6"/>
    <n v="2097599.2524450244"/>
    <n v="0.16230735752989547"/>
  </r>
  <r>
    <x v="0"/>
    <n v="1000"/>
    <n v="25"/>
    <x v="0"/>
    <n v="19.899981877032815"/>
    <n v="1.2241655183381126"/>
    <n v="21.108961346605309"/>
    <n v="25.927284983686533"/>
    <m/>
    <n v="0.99999999919405802"/>
    <n v="0.36"/>
    <n v="132.13905145855642"/>
    <n v="48.73981406258229"/>
    <n v="5.728854758043358"/>
    <m/>
    <m/>
    <m/>
    <m/>
    <m/>
    <m/>
    <m/>
    <m/>
    <m/>
    <m/>
    <m/>
    <n v="0.22095852927323312"/>
    <m/>
    <m/>
    <m/>
    <m/>
    <m/>
    <m/>
    <m/>
    <m/>
    <m/>
    <m/>
    <m/>
    <n v="3134.4086192678983"/>
    <n v="5.7992693161806365E-2"/>
    <n v="0.24720329916684564"/>
    <n v="319.49952956088316"/>
    <n v="269.98124024621728"/>
    <x v="3"/>
    <n v="19.525354503836514"/>
    <n v="5.3287291164862003"/>
    <n v="0.4"/>
    <n v="1"/>
    <n v="0.5"/>
    <x v="0"/>
    <n v="0.99999999900000003"/>
    <n v="0.36"/>
    <n v="269.98124024621728"/>
    <n v="0.99999999900000003"/>
    <n v="27.12547176576831"/>
    <n v="203.54966474572572"/>
    <n v="90551.797318201847"/>
    <n v="35.209019415649387"/>
    <n v="336700.82816430059"/>
    <x v="2"/>
    <n v="7.8839828163659434E-6"/>
    <n v="2105517.9731820184"/>
    <n v="0.15991353788134743"/>
  </r>
  <r>
    <x v="0"/>
    <n v="1000"/>
    <n v="25"/>
    <x v="0"/>
    <n v="19.183820515747531"/>
    <n v="1.1852827373972841"/>
    <n v="20.342694628527532"/>
    <n v="25.041676062463225"/>
    <m/>
    <n v="0.99999999919537819"/>
    <n v="0.36"/>
    <n v="127.67593907622759"/>
    <n v="47.093584085493788"/>
    <n v="5.5747391811195754"/>
    <m/>
    <m/>
    <m/>
    <m/>
    <m/>
    <m/>
    <m/>
    <m/>
    <m/>
    <m/>
    <m/>
    <n v="0.22261845282297035"/>
    <m/>
    <m/>
    <m/>
    <m/>
    <m/>
    <m/>
    <m/>
    <m/>
    <m/>
    <m/>
    <m/>
    <n v="3062.5792352506423"/>
    <n v="5.8265768573997345E-2"/>
    <n v="0.24896540748463056"/>
    <n v="322.94583930527853"/>
    <n v="275.20964469085658"/>
    <x v="3"/>
    <n v="19.525354503836514"/>
    <n v="5.3287291164862003"/>
    <n v="0.4"/>
    <n v="1"/>
    <n v="0.5"/>
    <x v="1"/>
    <n v="0.99999999900000003"/>
    <n v="0.36"/>
    <n v="275.20964469085658"/>
    <n v="0.99999999900000003"/>
    <n v="26.212343794807449"/>
    <n v="192.85790730729673"/>
    <n v="84921.472621253968"/>
    <n v="33.635190325245674"/>
    <n v="381859.37040592491"/>
    <x v="2"/>
    <n v="7.6177870031443654E-6"/>
    <n v="2049214.7262125397"/>
    <n v="0.18634424471060498"/>
  </r>
  <r>
    <x v="0"/>
    <n v="1000"/>
    <n v="25"/>
    <x v="0"/>
    <n v="16.680992509788968"/>
    <n v="1.0534077519988756"/>
    <n v="17.67619616493516"/>
    <n v="21.928173215695793"/>
    <m/>
    <n v="0.99999999920116922"/>
    <n v="0.36"/>
    <n v="111.9496053356404"/>
    <n v="41.29288721396572"/>
    <n v="5.0129308222046483"/>
    <m/>
    <m/>
    <m/>
    <m/>
    <m/>
    <m/>
    <m/>
    <m/>
    <m/>
    <m/>
    <m/>
    <n v="0.22860685990096441"/>
    <m/>
    <m/>
    <m/>
    <m/>
    <m/>
    <m/>
    <m/>
    <m/>
    <m/>
    <m/>
    <m/>
    <n v="2799.4086352905538"/>
    <n v="5.9594708169654426E-2"/>
    <n v="0.25448314347518941"/>
    <n v="334.45148357570775"/>
    <n v="292.94322418823049"/>
    <x v="3"/>
    <n v="19.525354503836514"/>
    <n v="5.3287291164862003"/>
    <n v="0.4"/>
    <n v="1"/>
    <n v="0.5"/>
    <x v="2"/>
    <n v="0.99999999900000003"/>
    <n v="0.36"/>
    <n v="292.94322418823049"/>
    <n v="0.99999999900000003"/>
    <n v="23.042222165068853"/>
    <n v="158.91860423209522"/>
    <n v="67391.315437858735"/>
    <n v="28.481307426605664"/>
    <n v="499429.34116368042"/>
    <x v="2"/>
    <n v="6.7302789272116897E-6"/>
    <n v="1873913.1543785874"/>
    <n v="0.26651680201759259"/>
  </r>
  <r>
    <x v="0"/>
    <n v="1000"/>
    <n v="25"/>
    <x v="0"/>
    <n v="14.417630757611462"/>
    <n v="0.93828619188189155"/>
    <n v="15.27689195477733"/>
    <n v="19.08716674352387"/>
    <m/>
    <n v="0.9999999992082812"/>
    <n v="0.36"/>
    <n v="97.554914529587663"/>
    <n v="35.983370113372509"/>
    <n v="4.4744769405798177"/>
    <m/>
    <m/>
    <m/>
    <m/>
    <m/>
    <m/>
    <m/>
    <m/>
    <m/>
    <m/>
    <m/>
    <n v="0.23442331702257349"/>
    <m/>
    <m/>
    <m/>
    <m/>
    <m/>
    <m/>
    <m/>
    <m/>
    <m/>
    <m/>
    <m/>
    <n v="2545.6478711523446"/>
    <n v="6.1418657319787767E-2"/>
    <n v="0.25877755659797391"/>
    <n v="344.28562141495871"/>
    <n v="308.40940086243506"/>
    <x v="3"/>
    <n v="19.525354503836514"/>
    <n v="5.3287291164862003"/>
    <n v="0.4"/>
    <n v="1"/>
    <n v="0.5"/>
    <x v="3"/>
    <n v="0.99999999900000003"/>
    <n v="0.36"/>
    <n v="308.40940086243506"/>
    <n v="0.99999999900000003"/>
    <n v="20.193573401218636"/>
    <n v="131.86730089356863"/>
    <n v="53896.507041666016"/>
    <n v="24.179939596399709"/>
    <n v="569843.36014694243"/>
    <x v="2"/>
    <n v="5.9294404805837385E-6"/>
    <n v="1738965.07041666"/>
    <n v="0.32769109043139472"/>
  </r>
  <r>
    <x v="0"/>
    <n v="1000"/>
    <n v="25"/>
    <x v="0"/>
    <n v="13.1679271360406"/>
    <n v="0.87582623512674329"/>
    <n v="13.955856684161583"/>
    <n v="17.507955855080471"/>
    <m/>
    <n v="0.99999999921314675"/>
    <n v="0.36"/>
    <n v="89.536491078301609"/>
    <n v="33.025754905930924"/>
    <n v="4.1650205086875332"/>
    <m/>
    <m/>
    <m/>
    <m/>
    <m/>
    <m/>
    <m/>
    <m/>
    <m/>
    <m/>
    <m/>
    <n v="0.23789302093076301"/>
    <m/>
    <m/>
    <m/>
    <m/>
    <m/>
    <m/>
    <m/>
    <m/>
    <m/>
    <m/>
    <m/>
    <n v="2399.2775284168124"/>
    <n v="6.2756895183705433E-2"/>
    <n v="0.26092628260145817"/>
    <n v="349.53391814440766"/>
    <n v="316.76727407304588"/>
    <x v="3"/>
    <n v="19.525354503836514"/>
    <n v="5.3287291164862003"/>
    <n v="0.4"/>
    <n v="1"/>
    <n v="0.5"/>
    <x v="4"/>
    <n v="0.99999999900000003"/>
    <n v="0.36"/>
    <n v="316.76727407304588"/>
    <n v="0.99999999900000003"/>
    <n v="18.623425040709165"/>
    <n v="118.09026403926052"/>
    <n v="47231.978699457679"/>
    <n v="21.91630818378415"/>
    <n v="598257.92880997062"/>
    <x v="2"/>
    <n v="5.4764144265500295E-6"/>
    <n v="1672319.7869945769"/>
    <n v="0.35774134436639937"/>
  </r>
  <r>
    <x v="0"/>
    <n v="1000"/>
    <n v="25"/>
    <x v="0"/>
    <n v="11.625113009141877"/>
    <n v="0.8093172023050349"/>
    <n v="12.332520419261026"/>
    <n v="15.495078460681594"/>
    <m/>
    <n v="0.99999999922198368"/>
    <n v="0.36"/>
    <n v="79.300925857941337"/>
    <n v="29.250341504978365"/>
    <n v="3.7185910515240099"/>
    <m/>
    <m/>
    <m/>
    <m/>
    <m/>
    <m/>
    <m/>
    <m/>
    <m/>
    <m/>
    <m/>
    <n v="0.2399852999105393"/>
    <m/>
    <m/>
    <m/>
    <m/>
    <m/>
    <m/>
    <m/>
    <m/>
    <m/>
    <m/>
    <m/>
    <n v="2185.7917349718218"/>
    <n v="6.5624639148461256E-2"/>
    <n v="0.2607909704265795"/>
    <n v="355.42363683019198"/>
    <n v="326.49620920981641"/>
    <x v="3"/>
    <n v="19.525354503836514"/>
    <n v="5.3287291164862003"/>
    <n v="0.4"/>
    <n v="1"/>
    <n v="0.5"/>
    <x v="5"/>
    <n v="0.99999999900000003"/>
    <n v="0.36"/>
    <n v="326.49620920981641"/>
    <n v="0.99999999900000003"/>
    <n v="16.742785504010694"/>
    <n v="101.60402320968309"/>
    <n v="39679.89570306598"/>
    <n v="19.49550037696979"/>
    <n v="626609.71586718969"/>
    <x v="2"/>
    <n v="4.8969915157193644E-6"/>
    <n v="1596798.9570306598"/>
    <n v="0.39241616053683226"/>
  </r>
  <r>
    <x v="0"/>
    <n v="1000"/>
    <n v="25"/>
    <x v="0"/>
    <n v="9.6158640077812567"/>
    <n v="0.72533506514833246"/>
    <n v="10.223427070840451"/>
    <n v="12.84264713729098"/>
    <m/>
    <n v="0.99999999923683414"/>
    <n v="0.36"/>
    <n v="65.786885944733783"/>
    <n v="24.265654651746072"/>
    <n v="3.1043353681029568"/>
    <m/>
    <m/>
    <m/>
    <m/>
    <m/>
    <m/>
    <m/>
    <m/>
    <m/>
    <m/>
    <m/>
    <n v="0.24172083332329128"/>
    <m/>
    <m/>
    <m/>
    <m/>
    <m/>
    <m/>
    <m/>
    <m/>
    <m/>
    <m/>
    <m/>
    <n v="1891.0296451894574"/>
    <n v="7.0948328786650583E-2"/>
    <n v="0.25841912633711944"/>
    <n v="362.78965824210349"/>
    <n v="338.8619611379803"/>
    <x v="3"/>
    <n v="19.525354503836514"/>
    <n v="5.3287291164862003"/>
    <n v="0.4"/>
    <n v="1"/>
    <n v="0.5"/>
    <x v="6"/>
    <n v="0.99999999900000003"/>
    <n v="0.36"/>
    <n v="338.8619611379803"/>
    <n v="0.99999999900000003"/>
    <n v="14.303179023651108"/>
    <n v="81.418062107720786"/>
    <n v="30858.787733698973"/>
    <n v="16.540150086290122"/>
    <n v="650336.08326984267"/>
    <x v="2"/>
    <n v="4.1134329904658316E-6"/>
    <n v="1508587.8773369896"/>
    <n v="0.43108929419334718"/>
  </r>
  <r>
    <x v="0"/>
    <n v="1000"/>
    <n v="25"/>
    <x v="0"/>
    <n v="8.3335331188410358"/>
    <n v="0.66765462909679862"/>
    <n v="8.8772919971601372"/>
    <n v="11.155380991641529"/>
    <m/>
    <n v="0.99999999924778782"/>
    <n v="0.36"/>
    <n v="57.17543437613179"/>
    <n v="21.089299564966645"/>
    <n v="2.7168820943269445"/>
    <m/>
    <m/>
    <m/>
    <m/>
    <m/>
    <m/>
    <m/>
    <m/>
    <m/>
    <m/>
    <m/>
    <n v="0.24354901875271154"/>
    <m/>
    <m/>
    <m/>
    <m/>
    <m/>
    <m/>
    <m/>
    <m/>
    <m/>
    <m/>
    <m/>
    <n v="1705.235613056914"/>
    <n v="7.5209267568351099E-2"/>
    <n v="0.25666448067508008"/>
    <n v="367.53141261727319"/>
    <n v="346.79456589344295"/>
    <x v="3"/>
    <n v="19.525354503836514"/>
    <n v="5.3287291164862003"/>
    <n v="0.4"/>
    <n v="1"/>
    <n v="0.5"/>
    <x v="7"/>
    <n v="0.99999999900000003"/>
    <n v="0.36"/>
    <n v="346.79456589344295"/>
    <n v="0.99999999900000003"/>
    <n v="12.716084155358466"/>
    <n v="69.343865792672375"/>
    <n v="25758.378975698044"/>
    <n v="14.628759715608394"/>
    <n v="657449.65423422598"/>
    <x v="2"/>
    <n v="3.5950810201144836E-6"/>
    <n v="1457583.7897569805"/>
    <n v="0.45105444973687653"/>
  </r>
  <r>
    <x v="0"/>
    <n v="1000"/>
    <n v="25"/>
    <x v="0"/>
    <n v="6.7332086872046437"/>
    <n v="0.58957527398298448"/>
    <n v="7.196043138341083"/>
    <n v="9.0542882582408364"/>
    <m/>
    <n v="0.99999999926332184"/>
    <n v="0.36"/>
    <n v="46.436984310214925"/>
    <n v="17.12839585212846"/>
    <n v="2.2370561668235043"/>
    <m/>
    <m/>
    <m/>
    <m/>
    <m/>
    <m/>
    <m/>
    <m/>
    <m/>
    <m/>
    <m/>
    <n v="0.24707145421258583"/>
    <m/>
    <m/>
    <m/>
    <m/>
    <m/>
    <m/>
    <m/>
    <m/>
    <m/>
    <m/>
    <m/>
    <n v="1475.2825484200441"/>
    <n v="8.1930480772367961E-2"/>
    <n v="0.25417069480566523"/>
    <n v="373.50910697099545"/>
    <n v="356.75446500829162"/>
    <x v="3"/>
    <n v="19.525354503836514"/>
    <n v="5.3287291164862003"/>
    <n v="0.4"/>
    <n v="1"/>
    <n v="0.5"/>
    <x v="8"/>
    <n v="0.99999999900000003"/>
    <n v="0.36"/>
    <n v="356.75446500829162"/>
    <n v="0.99999999900000003"/>
    <n v="10.687957191011977"/>
    <n v="55.015217635540992"/>
    <n v="19908.988519780381"/>
    <n v="12.203508022437848"/>
    <n v="654368.19054120348"/>
    <x v="2"/>
    <n v="2.9302498652858078E-6"/>
    <n v="1399089.8851978038"/>
    <n v="0.46770990017463293"/>
  </r>
  <r>
    <x v="0"/>
    <n v="1000"/>
    <n v="25"/>
    <x v="0"/>
    <n v="4.5561950929379442"/>
    <n v="0.4670801876213112"/>
    <n v="4.9032547700699718"/>
    <n v="6.1991270992916965"/>
    <m/>
    <n v="0.99999999928784944"/>
    <n v="0.36"/>
    <n v="31.820186272009717"/>
    <n v="11.736953952790472"/>
    <n v="1.586172216758464"/>
    <m/>
    <m/>
    <m/>
    <m/>
    <m/>
    <m/>
    <m/>
    <m/>
    <m/>
    <m/>
    <m/>
    <n v="0.25587025259406243"/>
    <m/>
    <m/>
    <m/>
    <m/>
    <m/>
    <m/>
    <m/>
    <m/>
    <m/>
    <m/>
    <m/>
    <n v="1163.5433729598567"/>
    <n v="9.525921240569063E-2"/>
    <n v="0.25026759880401078"/>
    <n v="381.79470648733087"/>
    <n v="370.4572645806245"/>
    <x v="3"/>
    <n v="19.525354503836514"/>
    <n v="5.3287291164862003"/>
    <n v="0.4"/>
    <n v="1"/>
    <n v="0.5"/>
    <x v="9"/>
    <n v="0.99999999900000003"/>
    <n v="0.36"/>
    <n v="370.4572645806245"/>
    <n v="0.99999999900000003"/>
    <n v="7.7968494644793642"/>
    <n v="36.616513623504638"/>
    <n v="12775.826975611581"/>
    <n v="8.7913197050439873"/>
    <n v="623254.63414365437"/>
    <x v="2"/>
    <n v="1.9862197435044215E-6"/>
    <n v="1327758.2697561157"/>
    <n v="0.46940369217819639"/>
  </r>
  <r>
    <x v="0"/>
    <n v="1000"/>
    <n v="25"/>
    <x v="0"/>
    <n v="19.90000890798159"/>
    <n v="1.2241662734798555"/>
    <n v="21.108989978260265"/>
    <n v="25.927322031203968"/>
    <m/>
    <n v="0.99999999919405813"/>
    <n v="0.36"/>
    <n v="132.13923804979436"/>
    <n v="48.739882887219245"/>
    <n v="5.7288641630443671"/>
    <m/>
    <m/>
    <m/>
    <m/>
    <m/>
    <m/>
    <m/>
    <m/>
    <m/>
    <m/>
    <m/>
    <n v="0.2209585762906629"/>
    <m/>
    <m/>
    <m/>
    <m/>
    <m/>
    <m/>
    <m/>
    <m/>
    <m/>
    <m/>
    <m/>
    <n v="3134.4131066135269"/>
    <n v="5.7992650275574549E-2"/>
    <n v="0.24720337042131516"/>
    <n v="319.499443417517"/>
    <n v="269.98102509134037"/>
    <x v="3"/>
    <n v="19.525354503836514"/>
    <n v="5.3287291164862003"/>
    <n v="0.4"/>
    <n v="1"/>
    <n v="0.5"/>
    <x v="0"/>
    <n v="0.99999999900000003"/>
    <n v="0.36"/>
    <n v="269.98102509134037"/>
    <n v="0.99999999900000003"/>
    <n v="27.125502413800564"/>
    <n v="203.55012308237636"/>
    <n v="90552.015758946072"/>
    <n v="35.2090503331235"/>
    <n v="336701.9372192485"/>
    <x v="3"/>
    <n v="7.8839827709550163E-6"/>
    <n v="2105520.1575894607"/>
    <n v="0.15991389871314612"/>
  </r>
  <r>
    <x v="1"/>
    <n v="1000"/>
    <n v="25"/>
    <x v="0"/>
    <n v="19.898303489643723"/>
    <n v="1.2276360469040921"/>
    <n v="21.109229010656435"/>
    <n v="25.927881236269315"/>
    <m/>
    <n v="0.99999999919420246"/>
    <n v="0.36"/>
    <n v="132.17148933832783"/>
    <n v="48.75177885430125"/>
    <n v="5.7310240042666294"/>
    <m/>
    <m/>
    <m/>
    <m/>
    <m/>
    <m/>
    <m/>
    <m/>
    <m/>
    <m/>
    <m/>
    <n v="0.22103711259868641"/>
    <m/>
    <m/>
    <m/>
    <m/>
    <m/>
    <m/>
    <m/>
    <m/>
    <m/>
    <m/>
    <m/>
    <n v="3125.4641720410705"/>
    <n v="5.8156365932851103E-2"/>
    <n v="0.21978878606976646"/>
    <n v="309.46624782154487"/>
    <n v="259.95216990775708"/>
    <x v="3"/>
    <n v="19.525354503836514"/>
    <n v="5.3287291164862003"/>
    <n v="0.4"/>
    <n v="1"/>
    <n v="0.5"/>
    <x v="0"/>
    <n v="0.99999999900000003"/>
    <n v="0.36"/>
    <n v="259.95216990775708"/>
    <n v="0.99999999900000003"/>
    <n v="27.142893061844976"/>
    <n v="203.6293588473136"/>
    <n v="90589.280852442331"/>
    <n v="35.213640176951372"/>
    <n v="336763.20109799266"/>
    <x v="3"/>
    <n v="7.8818368412762706E-6"/>
    <n v="2105892.8085244233"/>
    <n v="0.1599146925877766"/>
  </r>
  <r>
    <x v="2"/>
    <n v="1000"/>
    <n v="25"/>
    <x v="0"/>
    <n v="19.896162872358286"/>
    <n v="1.2322146633708844"/>
    <n v="21.109661229111627"/>
    <n v="25.928235866562442"/>
    <m/>
    <n v="0.99999999919435578"/>
    <n v="0.36"/>
    <n v="132.21487695002708"/>
    <n v="48.767782481567366"/>
    <n v="5.7333774878675463"/>
    <m/>
    <m/>
    <m/>
    <m/>
    <m/>
    <m/>
    <m/>
    <m/>
    <m/>
    <m/>
    <m/>
    <n v="0.22112485852774202"/>
    <m/>
    <m/>
    <m/>
    <m/>
    <m/>
    <m/>
    <m/>
    <m/>
    <m/>
    <m/>
    <m/>
    <n v="3113.7585956700432"/>
    <n v="5.8372071915184426E-2"/>
    <n v="0.19237985528000423"/>
    <n v="296.57876162033756"/>
    <n v="247.06985173627405"/>
    <x v="3"/>
    <n v="19.525354503836514"/>
    <n v="5.3287291164862003"/>
    <n v="0.4"/>
    <n v="1"/>
    <n v="0.5"/>
    <x v="0"/>
    <n v="0.99999999900000003"/>
    <n v="0.36"/>
    <n v="247.06985173627405"/>
    <n v="0.99999999900000003"/>
    <n v="27.165951944353591"/>
    <n v="203.73600089959282"/>
    <n v="90639.83056325822"/>
    <n v="35.220409127566619"/>
    <n v="336849.73666568694"/>
    <x v="3"/>
    <n v="7.8789858364168725E-6"/>
    <n v="2106398.3056325819"/>
    <n v="0.15991739822660278"/>
  </r>
  <r>
    <x v="3"/>
    <n v="1000"/>
    <n v="25"/>
    <x v="0"/>
    <n v="19.893386959634579"/>
    <n v="1.238563483123039"/>
    <n v="21.110465192823277"/>
    <n v="25.927881534410854"/>
    <m/>
    <n v="0.99999999919449267"/>
    <n v="0.36"/>
    <n v="132.27635226838322"/>
    <n v="48.790457803911849"/>
    <n v="5.735596334851401"/>
    <m/>
    <m/>
    <m/>
    <m/>
    <m/>
    <m/>
    <m/>
    <m/>
    <m/>
    <m/>
    <m/>
    <n v="0.22121345807752388"/>
    <m/>
    <m/>
    <m/>
    <m/>
    <m/>
    <m/>
    <m/>
    <m/>
    <m/>
    <m/>
    <m/>
    <n v="3097.7159792784937"/>
    <n v="5.8670591662001913E-2"/>
    <n v="0.16498034618436674"/>
    <n v="279.4196556151993"/>
    <n v="229.91781185279265"/>
    <x v="3"/>
    <n v="19.525354503836514"/>
    <n v="5.3287291164862003"/>
    <n v="0.4"/>
    <n v="1"/>
    <n v="0.5"/>
    <x v="0"/>
    <n v="0.99999999900000003"/>
    <n v="0.36"/>
    <n v="229.91781185279265"/>
    <n v="0.99999999900000003"/>
    <n v="27.198119805325106"/>
    <n v="203.88719160760076"/>
    <n v="90712.430568733194"/>
    <n v="35.231405043270577"/>
    <n v="336979.9373648747"/>
    <x v="3"/>
    <n v="7.8749950463996632E-6"/>
    <n v="2107124.3056873321"/>
    <n v="0.15992409012384001"/>
  </r>
  <r>
    <x v="4"/>
    <n v="1000"/>
    <n v="25"/>
    <x v="0"/>
    <n v="19.889647253340215"/>
    <n v="1.2480337569644824"/>
    <n v="21.112093623732999"/>
    <n v="25.92530613214047"/>
    <m/>
    <n v="0.99999999919451554"/>
    <n v="0.36"/>
    <n v="132.3711008895601"/>
    <n v="48.825406065821348"/>
    <n v="5.7364441382816196"/>
    <m/>
    <m/>
    <m/>
    <m/>
    <m/>
    <m/>
    <m/>
    <m/>
    <m/>
    <m/>
    <m/>
    <n v="0.22126813504315607"/>
    <m/>
    <m/>
    <m/>
    <m/>
    <m/>
    <m/>
    <m/>
    <m/>
    <m/>
    <m/>
    <m/>
    <n v="3074.1836122063523"/>
    <n v="5.9114637288341446E-2"/>
    <n v="0.13760088506554749"/>
    <n v="255.45407470405738"/>
    <n v="205.96154306554317"/>
    <x v="3"/>
    <n v="19.525354503836514"/>
    <n v="5.3287291164862003"/>
    <n v="0.4"/>
    <n v="1"/>
    <n v="0.5"/>
    <x v="0"/>
    <n v="0.99999999900000003"/>
    <n v="0.36"/>
    <n v="205.96154306554317"/>
    <n v="0.99999999900000003"/>
    <n v="27.246509593052746"/>
    <n v="204.12042310832743"/>
    <n v="90826.433288902932"/>
    <n v="35.251373655889488"/>
    <n v="337196.65315937944"/>
    <x v="3"/>
    <n v="7.8689444353329649E-6"/>
    <n v="2108264.3328890293"/>
    <n v="0.15994040590598377"/>
  </r>
  <r>
    <x v="5"/>
    <n v="1000"/>
    <n v="25"/>
    <x v="0"/>
    <n v="19.884533859941879"/>
    <n v="1.2640834608321743"/>
    <n v="21.116168366647575"/>
    <n v="25.914710760119945"/>
    <m/>
    <n v="0.99999999919397986"/>
    <n v="0.36"/>
    <n v="132.54169025779174"/>
    <n v="48.888328373775643"/>
    <n v="5.730380516745381"/>
    <m/>
    <m/>
    <m/>
    <m/>
    <m/>
    <m/>
    <m/>
    <m/>
    <m/>
    <m/>
    <m/>
    <n v="0.22112461797427593"/>
    <m/>
    <m/>
    <m/>
    <m/>
    <m/>
    <m/>
    <m/>
    <m/>
    <m/>
    <m/>
    <m/>
    <n v="3035.3928450645203"/>
    <n v="5.9863297113540749E-2"/>
    <n v="0.11027508504495628"/>
    <n v="219.68244366499042"/>
    <n v="170.20258669183124"/>
    <x v="3"/>
    <n v="19.525354503836514"/>
    <n v="5.3287291164862003"/>
    <n v="0.4"/>
    <n v="1"/>
    <n v="0.5"/>
    <x v="0"/>
    <n v="0.99999999900000003"/>
    <n v="0.36"/>
    <n v="170.20258669183124"/>
    <n v="0.99999999900000003"/>
    <n v="27.329759983983436"/>
    <n v="204.54098464000842"/>
    <n v="91037.849905296651"/>
    <n v="35.296125875834903"/>
    <n v="337634.66874001897"/>
    <x v="3"/>
    <n v="7.8583598462890579E-6"/>
    <n v="2110378.4990529665"/>
    <n v="0.15998773153324519"/>
  </r>
  <r>
    <x v="6"/>
    <n v="1000"/>
    <n v="25"/>
    <x v="0"/>
    <n v="19.882288953669168"/>
    <n v="1.3011878382135253"/>
    <n v="21.135850755333653"/>
    <n v="25.863724102182122"/>
    <m/>
    <n v="0.99999999918951343"/>
    <n v="0.36"/>
    <n v="133.02172000480323"/>
    <n v="49.065388526361851"/>
    <n v="5.6799512106118932"/>
    <m/>
    <m/>
    <m/>
    <m/>
    <m/>
    <m/>
    <m/>
    <m/>
    <m/>
    <m/>
    <m/>
    <n v="0.21961072536080278"/>
    <m/>
    <m/>
    <m/>
    <m/>
    <m/>
    <m/>
    <m/>
    <m/>
    <m/>
    <m/>
    <m/>
    <n v="2951.543678153716"/>
    <n v="6.1563068990027253E-2"/>
    <n v="8.3204218280179695E-2"/>
    <n v="161.04229611630902"/>
    <n v="111.56807284776828"/>
    <x v="3"/>
    <n v="19.525354503836514"/>
    <n v="5.3287291164862003"/>
    <n v="0.4"/>
    <n v="1"/>
    <n v="0.5"/>
    <x v="0"/>
    <n v="0.99999999899999992"/>
    <n v="0.36"/>
    <n v="111.56807284776828"/>
    <n v="0.99999999899999992"/>
    <n v="27.53186497996569"/>
    <n v="205.7288776978929"/>
    <n v="91659.118911180078"/>
    <n v="35.458275325196404"/>
    <n v="339177.13699474453"/>
    <x v="3"/>
    <n v="7.8317048151725966E-6"/>
    <n v="2116591.1891118009"/>
    <n v="0.16024688127756767"/>
  </r>
  <r>
    <x v="7"/>
    <n v="1000"/>
    <n v="25"/>
    <x v="0"/>
    <n v="20.846882446778803"/>
    <n v="1.7364365242397963"/>
    <n v="22.450598530466923"/>
    <n v="25.98794391159942"/>
    <m/>
    <n v="0.99999999903449011"/>
    <n v="0.36"/>
    <n v="150.755743118076"/>
    <n v="55.606626559946072"/>
    <n v="4.7733125551081272"/>
    <m/>
    <m/>
    <m/>
    <m/>
    <m/>
    <m/>
    <m/>
    <m/>
    <m/>
    <m/>
    <m/>
    <n v="0.18367411332520286"/>
    <m/>
    <m/>
    <m/>
    <m/>
    <m/>
    <m/>
    <m/>
    <m/>
    <m/>
    <m/>
    <m/>
    <n v="2409.9605455380256"/>
    <n v="7.7344776438068627E-2"/>
    <n v="6.4179550714277819E-2"/>
    <n v="75.178741284939179"/>
    <n v="23.304267983967442"/>
    <x v="3"/>
    <n v="19.525354503836514"/>
    <n v="5.3287291164862003"/>
    <n v="0.4"/>
    <n v="1"/>
    <n v="0.5"/>
    <x v="0"/>
    <n v="0.99999999900000003"/>
    <n v="0.36"/>
    <n v="23.304267983967442"/>
    <n v="0.99999999900000003"/>
    <n v="30.898617452309281"/>
    <n v="254.99598033066255"/>
    <n v="115896.78302772946"/>
    <n v="39.203148296625635"/>
    <n v="427590.1746481345"/>
    <x v="3"/>
    <n v="7.2096215936581161E-6"/>
    <n v="2358967.8302772949"/>
    <n v="0.18126155395593996"/>
  </r>
  <r>
    <x v="8"/>
    <n v="1000"/>
    <n v="25"/>
    <x v="0"/>
    <n v="14.151407198111507"/>
    <n v="1.0866482405997597"/>
    <n v="15.092877475711868"/>
    <n v="18.552990971934118"/>
    <m/>
    <n v="0.99999999916077431"/>
    <n v="0.36"/>
    <n v="99.122410932208922"/>
    <n v="36.561545015978702"/>
    <n v="4.2025106965548495"/>
    <m/>
    <m/>
    <m/>
    <m/>
    <m/>
    <m/>
    <m/>
    <m/>
    <m/>
    <m/>
    <m/>
    <n v="0.22651391912560959"/>
    <m/>
    <m/>
    <m/>
    <m/>
    <m/>
    <m/>
    <m/>
    <m/>
    <m/>
    <m/>
    <m/>
    <n v="2155.0337938795619"/>
    <n v="7.1997420130683665E-2"/>
    <n v="4.5501775500010486E-2"/>
    <n v="88.992197719663807"/>
    <n v="53.778445602137843"/>
    <x v="3"/>
    <n v="19.525354503836514"/>
    <n v="5.3287291164862003"/>
    <n v="0.4"/>
    <n v="1"/>
    <n v="0.5"/>
    <x v="0"/>
    <n v="0.99999999900000003"/>
    <n v="0.36"/>
    <n v="53.778445602137843"/>
    <n v="0.99999999900000003"/>
    <n v="20.806424788591841"/>
    <n v="134.65991236528512"/>
    <n v="55245.386820426975"/>
    <n v="24.598550554907032"/>
    <n v="643346.07188755681"/>
    <x v="3"/>
    <n v="5.5814422646240478E-6"/>
    <n v="1752453.8682042698"/>
    <n v="0.36711155914579946"/>
  </r>
  <r>
    <x v="9"/>
    <n v="1000"/>
    <n v="25"/>
    <x v="0"/>
    <n v="4.4260503010359908"/>
    <n v="0.49850071184193467"/>
    <n v="4.7871970327438955"/>
    <n v="6.0683043245368697"/>
    <m/>
    <n v="0.99999999929891448"/>
    <n v="0.36"/>
    <n v="31.236391136083174"/>
    <n v="11.521619681342155"/>
    <n v="1.5863058372546801"/>
    <m/>
    <m/>
    <m/>
    <m/>
    <m/>
    <m/>
    <m/>
    <m/>
    <m/>
    <m/>
    <m/>
    <n v="0.26140841863196213"/>
    <m/>
    <m/>
    <m/>
    <m/>
    <m/>
    <m/>
    <m/>
    <m/>
    <m/>
    <m/>
    <m/>
    <n v="1058.6767899024387"/>
    <n v="0.10413206484551299"/>
    <n v="3.5849387678900377E-2"/>
    <n v="276.53763180895277"/>
    <n v="265.52387127509854"/>
    <x v="3"/>
    <n v="19.525354503836514"/>
    <n v="5.3287291164862003"/>
    <n v="0.4"/>
    <n v="1"/>
    <n v="0.5"/>
    <x v="0"/>
    <n v="0.99999999900000003"/>
    <n v="0.36"/>
    <n v="265.52387127509854"/>
    <n v="0.99999999900000003"/>
    <n v="7.8842862886513929"/>
    <n v="35.905126555358031"/>
    <n v="12598.199133030186"/>
    <n v="8.8534237594169518"/>
    <n v="895003.53973893356"/>
    <x v="3"/>
    <n v="1.6047762700018241E-6"/>
    <n v="1325981.9913303019"/>
    <n v="0.67497412905360366"/>
  </r>
  <r>
    <x v="0"/>
    <n v="100"/>
    <n v="25"/>
    <x v="0"/>
    <n v="3.2082630601410176"/>
    <n v="0.73436801930708184"/>
    <n v="3.7922909239086655"/>
    <n v="1.8715662252685588"/>
    <m/>
    <n v="0.33047507254420821"/>
    <n v="0.18"/>
    <n v="18.830328685918531"/>
    <n v="9.3760972709967803"/>
    <n v="0.73608789341352865"/>
    <m/>
    <m/>
    <m/>
    <m/>
    <m/>
    <m/>
    <m/>
    <m/>
    <m/>
    <m/>
    <m/>
    <n v="0.39330047928595441"/>
    <m/>
    <m/>
    <m/>
    <m/>
    <m/>
    <m/>
    <m/>
    <m/>
    <m/>
    <m/>
    <m/>
    <n v="743.99743129185617"/>
    <n v="0.19364759562016359"/>
    <n v="0.19972783224271809"/>
    <n v="383.93682530814135"/>
    <n v="375.95348458509153"/>
    <x v="4"/>
    <n v="9.762677251918257"/>
    <n v="2.6643645582431001"/>
    <n v="0.2"/>
    <n v="1"/>
    <n v="0.3"/>
    <x v="0"/>
    <n v="0.22356623752598467"/>
    <n v="0.18"/>
    <n v="375.95348458509153"/>
    <n v="0.22356623752598467"/>
    <n v="8.850379255451676"/>
    <n v="70.156407587357947"/>
    <n v="25495.068785691295"/>
    <n v="16.581134058284757"/>
    <n v="18055.334186887296"/>
    <x v="0"/>
    <n v="1.9723178246621735E-6"/>
    <n v="1454950.6878569131"/>
    <n v="1.2409584969152539E-2"/>
  </r>
  <r>
    <x v="0"/>
    <n v="200"/>
    <n v="25"/>
    <x v="0"/>
    <n v="5.953673260359313"/>
    <n v="1.3053404570419094"/>
    <n v="6.9258375427299388"/>
    <n v="3.4589962249918238"/>
    <m/>
    <n v="0.33087360993175763"/>
    <n v="0.18"/>
    <n v="34.870968395126333"/>
    <n v="17.3631377901044"/>
    <n v="1.1448537084179029"/>
    <m/>
    <m/>
    <m/>
    <m/>
    <m/>
    <m/>
    <m/>
    <m/>
    <m/>
    <m/>
    <m/>
    <n v="0.33097859435235694"/>
    <m/>
    <m/>
    <m/>
    <m/>
    <m/>
    <m/>
    <m/>
    <m/>
    <m/>
    <m/>
    <m/>
    <n v="931.01736103743667"/>
    <n v="0.1884740219487428"/>
    <n v="0.22386770845752732"/>
    <n v="373.40539508185094"/>
    <n v="358.59050682848476"/>
    <x v="4"/>
    <n v="9.762677251918257"/>
    <n v="2.6643645582431001"/>
    <n v="0.2"/>
    <n v="1"/>
    <n v="0.3"/>
    <x v="0"/>
    <n v="0.23564259361705933"/>
    <n v="0.18"/>
    <n v="358.59050682848476"/>
    <n v="0.23564259361705933"/>
    <n v="15.843722137839494"/>
    <n v="102.12604931323079"/>
    <n v="40891.399203968089"/>
    <n v="25.671572226637565"/>
    <n v="50386.895928348313"/>
    <x v="0"/>
    <n v="3.3738903164541732E-6"/>
    <n v="1608913.9920396809"/>
    <n v="3.131733341722695E-2"/>
  </r>
  <r>
    <x v="0"/>
    <n v="300"/>
    <n v="25"/>
    <x v="0"/>
    <n v="8.3188512420197309"/>
    <n v="1.803745002987369"/>
    <n v="9.6157407240993038"/>
    <n v="4.8564941135985338"/>
    <m/>
    <n v="0.3323426667780438"/>
    <n v="0.18"/>
    <n v="49.032377091693441"/>
    <n v="24.414461622419974"/>
    <n v="1.442000564634494"/>
    <m/>
    <m/>
    <m/>
    <m/>
    <m/>
    <m/>
    <m/>
    <m/>
    <m/>
    <m/>
    <m/>
    <n v="0.2969221275480986"/>
    <m/>
    <m/>
    <m/>
    <m/>
    <m/>
    <m/>
    <m/>
    <m/>
    <m/>
    <m/>
    <m/>
    <n v="1065.2310760976561"/>
    <n v="0.18758253313411005"/>
    <n v="0.23721449364360439"/>
    <n v="364.93110048107712"/>
    <n v="344.23079378040956"/>
    <x v="4"/>
    <n v="9.762677251918257"/>
    <n v="2.6643645582431001"/>
    <n v="0.2"/>
    <n v="1"/>
    <n v="0.3"/>
    <x v="0"/>
    <n v="0.2434636516551372"/>
    <n v="0.18"/>
    <n v="344.23079378040956"/>
    <n v="0.2434636516551372"/>
    <n v="21.859228912288316"/>
    <n v="125.09532085045454"/>
    <n v="53273.467630327177"/>
    <n v="32.911471383900945"/>
    <n v="87456.086585217025"/>
    <x v="0"/>
    <n v="4.3478960614417966E-6"/>
    <n v="1732734.6763032717"/>
    <n v="5.0472866839487221E-2"/>
  </r>
  <r>
    <x v="0"/>
    <n v="400"/>
    <n v="25"/>
    <x v="0"/>
    <n v="10.383681258068568"/>
    <n v="2.2518134117124444"/>
    <n v="11.965594397918542"/>
    <n v="6.1051661420039522"/>
    <m/>
    <n v="0.3339592608732998"/>
    <n v="0.18"/>
    <n v="61.714152984080009"/>
    <n v="30.729038830247305"/>
    <n v="1.6766102759008827"/>
    <m/>
    <m/>
    <m/>
    <m/>
    <m/>
    <m/>
    <m/>
    <m/>
    <m/>
    <m/>
    <m/>
    <n v="0.27462156424633422"/>
    <m/>
    <m/>
    <m/>
    <m/>
    <m/>
    <m/>
    <m/>
    <m/>
    <m/>
    <m/>
    <m/>
    <n v="1170.2727227523872"/>
    <n v="0.18819068546265913"/>
    <n v="0.24609318425319426"/>
    <n v="357.80589661765981"/>
    <n v="331.96758480194575"/>
    <x v="4"/>
    <n v="9.762677251918257"/>
    <n v="2.6643645582431001"/>
    <n v="0.2"/>
    <n v="1"/>
    <n v="0.3"/>
    <x v="0"/>
    <n v="0.24909274267973713"/>
    <n v="0.18"/>
    <n v="331.96758480194575"/>
    <n v="0.24909274267973713"/>
    <n v="27.169340029285991"/>
    <n v="143.34708605170667"/>
    <n v="63817.578859437592"/>
    <n v="39.055487545794094"/>
    <n v="126326.81171632433"/>
    <x v="0"/>
    <n v="5.0556452428728538E-6"/>
    <n v="1838175.7885943758"/>
    <n v="6.8724010238936109E-2"/>
  </r>
  <r>
    <x v="0"/>
    <n v="600"/>
    <n v="25"/>
    <x v="0"/>
    <n v="13.807941022804908"/>
    <n v="3.0318397994593482"/>
    <n v="15.874590253828481"/>
    <n v="8.2431723625638398"/>
    <m/>
    <n v="0.33731254182093967"/>
    <n v="0.18"/>
    <n v="83.488979109523541"/>
    <n v="41.571275905156945"/>
    <n v="2.0282004935425064"/>
    <m/>
    <m/>
    <m/>
    <m/>
    <m/>
    <m/>
    <m/>
    <m/>
    <m/>
    <m/>
    <m/>
    <n v="0.24604610996047202"/>
    <m/>
    <m/>
    <m/>
    <m/>
    <m/>
    <m/>
    <m/>
    <m/>
    <m/>
    <m/>
    <m/>
    <n v="1326.1194465671401"/>
    <n v="0.19098696413459607"/>
    <n v="0.25750648324801512"/>
    <n v="346.37827813637642"/>
    <n v="312.01919979588655"/>
    <x v="4"/>
    <n v="9.762677251918257"/>
    <n v="2.6643645582431001"/>
    <n v="0.2"/>
    <n v="1"/>
    <n v="0.3"/>
    <x v="0"/>
    <n v="0.25707735615754707"/>
    <n v="0.18"/>
    <n v="312.01919979588655"/>
    <n v="0.25707735615754707"/>
    <n v="36.173792169087541"/>
    <n v="171.16300863659765"/>
    <n v="81014.804198283295"/>
    <n v="49.128723880962198"/>
    <n v="204082.83168839398"/>
    <x v="0"/>
    <n v="5.992986707515795E-6"/>
    <n v="2010148.0419828328"/>
    <n v="0.10152626942196973"/>
  </r>
  <r>
    <x v="0"/>
    <n v="800"/>
    <n v="25"/>
    <x v="0"/>
    <n v="16.473342270464162"/>
    <n v="3.6738360281109403"/>
    <n v="18.929623664585158"/>
    <n v="9.981076759794723"/>
    <m/>
    <n v="0.34069300162651861"/>
    <n v="0.18"/>
    <n v="101.24986303227719"/>
    <n v="50.414869559640103"/>
    <n v="2.2788918471284045"/>
    <m/>
    <m/>
    <m/>
    <m/>
    <m/>
    <m/>
    <m/>
    <m/>
    <m/>
    <m/>
    <m/>
    <n v="0.2283212424843904"/>
    <m/>
    <m/>
    <m/>
    <m/>
    <m/>
    <m/>
    <m/>
    <m/>
    <m/>
    <m/>
    <m/>
    <n v="1436.3557121902645"/>
    <n v="0.19407866174245214"/>
    <n v="0.26527706377955729"/>
    <n v="337.90136985173604"/>
    <n v="296.90978862606238"/>
    <x v="4"/>
    <n v="9.762677251918257"/>
    <n v="2.6643645582431001"/>
    <n v="0.2"/>
    <n v="1"/>
    <n v="0.3"/>
    <x v="0"/>
    <n v="0.26290397099775498"/>
    <n v="0.18"/>
    <n v="296.90978862606238"/>
    <n v="0.26290397099775498"/>
    <n v="43.37159790105121"/>
    <n v="190.99577708098161"/>
    <n v="93985.838426261515"/>
    <n v="56.749574945228133"/>
    <n v="276065.86366775166"/>
    <x v="0"/>
    <n v="6.5653245121769109E-6"/>
    <n v="2139858.3842626149"/>
    <n v="0.12901127742753998"/>
  </r>
  <r>
    <x v="0"/>
    <n v="1000"/>
    <n v="25"/>
    <x v="0"/>
    <n v="18.568520789117102"/>
    <n v="4.2050640567961484"/>
    <n v="21.341714371373868"/>
    <n v="11.395692879594842"/>
    <m/>
    <n v="0.34422027415484041"/>
    <n v="0.18"/>
    <n v="115.75197309491489"/>
    <n v="57.635837225683765"/>
    <n v="2.4564518793111603"/>
    <m/>
    <m/>
    <m/>
    <m/>
    <m/>
    <m/>
    <m/>
    <m/>
    <m/>
    <m/>
    <m/>
    <n v="0.21555967726277439"/>
    <m/>
    <m/>
    <m/>
    <m/>
    <m/>
    <m/>
    <m/>
    <m/>
    <m/>
    <m/>
    <m/>
    <n v="1513.3991112318897"/>
    <n v="0.19703497027570088"/>
    <n v="0.27059242657370502"/>
    <n v="331.37826869644732"/>
    <n v="285.17317157630902"/>
    <x v="4"/>
    <n v="9.762677251918257"/>
    <n v="2.6643645582431001"/>
    <n v="0.2"/>
    <n v="1"/>
    <n v="0.3"/>
    <x v="0"/>
    <n v="0.26762712531822413"/>
    <n v="0.18"/>
    <n v="285.17317157630902"/>
    <n v="0.26762712531822413"/>
    <n v="49.175243940167775"/>
    <n v="205.51427238461184"/>
    <n v="103951.08492061944"/>
    <n v="62.750349158865745"/>
    <n v="340102.58584035881"/>
    <x v="0"/>
    <n v="6.9366531120295693E-6"/>
    <n v="2239510.8492061943"/>
    <n v="0.15186467435998796"/>
  </r>
  <r>
    <x v="0"/>
    <n v="1300"/>
    <n v="25"/>
    <x v="0"/>
    <n v="20.872950640389835"/>
    <n v="4.8124772593426801"/>
    <n v="24.002191432301231"/>
    <n v="13.020337374677581"/>
    <m/>
    <n v="0.3492402321722714"/>
    <n v="0.18"/>
    <n v="132.46905970633048"/>
    <n v="65.95969777908573"/>
    <n v="2.636982271413375"/>
    <m/>
    <m/>
    <m/>
    <m/>
    <m/>
    <m/>
    <m/>
    <m/>
    <m/>
    <m/>
    <m/>
    <n v="0.20252795265826773"/>
    <m/>
    <m/>
    <m/>
    <m/>
    <m/>
    <m/>
    <m/>
    <m/>
    <m/>
    <m/>
    <m/>
    <n v="1591.0652141955125"/>
    <n v="0.20050157807116864"/>
    <n v="0.27651207677307565"/>
    <n v="324.51342131606214"/>
    <n v="272.57407848882502"/>
    <x v="4"/>
    <n v="9.762677251918257"/>
    <n v="2.6643645582431001"/>
    <n v="0.2"/>
    <n v="1"/>
    <n v="0.3"/>
    <x v="0"/>
    <n v="0.27341617240226213"/>
    <n v="0.18"/>
    <n v="272.57407848882502"/>
    <n v="0.27341617240226213"/>
    <n v="55.668915696297461"/>
    <n v="220.09724044603408"/>
    <n v="114321.77648730019"/>
    <n v="69.103624449989439"/>
    <n v="417757.28668028279"/>
    <x v="0"/>
    <n v="7.2893821399457738E-6"/>
    <n v="2343217.7648730017"/>
    <n v="0.17828359486807002"/>
  </r>
  <r>
    <x v="0"/>
    <n v="1600"/>
    <n v="25"/>
    <x v="0"/>
    <n v="22.517379675086325"/>
    <n v="5.2594798395334728"/>
    <n v="25.905303474887805"/>
    <n v="14.211835358232124"/>
    <m/>
    <n v="0.35065926399857911"/>
    <n v="0.18"/>
    <n v="144.77796926297324"/>
    <n v="72.088615400650582"/>
    <n v="2.7939699459261291"/>
    <m/>
    <m/>
    <m/>
    <m/>
    <m/>
    <m/>
    <m/>
    <m/>
    <m/>
    <m/>
    <m/>
    <n v="0.19659459003708046"/>
    <m/>
    <m/>
    <m/>
    <m/>
    <m/>
    <m/>
    <m/>
    <m/>
    <m/>
    <m/>
    <m/>
    <n v="1660.651399426519"/>
    <n v="0.20302714633827509"/>
    <n v="0.28040773263791369"/>
    <n v="319.69772208756211"/>
    <n v="263.66642646345383"/>
    <x v="4"/>
    <n v="9.762677251918257"/>
    <n v="2.6643645582431001"/>
    <n v="0.2"/>
    <n v="1"/>
    <n v="0.3"/>
    <x v="0"/>
    <n v="0.27620858529233727"/>
    <n v="0.18"/>
    <n v="263.66642646345383"/>
    <n v="0.27620858529233727"/>
    <n v="60.398656151128151"/>
    <n v="229.48079694562426"/>
    <n v="121474.44799030952"/>
    <n v="73.792755068272385"/>
    <n v="478306.53608896706"/>
    <x v="0"/>
    <n v="7.5061102051115624E-6"/>
    <n v="2414744.4799030954"/>
    <n v="0.19807749435590868"/>
  </r>
  <r>
    <x v="0"/>
    <n v="1900"/>
    <n v="25"/>
    <x v="0"/>
    <n v="23.777499563538679"/>
    <n v="5.6338795365103955"/>
    <n v="27.379610516929574"/>
    <n v="15.122024890951975"/>
    <m/>
    <n v="0.35329110056654589"/>
    <n v="0.18"/>
    <n v="154.21055052771266"/>
    <n v="76.78533636234657"/>
    <n v="2.8710193237104704"/>
    <m/>
    <m/>
    <m/>
    <m/>
    <m/>
    <m/>
    <m/>
    <m/>
    <m/>
    <m/>
    <m/>
    <n v="0.18985680452280565"/>
    <m/>
    <m/>
    <m/>
    <m/>
    <m/>
    <m/>
    <m/>
    <m/>
    <m/>
    <m/>
    <m/>
    <n v="1692.0058385953621"/>
    <n v="0.20576916289685024"/>
    <n v="0.28193469309584784"/>
    <n v="315.66309451864737"/>
    <n v="256.49617674012723"/>
    <x v="4"/>
    <n v="9.762677251918257"/>
    <n v="2.6643645582431001"/>
    <n v="0.2"/>
    <n v="1"/>
    <n v="0.3"/>
    <x v="0"/>
    <n v="0.27886263154849317"/>
    <n v="0.18"/>
    <n v="256.49617674012723"/>
    <n v="0.27886263154849317"/>
    <n v="64.20767467279947"/>
    <n v="236.17698046283047"/>
    <n v="127130.58843979271"/>
    <n v="77.891493591449702"/>
    <n v="528612.91679859161"/>
    <x v="0"/>
    <n v="7.6438168147464721E-6"/>
    <n v="2471305.8843979272"/>
    <n v="0.21390023798182115"/>
  </r>
  <r>
    <x v="0"/>
    <n v="1000"/>
    <n v="25"/>
    <x v="1"/>
    <n v="15.136814480432529"/>
    <n v="6.7494200347059463"/>
    <n v="19.251634529741388"/>
    <n v="11.829997798454743"/>
    <m/>
    <n v="0.39562380293559685"/>
    <n v="0.18"/>
    <n v="121.03216636902"/>
    <n v="60.264979104906224"/>
    <n v="1.7196493904897849"/>
    <m/>
    <m/>
    <m/>
    <m/>
    <m/>
    <m/>
    <m/>
    <m/>
    <m/>
    <m/>
    <m/>
    <n v="0.14536345820067767"/>
    <m/>
    <m/>
    <m/>
    <m/>
    <m/>
    <m/>
    <m/>
    <m/>
    <m/>
    <m/>
    <m/>
    <n v="966.45228564932165"/>
    <n v="0.35058945380865864"/>
    <n v="0.27172381404077267"/>
    <n v="144.29338284585825"/>
    <n v="106.62759040443082"/>
    <x v="4"/>
    <n v="9.762677251918257"/>
    <n v="2.6643645582431001"/>
    <n v="0.2"/>
    <n v="1"/>
    <n v="0.3"/>
    <x v="0"/>
    <n v="0.28001714285043428"/>
    <n v="0.18"/>
    <n v="106.62759040443082"/>
    <n v="0.28001714285043428"/>
    <n v="62.987567835605134"/>
    <n v="221.10164152274322"/>
    <n v="118959.25204237267"/>
    <n v="74.942371259611264"/>
    <n v="290065.53833823337"/>
    <x v="1"/>
    <n v="5.3982704634606383E-6"/>
    <n v="2389592.5204237266"/>
    <n v="0.12138702973793977"/>
  </r>
  <r>
    <x v="0"/>
    <n v="1000"/>
    <n v="25"/>
    <x v="2"/>
    <n v="17.141802315518035"/>
    <n v="5.1395452557579571"/>
    <n v="20.405977667153287"/>
    <n v="11.571998726938723"/>
    <m/>
    <n v="0.36178244887188443"/>
    <n v="0.18"/>
    <n v="117.75959078719619"/>
    <n v="58.635480889890218"/>
    <n v="2.1596159988162889"/>
    <m/>
    <m/>
    <m/>
    <m/>
    <m/>
    <m/>
    <m/>
    <m/>
    <m/>
    <m/>
    <m/>
    <n v="0.18662428589703081"/>
    <m/>
    <m/>
    <m/>
    <m/>
    <m/>
    <m/>
    <m/>
    <m/>
    <m/>
    <m/>
    <m/>
    <n v="1274.6535907228977"/>
    <n v="0.25186469080728652"/>
    <n v="0.27427107554620161"/>
    <n v="237.50051010161857"/>
    <n v="194.84559131475442"/>
    <x v="4"/>
    <n v="9.762677251918257"/>
    <n v="2.6643645582431001"/>
    <n v="0.2"/>
    <n v="1"/>
    <n v="0.3"/>
    <x v="0"/>
    <n v="0.27110434604553446"/>
    <n v="0.18"/>
    <n v="194.84559131475442"/>
    <n v="0.27110434604553446"/>
    <n v="54.194233832325878"/>
    <n v="211.30776008366556"/>
    <n v="108856.21323616526"/>
    <n v="66.453329418842927"/>
    <n v="318367.24096037447"/>
    <x v="1"/>
    <n v="6.3184853530376272E-6"/>
    <n v="2288562.1323616523"/>
    <n v="0.13911234327373909"/>
  </r>
  <r>
    <x v="0"/>
    <n v="1000"/>
    <n v="25"/>
    <x v="0"/>
    <n v="18.563062638221957"/>
    <n v="4.2027052683706634"/>
    <n v="21.334789147701631"/>
    <n v="11.393490575771731"/>
    <m/>
    <n v="0.34416932775988374"/>
    <n v="0.18"/>
    <n v="115.7297690076167"/>
    <n v="57.624781248605828"/>
    <n v="2.4576602538941614"/>
    <m/>
    <m/>
    <m/>
    <m/>
    <m/>
    <m/>
    <m/>
    <m/>
    <m/>
    <m/>
    <m/>
    <n v="0.21570740218281995"/>
    <m/>
    <m/>
    <m/>
    <m/>
    <m/>
    <m/>
    <m/>
    <m/>
    <m/>
    <m/>
    <m/>
    <n v="1514.0606512223599"/>
    <n v="0.19698836671293821"/>
    <n v="0.27068563449912952"/>
    <n v="331.42206208109042"/>
    <n v="285.23052427528063"/>
    <x v="4"/>
    <n v="9.762677251918257"/>
    <n v="2.6643645582431001"/>
    <n v="0.2"/>
    <n v="1"/>
    <n v="0.3"/>
    <x v="0"/>
    <n v="0.26761453769992066"/>
    <n v="0.18"/>
    <n v="285.23052427528063"/>
    <n v="0.26761453769992066"/>
    <n v="49.153684719937409"/>
    <n v="205.45106613931253"/>
    <n v="103890.00094625825"/>
    <n v="62.698483978424193"/>
    <n v="339850.65050001419"/>
    <x v="1"/>
    <n v="6.9369698333903932E-6"/>
    <n v="2238900.0094625824"/>
    <n v="0.15179358125135331"/>
  </r>
  <r>
    <x v="0"/>
    <n v="1000"/>
    <n v="25"/>
    <x v="3"/>
    <n v="19.51454931068843"/>
    <n v="3.5292470947015615"/>
    <n v="21.932167509807407"/>
    <n v="11.277385640880778"/>
    <m/>
    <n v="0.33558118396744757"/>
    <n v="0.18"/>
    <n v="114.44259337962083"/>
    <n v="56.983863923462657"/>
    <n v="2.6744947960392178"/>
    <m/>
    <m/>
    <m/>
    <m/>
    <m/>
    <m/>
    <m/>
    <m/>
    <m/>
    <m/>
    <m/>
    <n v="0.23715556789546272"/>
    <m/>
    <m/>
    <m/>
    <m/>
    <m/>
    <m/>
    <m/>
    <m/>
    <m/>
    <m/>
    <m/>
    <n v="1715.9194897804098"/>
    <n v="0.16091647545202215"/>
    <n v="0.26817214721995741"/>
    <n v="427.23125979715405"/>
    <n v="378.67209176080166"/>
    <x v="4"/>
    <n v="9.762677251918257"/>
    <n v="2.6643645582431001"/>
    <n v="0.2"/>
    <n v="1"/>
    <n v="0.3"/>
    <x v="0"/>
    <n v="0.26791283168636193"/>
    <n v="0.18"/>
    <n v="378.67209176080166"/>
    <n v="0.26791283168636193"/>
    <n v="45.373334089774445"/>
    <n v="201.81852950606802"/>
    <n v="100160.75519271549"/>
    <n v="59.379331201210078"/>
    <n v="352288.58069659129"/>
    <x v="1"/>
    <n v="7.3767168937879382E-6"/>
    <n v="2201607.5519271549"/>
    <n v="0.16001424976409581"/>
  </r>
  <r>
    <x v="0"/>
    <n v="1000"/>
    <n v="25"/>
    <x v="4"/>
    <n v="20.206571263696475"/>
    <n v="3.0404804874214952"/>
    <n v="22.367363823761494"/>
    <n v="11.197786086083546"/>
    <m/>
    <n v="0.33051312568748392"/>
    <n v="0.18"/>
    <n v="113.57060781216306"/>
    <n v="56.549680238421438"/>
    <n v="2.8352708903241588"/>
    <m/>
    <m/>
    <m/>
    <m/>
    <m/>
    <m/>
    <m/>
    <m/>
    <m/>
    <m/>
    <m/>
    <n v="0.25319923675339667"/>
    <m/>
    <m/>
    <m/>
    <m/>
    <m/>
    <m/>
    <m/>
    <m/>
    <m/>
    <m/>
    <m/>
    <n v="1891.4336128347804"/>
    <n v="0.13593378778913165"/>
    <n v="0.26615373336264964"/>
    <n v="524.07932434987163"/>
    <n v="473.79816767270063"/>
    <x v="4"/>
    <n v="9.762677251918257"/>
    <n v="2.6643645582431001"/>
    <n v="0.2"/>
    <n v="1"/>
    <n v="0.3"/>
    <x v="0"/>
    <n v="0.26908046225048099"/>
    <n v="0.18"/>
    <n v="473.79816767270063"/>
    <n v="0.26908046225048099"/>
    <n v="42.599493203623297"/>
    <n v="199.39225535314503"/>
    <n v="97457.78766982333"/>
    <n v="56.828671188563639"/>
    <n v="360702.89823123452"/>
    <x v="1"/>
    <n v="7.7037570286783601E-6"/>
    <n v="2174577.8766982332"/>
    <n v="0.16587260548190033"/>
  </r>
  <r>
    <x v="0"/>
    <n v="1000"/>
    <n v="25"/>
    <x v="5"/>
    <n v="20.716561929765756"/>
    <n v="2.6683208574015711"/>
    <n v="22.681436347062444"/>
    <n v="11.136047830903964"/>
    <m/>
    <n v="0.32694474489125369"/>
    <n v="0.18"/>
    <n v="112.90244999064407"/>
    <n v="56.216987547208682"/>
    <n v="2.963687738281843"/>
    <m/>
    <m/>
    <m/>
    <m/>
    <m/>
    <m/>
    <m/>
    <m/>
    <m/>
    <m/>
    <m/>
    <n v="0.26613460926929827"/>
    <m/>
    <m/>
    <m/>
    <m/>
    <m/>
    <m/>
    <m/>
    <m/>
    <m/>
    <m/>
    <m/>
    <n v="2052.0457248546745"/>
    <n v="0.11764338098222581"/>
    <n v="0.26475546531115673"/>
    <n v="621.75208959173551"/>
    <n v="570.20185571375282"/>
    <x v="4"/>
    <n v="9.762677251918257"/>
    <n v="2.6643645582431001"/>
    <n v="0.2"/>
    <n v="1"/>
    <n v="0.3"/>
    <x v="0"/>
    <n v="0.27033936127591157"/>
    <n v="0.18"/>
    <n v="570.20185571375282"/>
    <n v="0.27033936127591157"/>
    <n v="40.457241827289579"/>
    <n v="197.5515422835513"/>
    <n v="95308.245124344801"/>
    <n v="54.734053154810461"/>
    <n v="366114.29390065465"/>
    <x v="1"/>
    <n v="7.9556585972156236E-6"/>
    <n v="2153082.4512434481"/>
    <n v="0.17004192927642708"/>
  </r>
  <r>
    <x v="0"/>
    <n v="1000"/>
    <n v="25"/>
    <x v="6"/>
    <n v="21.117405591423214"/>
    <n v="2.3787973720912894"/>
    <n v="22.930023442075615"/>
    <n v="11.08980729830073"/>
    <m/>
    <n v="0.32405138848406018"/>
    <n v="0.18"/>
    <n v="112.4039804149682"/>
    <n v="55.968786928614882"/>
    <n v="3.0702578705566204"/>
    <m/>
    <m/>
    <m/>
    <m/>
    <m/>
    <m/>
    <m/>
    <m/>
    <m/>
    <m/>
    <m/>
    <n v="0.27685403253373664"/>
    <m/>
    <m/>
    <m/>
    <m/>
    <m/>
    <m/>
    <m/>
    <m/>
    <m/>
    <m/>
    <m/>
    <n v="2202.4559182408375"/>
    <n v="0.10374160227530765"/>
    <n v="0.26355449381089785"/>
    <n v="719.87461383764116"/>
    <n v="667.32698296252511"/>
    <x v="4"/>
    <n v="9.762677251918257"/>
    <n v="2.6643645582431001"/>
    <n v="0.2"/>
    <n v="1"/>
    <n v="0.3"/>
    <x v="0"/>
    <n v="0.27138193996012527"/>
    <n v="0.18"/>
    <n v="667.32698296252511"/>
    <n v="0.27138193996012527"/>
    <n v="38.78876738597743"/>
    <n v="196.1885257877347"/>
    <n v="93665.531164167551"/>
    <n v="53.099140054967172"/>
    <n v="370236.71716324601"/>
    <x v="1"/>
    <n v="8.1548187221815439E-6"/>
    <n v="2136655.3116416754"/>
    <n v="0.17327863560677867"/>
  </r>
  <r>
    <x v="0"/>
    <n v="1000"/>
    <n v="25"/>
    <x v="7"/>
    <n v="21.43773284684961"/>
    <n v="2.1467287961027557"/>
    <n v="23.12831911825895"/>
    <n v="11.053183376093484"/>
    <m/>
    <n v="0.32153901027823639"/>
    <n v="0.18"/>
    <n v="112.01081163943817"/>
    <n v="55.773018243703667"/>
    <n v="3.1615099667122024"/>
    <m/>
    <m/>
    <m/>
    <m/>
    <m/>
    <m/>
    <m/>
    <m/>
    <m/>
    <m/>
    <m/>
    <n v="0.28602709817970756"/>
    <m/>
    <m/>
    <m/>
    <m/>
    <m/>
    <m/>
    <m/>
    <m/>
    <m/>
    <m/>
    <m/>
    <n v="2345.7647132780057"/>
    <n v="9.2818193363995605E-2"/>
    <n v="0.2625707710921541"/>
    <n v="818.35445827545811"/>
    <n v="765.00972992190452"/>
    <x v="4"/>
    <n v="9.762677251918257"/>
    <n v="2.6643645582431001"/>
    <n v="0.2"/>
    <n v="1"/>
    <n v="0.3"/>
    <x v="0"/>
    <n v="0.27219214940990705"/>
    <n v="0.18"/>
    <n v="765.00972992190452"/>
    <n v="0.27219214940990705"/>
    <n v="37.447244585009081"/>
    <n v="195.11952169762168"/>
    <n v="92348.668614414812"/>
    <n v="51.769227645563817"/>
    <n v="373356.94046910258"/>
    <x v="1"/>
    <n v="8.3161519052781474E-6"/>
    <n v="2123486.686144148"/>
    <n v="0.17582259540654266"/>
  </r>
  <r>
    <x v="0"/>
    <n v="1000"/>
    <n v="25"/>
    <x v="8"/>
    <n v="21.698267489986577"/>
    <n v="1.9564679125970963"/>
    <n v="23.288778511994977"/>
    <n v="11.02320866236172"/>
    <m/>
    <n v="0.31926308957735672"/>
    <n v="0.18"/>
    <n v="111.69019883695907"/>
    <n v="55.61337701425348"/>
    <n v="3.241440790286644"/>
    <m/>
    <m/>
    <m/>
    <m/>
    <m/>
    <m/>
    <m/>
    <m/>
    <m/>
    <m/>
    <m/>
    <n v="0.29405601305130025"/>
    <m/>
    <m/>
    <m/>
    <m/>
    <m/>
    <m/>
    <m/>
    <m/>
    <m/>
    <m/>
    <m/>
    <n v="2483.8386552363577"/>
    <n v="8.4009039443155409E-2"/>
    <n v="0.26177588648396533"/>
    <n v="917.11128255002336"/>
    <n v="863.11826009303525"/>
    <x v="4"/>
    <n v="9.762677251918257"/>
    <n v="2.6643645582431001"/>
    <n v="0.2"/>
    <n v="1"/>
    <n v="0.3"/>
    <x v="0"/>
    <n v="0.27278744104062114"/>
    <n v="0.18"/>
    <n v="863.11826009303525"/>
    <n v="0.27278744104062114"/>
    <n v="36.343514109157304"/>
    <n v="194.2517188084764"/>
    <n v="91261.621230116129"/>
    <n v="50.659107475463806"/>
    <n v="375738.89579399861"/>
    <x v="1"/>
    <n v="8.4494578695503034E-6"/>
    <n v="2112616.2123011611"/>
    <n v="0.17785478195527341"/>
  </r>
  <r>
    <x v="0"/>
    <n v="1000"/>
    <n v="25"/>
    <x v="9"/>
    <n v="21.917536263266477"/>
    <n v="1.7980775809651934"/>
    <n v="23.424817708703038"/>
    <n v="10.998935373646148"/>
    <m/>
    <n v="0.31713622335207126"/>
    <n v="0.18"/>
    <n v="111.43087132228318"/>
    <n v="55.484251280804912"/>
    <n v="3.3124469651071493"/>
    <m/>
    <m/>
    <m/>
    <m/>
    <m/>
    <m/>
    <m/>
    <m/>
    <m/>
    <m/>
    <m/>
    <n v="0.30116068988312211"/>
    <m/>
    <m/>
    <m/>
    <m/>
    <m/>
    <m/>
    <m/>
    <m/>
    <m/>
    <m/>
    <m/>
    <n v="2617.7286519231984"/>
    <n v="7.675951221157859E-2"/>
    <n v="0.26105926708804178"/>
    <n v="1016.0438297872229"/>
    <n v="961.50516936962538"/>
    <x v="4"/>
    <n v="9.762677251918257"/>
    <n v="2.6643645582431001"/>
    <n v="0.2"/>
    <n v="1"/>
    <n v="0.3"/>
    <x v="0"/>
    <n v="0.27318198423515222"/>
    <n v="0.18"/>
    <n v="961.50516936962538"/>
    <n v="0.27318198423515222"/>
    <n v="35.4260520041897"/>
    <n v="193.55235480749275"/>
    <n v="90374.005050191219"/>
    <n v="49.744707174093378"/>
    <n v="377744.59423194977"/>
    <x v="1"/>
    <n v="8.5613902825325135E-6"/>
    <n v="2103740.0505019119"/>
    <n v="0.17955858859169752"/>
  </r>
  <r>
    <x v="0"/>
    <n v="1000"/>
    <n v="25"/>
    <x v="0"/>
    <n v="18.56076220726111"/>
    <n v="4.2017120888906687"/>
    <n v="21.331871000302296"/>
    <n v="11.392563377709743"/>
    <m/>
    <n v="0.34414823171856623"/>
    <n v="0.18"/>
    <n v="115.72042072606118"/>
    <n v="57.620126502603078"/>
    <n v="2.4581648205935362"/>
    <m/>
    <m/>
    <m/>
    <m/>
    <m/>
    <m/>
    <m/>
    <m/>
    <m/>
    <m/>
    <m/>
    <n v="0.21576924692849092"/>
    <m/>
    <m/>
    <m/>
    <m/>
    <m/>
    <m/>
    <m/>
    <m/>
    <m/>
    <m/>
    <m/>
    <n v="1514.3371102573037"/>
    <n v="0.19696875575663877"/>
    <n v="0.27072487759598918"/>
    <n v="331.44050014140225"/>
    <n v="285.2546999605355"/>
    <x v="4"/>
    <n v="9.762677251918257"/>
    <n v="2.6643645582431001"/>
    <n v="0.2"/>
    <n v="1"/>
    <n v="0.3"/>
    <x v="0"/>
    <n v="0.2676094478029985"/>
    <n v="0.18"/>
    <n v="285.2546999605355"/>
    <n v="0.2676094478029985"/>
    <n v="49.144601276580701"/>
    <n v="205.42446086696839"/>
    <n v="103864.28112605392"/>
    <n v="62.676638571372308"/>
    <n v="339744.54458272608"/>
    <x v="2"/>
    <n v="6.9371024650033754E-6"/>
    <n v="2238642.8112605391"/>
    <n v="0.15176362342120228"/>
  </r>
  <r>
    <x v="0"/>
    <n v="1000"/>
    <n v="25"/>
    <x v="0"/>
    <n v="17.922075698796945"/>
    <n v="4.0197329043812795"/>
    <n v="20.567070422224791"/>
    <n v="10.997893804786292"/>
    <m/>
    <n v="0.34740523080344798"/>
    <n v="0.18"/>
    <n v="111.74985544645591"/>
    <n v="55.643081550102544"/>
    <n v="2.3749323885266538"/>
    <m/>
    <m/>
    <m/>
    <m/>
    <m/>
    <m/>
    <m/>
    <m/>
    <m/>
    <m/>
    <m/>
    <n v="0.21594429176003513"/>
    <m/>
    <m/>
    <m/>
    <m/>
    <m/>
    <m/>
    <m/>
    <m/>
    <m/>
    <m/>
    <m/>
    <n v="1477.0126442268086"/>
    <n v="0.19544508876857605"/>
    <n v="0.27213608426282659"/>
    <n v="334.14296473271816"/>
    <n v="289.54644996348304"/>
    <x v="4"/>
    <n v="9.762677251918257"/>
    <n v="2.6643645582431001"/>
    <n v="0.2"/>
    <n v="1"/>
    <n v="0.3"/>
    <x v="1"/>
    <n v="0.26963405336578306"/>
    <n v="0.18"/>
    <n v="289.54644996348304"/>
    <n v="0.26963405336578306"/>
    <n v="47.183351906723601"/>
    <n v="194.41292587556325"/>
    <n v="97304.589796102475"/>
    <n v="59.638382619319593"/>
    <n v="386794.16824502248"/>
    <x v="2"/>
    <n v="6.730734457919011E-6"/>
    <n v="2173045.8979610247"/>
    <n v="0.1779963177988797"/>
  </r>
  <r>
    <x v="0"/>
    <n v="1000"/>
    <n v="25"/>
    <x v="0"/>
    <n v="15.62248168017133"/>
    <n v="3.4038461616989761"/>
    <n v="17.845948497721778"/>
    <n v="9.5872726713254117"/>
    <m/>
    <n v="0.3593704367544126"/>
    <n v="0.18"/>
    <n v="97.529116509780536"/>
    <n v="48.562215689517281"/>
    <n v="2.081505903485013"/>
    <m/>
    <m/>
    <m/>
    <m/>
    <m/>
    <m/>
    <m/>
    <m/>
    <m/>
    <m/>
    <m/>
    <n v="0.21711136992177058"/>
    <m/>
    <m/>
    <m/>
    <m/>
    <m/>
    <m/>
    <m/>
    <m/>
    <m/>
    <m/>
    <m/>
    <n v="1345.4240345787698"/>
    <n v="0.190734953770236"/>
    <n v="0.27672642112627333"/>
    <n v="343.54539181120469"/>
    <n v="304.67108283626339"/>
    <x v="4"/>
    <n v="9.762677251918257"/>
    <n v="2.6643645582431001"/>
    <n v="0.2"/>
    <n v="1"/>
    <n v="0.3"/>
    <x v="2"/>
    <n v="0.27691430729920014"/>
    <n v="0.18"/>
    <n v="304.67108283626339"/>
    <n v="0.27691430729920014"/>
    <n v="40.419979348609161"/>
    <n v="159.0336899228131"/>
    <n v="76526.687852295596"/>
    <n v="49.583804757570803"/>
    <n v="507799.65130552108"/>
    <x v="2"/>
    <n v="6.0212270976103385E-6"/>
    <n v="1965266.8785229558"/>
    <n v="0.25838712128867214"/>
  </r>
  <r>
    <x v="0"/>
    <n v="1000"/>
    <n v="25"/>
    <x v="0"/>
    <n v="13.509148366034944"/>
    <n v="2.8840939991939223"/>
    <n v="15.381983746790441"/>
    <n v="8.2988707512981534"/>
    <m/>
    <n v="0.37105932876145448"/>
    <n v="0.18"/>
    <n v="84.504294537124366"/>
    <n v="42.076827155414627"/>
    <n v="1.81523705794738"/>
    <m/>
    <m/>
    <m/>
    <m/>
    <m/>
    <m/>
    <m/>
    <m/>
    <m/>
    <m/>
    <m/>
    <n v="0.21873301950912188"/>
    <m/>
    <m/>
    <m/>
    <m/>
    <m/>
    <m/>
    <m/>
    <m/>
    <m/>
    <m/>
    <m/>
    <n v="1225.8040734585938"/>
    <n v="0.18749818272273944"/>
    <n v="0.28027931551518909"/>
    <n v="351.80112260084763"/>
    <n v="318.18554448490374"/>
    <x v="4"/>
    <n v="9.762677251918257"/>
    <n v="2.6643645582431001"/>
    <n v="0.2"/>
    <n v="1"/>
    <n v="0.3"/>
    <x v="3"/>
    <n v="0.2837914108462401"/>
    <n v="0.18"/>
    <n v="318.18554448490374"/>
    <n v="0.2837914108462401"/>
    <n v="34.550251558238102"/>
    <n v="130.97295405389829"/>
    <n v="60564.978982039735"/>
    <n v="41.342398409515802"/>
    <n v="577513.69585019851"/>
    <x v="2"/>
    <n v="5.3554904454709264E-6"/>
    <n v="1805649.7898203973"/>
    <n v="0.319837046533615"/>
  </r>
  <r>
    <x v="0"/>
    <n v="1000"/>
    <n v="25"/>
    <x v="0"/>
    <n v="12.334355837249264"/>
    <n v="2.6109097395745255"/>
    <n v="14.02408576295969"/>
    <n v="7.5631704377752529"/>
    <m/>
    <n v="0.3741209685192754"/>
    <n v="0.18"/>
    <n v="77.053350049495577"/>
    <n v="38.366813302653398"/>
    <n v="1.6897882166783873"/>
    <m/>
    <m/>
    <m/>
    <m/>
    <m/>
    <m/>
    <m/>
    <m/>
    <m/>
    <m/>
    <m/>
    <n v="0.22342326284735262"/>
    <m/>
    <m/>
    <m/>
    <m/>
    <m/>
    <m/>
    <m/>
    <m/>
    <m/>
    <m/>
    <m/>
    <n v="1170.3209222413957"/>
    <n v="0.1861732581863155"/>
    <n v="0.28108709698190265"/>
    <n v="356.11909628835298"/>
    <n v="325.42681390220156"/>
    <x v="4"/>
    <n v="9.762677251918257"/>
    <n v="2.6643645582431001"/>
    <n v="0.2"/>
    <n v="1"/>
    <n v="0.3"/>
    <x v="4"/>
    <n v="0.28524707347543338"/>
    <n v="0.18"/>
    <n v="325.42681390220156"/>
    <n v="0.28524707347543338"/>
    <n v="31.419571744626214"/>
    <n v="116.35406944658718"/>
    <n v="52793.98707619316"/>
    <n v="37.355952922677965"/>
    <n v="604400.85696613113"/>
    <x v="2"/>
    <n v="4.9674705846853575E-6"/>
    <n v="1727939.8707619316"/>
    <n v="0.34978118578838152"/>
  </r>
  <r>
    <x v="0"/>
    <n v="1000"/>
    <n v="25"/>
    <x v="0"/>
    <n v="10.915702741574606"/>
    <n v="2.2963875292420743"/>
    <n v="12.395216582827953"/>
    <n v="6.6616237260791333"/>
    <m/>
    <n v="0.37673264040061705"/>
    <n v="0.18"/>
    <n v="67.910230568652295"/>
    <n v="33.814222689785382"/>
    <n v="1.533807640015258"/>
    <m/>
    <m/>
    <m/>
    <m/>
    <m/>
    <m/>
    <m/>
    <m/>
    <m/>
    <m/>
    <m/>
    <n v="0.23024531301740442"/>
    <m/>
    <m/>
    <m/>
    <m/>
    <m/>
    <m/>
    <m/>
    <m/>
    <m/>
    <m/>
    <m/>
    <n v="1100.8444372803795"/>
    <n v="0.185264010023305"/>
    <n v="0.28063035708523643"/>
    <n v="361.10291539749863"/>
    <n v="333.94061727274942"/>
    <x v="4"/>
    <n v="9.762677251918257"/>
    <n v="2.6643645582431001"/>
    <n v="0.2"/>
    <n v="1"/>
    <n v="0.3"/>
    <x v="5"/>
    <n v="0.28597982527117838"/>
    <n v="0.18"/>
    <n v="333.94061727274942"/>
    <n v="0.28597982527117838"/>
    <n v="27.748625228022128"/>
    <n v="99.574270242825534"/>
    <n v="44155.533330341888"/>
    <n v="32.953760410098489"/>
    <n v="633508.92293739377"/>
    <x v="2"/>
    <n v="4.4680287007593428E-6"/>
    <n v="1641555.3333034189"/>
    <n v="0.38591993220389259"/>
  </r>
  <r>
    <x v="0"/>
    <n v="1000"/>
    <n v="25"/>
    <x v="0"/>
    <n v="9.0294944660265095"/>
    <n v="1.889533422953064"/>
    <n v="10.240292086055625"/>
    <n v="5.4875098266697488"/>
    <m/>
    <n v="0.38046074389109491"/>
    <n v="0.18"/>
    <n v="55.982865811914017"/>
    <n v="27.87528588145096"/>
    <n v="1.3272595533636036"/>
    <m/>
    <m/>
    <m/>
    <m/>
    <m/>
    <m/>
    <m/>
    <m/>
    <m/>
    <m/>
    <m/>
    <n v="0.24186918935671203"/>
    <m/>
    <m/>
    <m/>
    <m/>
    <m/>
    <m/>
    <m/>
    <m/>
    <m/>
    <m/>
    <m/>
    <n v="1008.9810446322269"/>
    <n v="0.18451948509614027"/>
    <n v="0.280592727584075"/>
    <n v="367.81992696756203"/>
    <n v="345.35126795042555"/>
    <x v="4"/>
    <n v="9.762677251918257"/>
    <n v="2.6643645582431001"/>
    <n v="0.2"/>
    <n v="1"/>
    <n v="0.3"/>
    <x v="6"/>
    <n v="0.28718503804928391"/>
    <n v="0.18"/>
    <n v="345.35126795042555"/>
    <n v="0.28718503804928391"/>
    <n v="22.938676038203766"/>
    <n v="79.283462762593558"/>
    <n v="33974.590983151647"/>
    <n v="27.128900658439569"/>
    <n v="651608.33862182649"/>
    <x v="2"/>
    <n v="3.7817435181135353E-6"/>
    <n v="1539745.9098315164"/>
    <n v="0.42319212180477711"/>
  </r>
  <r>
    <x v="0"/>
    <n v="1000"/>
    <n v="25"/>
    <x v="0"/>
    <n v="7.8292893769865781"/>
    <n v="1.641237716862511"/>
    <n v="8.8768366624703727"/>
    <n v="4.747199803921502"/>
    <m/>
    <n v="0.38593485364488145"/>
    <n v="0.18"/>
    <n v="48.451849561516838"/>
    <n v="24.125402271294693"/>
    <n v="1.1731155608867567"/>
    <m/>
    <m/>
    <m/>
    <m/>
    <m/>
    <m/>
    <m/>
    <m/>
    <m/>
    <m/>
    <m/>
    <n v="0.24711737642002879"/>
    <m/>
    <m/>
    <m/>
    <m/>
    <m/>
    <m/>
    <m/>
    <m/>
    <m/>
    <m/>
    <m/>
    <n v="939.12020680389128"/>
    <n v="0.18488993086933334"/>
    <n v="0.28006246913686789"/>
    <n v="372.04448921301065"/>
    <n v="352.5624263605128"/>
    <x v="4"/>
    <n v="9.762677251918257"/>
    <n v="2.6643645582431001"/>
    <n v="0.2"/>
    <n v="1"/>
    <n v="0.3"/>
    <x v="7"/>
    <n v="0.28983663970258439"/>
    <n v="0.18"/>
    <n v="352.5624263605128"/>
    <n v="0.28983663970258439"/>
    <n v="19.940604096996253"/>
    <n v="67.254113162201691"/>
    <n v="28152.94268591197"/>
    <n v="23.517257658814156"/>
    <n v="654361.87564985931"/>
    <x v="2"/>
    <n v="3.32261395177046E-6"/>
    <n v="1481529.4268591197"/>
    <n v="0.44167997191734709"/>
  </r>
  <r>
    <x v="0"/>
    <n v="1000"/>
    <n v="25"/>
    <x v="0"/>
    <n v="6.3468734475626896"/>
    <n v="1.3367326632359191"/>
    <n v="7.1960825015895313"/>
    <n v="3.8452964982905513"/>
    <m/>
    <n v="0.39156054633671233"/>
    <n v="0.18"/>
    <n v="39.266785345158056"/>
    <n v="19.551926312941774"/>
    <n v="0.99327168669854737"/>
    <m/>
    <m/>
    <m/>
    <m/>
    <m/>
    <m/>
    <m/>
    <m/>
    <m/>
    <m/>
    <m/>
    <n v="0.25830821814133503"/>
    <m/>
    <m/>
    <m/>
    <m/>
    <m/>
    <m/>
    <m/>
    <m/>
    <m/>
    <m/>
    <m/>
    <n v="858.18628219832453"/>
    <n v="0.18575838491855121"/>
    <n v="0.28013751635908335"/>
    <n v="377.34372200463434"/>
    <n v="361.55043884905103"/>
    <x v="4"/>
    <n v="9.762677251918257"/>
    <n v="2.6643645582431001"/>
    <n v="0.2"/>
    <n v="1"/>
    <n v="0.3"/>
    <x v="8"/>
    <n v="0.29277208260386423"/>
    <n v="0.18"/>
    <n v="361.55043884905103"/>
    <n v="0.29277208260386423"/>
    <n v="16.248707196989258"/>
    <n v="53.277029691531354"/>
    <n v="21601.006797681555"/>
    <n v="19.060059272021633"/>
    <n v="648534.33880935085"/>
    <x v="2"/>
    <n v="2.7276309434586476E-6"/>
    <n v="1416010.0679768156"/>
    <n v="0.45800122010147271"/>
  </r>
  <r>
    <x v="0"/>
    <n v="1000"/>
    <n v="25"/>
    <x v="0"/>
    <n v="4.3378957564964464"/>
    <n v="0.93102396317408542"/>
    <n v="4.9249357946116987"/>
    <n v="2.6297370525265418"/>
    <m/>
    <n v="0.40107369378414792"/>
    <n v="0.18"/>
    <n v="26.871362377074622"/>
    <n v="13.379931474062055"/>
    <n v="0.73242775888827394"/>
    <m/>
    <m/>
    <m/>
    <m/>
    <m/>
    <m/>
    <m/>
    <m/>
    <m/>
    <m/>
    <m/>
    <n v="0.27851748834910617"/>
    <m/>
    <m/>
    <m/>
    <m/>
    <m/>
    <m/>
    <m/>
    <m/>
    <m/>
    <m/>
    <m/>
    <n v="739.91084511870326"/>
    <n v="0.18904286309533322"/>
    <n v="0.2797053741694841"/>
    <n v="384.49119624756315"/>
    <n v="373.69696567456617"/>
    <x v="4"/>
    <n v="9.762677251918257"/>
    <n v="2.6643645582431001"/>
    <n v="0.2"/>
    <n v="1"/>
    <n v="0.3"/>
    <x v="9"/>
    <n v="0.29918289776116896"/>
    <n v="0.18"/>
    <n v="373.69696567456617"/>
    <n v="0.29918289776116896"/>
    <n v="11.275015759493749"/>
    <n v="35.44782417553305"/>
    <n v="13705.517005269412"/>
    <n v="13.16339843575083"/>
    <n v="616566.0526228809"/>
    <x v="2"/>
    <n v="1.8731577262414326E-6"/>
    <n v="1337055.1700526942"/>
    <n v="0.46113733107855354"/>
  </r>
  <r>
    <x v="0"/>
    <n v="1000"/>
    <n v="25"/>
    <x v="0"/>
    <n v="18.564881026197124"/>
    <n v="4.2034916196714995"/>
    <n v="21.337096532711559"/>
    <n v="11.394223525648956"/>
    <m/>
    <n v="0.34418614559922045"/>
    <n v="0.18"/>
    <n v="115.73715891177437"/>
    <n v="57.628460868933303"/>
    <n v="2.4572591229824106"/>
    <m/>
    <m/>
    <m/>
    <m/>
    <m/>
    <m/>
    <m/>
    <m/>
    <m/>
    <m/>
    <m/>
    <n v="0.21565832173214786"/>
    <m/>
    <m/>
    <m/>
    <m/>
    <m/>
    <m/>
    <m/>
    <m/>
    <m/>
    <m/>
    <m/>
    <n v="1513.8409178776726"/>
    <n v="0.19700391818667523"/>
    <n v="0.27065455425083246"/>
    <n v="331.40746854386242"/>
    <n v="285.21135638646621"/>
    <x v="4"/>
    <n v="9.762677251918257"/>
    <n v="2.6643645582431001"/>
    <n v="0.2"/>
    <n v="1"/>
    <n v="0.3"/>
    <x v="0"/>
    <n v="0.26761863082481246"/>
    <n v="0.18"/>
    <n v="285.21135638646621"/>
    <n v="0.26761863082481246"/>
    <n v="49.160872356544374"/>
    <n v="205.47210019774619"/>
    <n v="103910.35152898812"/>
    <n v="62.715778473726623"/>
    <n v="339934.57549273176"/>
    <x v="3"/>
    <n v="6.9368643048547534E-6"/>
    <n v="2239103.5152898813"/>
    <n v="0.15181726667457032"/>
  </r>
  <r>
    <x v="1"/>
    <n v="1000"/>
    <n v="25"/>
    <x v="0"/>
    <n v="18.463614169275314"/>
    <n v="4.2709352176047464"/>
    <n v="21.271149153063817"/>
    <n v="11.405148116681557"/>
    <m/>
    <n v="0.34520505112086713"/>
    <n v="0.18"/>
    <n v="115.86092948444168"/>
    <n v="57.69008936984649"/>
    <n v="2.4355642204266754"/>
    <m/>
    <m/>
    <m/>
    <m/>
    <m/>
    <m/>
    <m/>
    <m/>
    <m/>
    <m/>
    <m/>
    <n v="0.21354954758231823"/>
    <m/>
    <m/>
    <m/>
    <m/>
    <m/>
    <m/>
    <m/>
    <m/>
    <m/>
    <m/>
    <m/>
    <n v="1495.1793904927927"/>
    <n v="0.20078535423130051"/>
    <n v="0.2408549974480515"/>
    <n v="323.34136984947713"/>
    <n v="277.39728027945694"/>
    <x v="4"/>
    <n v="9.762677251918257"/>
    <n v="2.6643645582431001"/>
    <n v="0.2"/>
    <n v="1"/>
    <n v="0.3"/>
    <x v="0"/>
    <n v="0.26769863322102261"/>
    <n v="0.18"/>
    <n v="277.39728027945694"/>
    <n v="0.26769863322102261"/>
    <n v="49.530022712255445"/>
    <n v="205.82469897363302"/>
    <n v="104249.25301913716"/>
    <n v="63.00225102081891"/>
    <n v="338428.24228781369"/>
    <x v="3"/>
    <n v="6.8926938884516405E-6"/>
    <n v="2242492.5301913717"/>
    <n v="0.1509161068460427"/>
  </r>
  <r>
    <x v="2"/>
    <n v="1000"/>
    <n v="25"/>
    <x v="0"/>
    <n v="18.396778420234529"/>
    <n v="4.3856825247400417"/>
    <n v="21.267380849092071"/>
    <n v="11.444823606890198"/>
    <m/>
    <n v="0.34446665926264824"/>
    <n v="0.18"/>
    <n v="116.27974270090144"/>
    <n v="57.898627070988276"/>
    <n v="2.429091704075022"/>
    <m/>
    <m/>
    <m/>
    <m/>
    <m/>
    <m/>
    <m/>
    <m/>
    <m/>
    <m/>
    <m/>
    <n v="0.21224369964187309"/>
    <m/>
    <m/>
    <m/>
    <m/>
    <m/>
    <m/>
    <m/>
    <m/>
    <m/>
    <m/>
    <m/>
    <n v="1481.309053322341"/>
    <n v="0.20621639100083505"/>
    <n v="0.21034732631767158"/>
    <n v="312.54094481595041"/>
    <n v="266.76320128483013"/>
    <x v="4"/>
    <n v="9.762677251918257"/>
    <n v="2.6643645582431001"/>
    <n v="0.2"/>
    <n v="1"/>
    <n v="0.3"/>
    <x v="0"/>
    <n v="0.26643466845695746"/>
    <n v="0.18"/>
    <n v="266.76320128483013"/>
    <n v="0.26643466845695746"/>
    <n v="50.284368606732727"/>
    <n v="207.02214639372477"/>
    <n v="105473.88609456054"/>
    <n v="64.082320201282968"/>
    <n v="339545.17949390569"/>
    <x v="3"/>
    <n v="6.8301955062898681E-6"/>
    <n v="2254738.8609456057"/>
    <n v="0.15059179817901627"/>
  </r>
  <r>
    <x v="3"/>
    <n v="1000"/>
    <n v="25"/>
    <x v="0"/>
    <n v="18.169720163390092"/>
    <n v="4.4844456908372878"/>
    <n v="21.090256122050924"/>
    <n v="11.446719129415849"/>
    <m/>
    <n v="0.34579948629356783"/>
    <n v="0.18"/>
    <n v="116.32493615135962"/>
    <n v="57.921130033872011"/>
    <n v="2.403070672613433"/>
    <m/>
    <m/>
    <m/>
    <m/>
    <m/>
    <m/>
    <m/>
    <m/>
    <m/>
    <m/>
    <m/>
    <n v="0.2099353225535173"/>
    <m/>
    <m/>
    <m/>
    <m/>
    <m/>
    <m/>
    <m/>
    <m/>
    <m/>
    <m/>
    <m/>
    <n v="1455.996051701818"/>
    <n v="0.2126311631724839"/>
    <n v="0.18110581272152332"/>
    <n v="299.67345669170379"/>
    <n v="254.46071539510109"/>
    <x v="4"/>
    <n v="9.762677251918257"/>
    <n v="2.6643645582431001"/>
    <n v="0.2"/>
    <n v="1"/>
    <n v="0.3"/>
    <x v="0"/>
    <n v="0.26649411668098788"/>
    <n v="0.18"/>
    <n v="254.46071539510109"/>
    <n v="0.26649411668098788"/>
    <n v="50.748817644332291"/>
    <n v="207.15176254955148"/>
    <n v="105589.13456993994"/>
    <n v="64.173482747323149"/>
    <n v="334747.39966098627"/>
    <x v="3"/>
    <n v="6.7533063004155338E-6"/>
    <n v="2255891.3456993997"/>
    <n v="0.14838808628755287"/>
  </r>
  <r>
    <x v="4"/>
    <n v="1000"/>
    <n v="25"/>
    <x v="0"/>
    <n v="17.894555466694541"/>
    <n v="4.651639186279164"/>
    <n v="20.902557874712056"/>
    <n v="11.474619322008442"/>
    <m/>
    <n v="0.34869953665501979"/>
    <n v="0.18"/>
    <n v="116.64638441875974"/>
    <n v="58.081187262452985"/>
    <n v="2.3507489836928421"/>
    <m/>
    <m/>
    <m/>
    <m/>
    <m/>
    <m/>
    <m/>
    <m/>
    <m/>
    <m/>
    <m/>
    <n v="0.20486509554038804"/>
    <m/>
    <m/>
    <m/>
    <m/>
    <m/>
    <m/>
    <m/>
    <m/>
    <m/>
    <m/>
    <m/>
    <n v="1412.6300953806563"/>
    <n v="0.2225392324786587"/>
    <n v="0.15137137399841114"/>
    <n v="281.7837547878612"/>
    <n v="237.25560353423572"/>
    <x v="4"/>
    <n v="9.762677251918257"/>
    <n v="2.6643645582431001"/>
    <n v="0.2"/>
    <n v="1"/>
    <n v="0.3"/>
    <x v="0"/>
    <n v="0.2670007562513077"/>
    <n v="0.18"/>
    <n v="237.25560353423572"/>
    <n v="0.2670007562513077"/>
    <n v="51.633330838832151"/>
    <n v="208.07595871315189"/>
    <n v="106393.54984836113"/>
    <n v="64.797167238021729"/>
    <n v="330293.2471701887"/>
    <x v="3"/>
    <n v="6.638417255123031E-6"/>
    <n v="2263935.4984836113"/>
    <n v="0.1458933999627727"/>
  </r>
  <r>
    <x v="5"/>
    <n v="1000"/>
    <n v="25"/>
    <x v="0"/>
    <n v="17.470319505185884"/>
    <n v="4.9168981190644878"/>
    <n v="20.617167679602794"/>
    <n v="11.523034021445159"/>
    <m/>
    <n v="0.35556996250663181"/>
    <n v="0.18"/>
    <n v="117.20339835417737"/>
    <n v="58.358538599590403"/>
    <n v="2.2457581802958035"/>
    <m/>
    <m/>
    <m/>
    <m/>
    <m/>
    <m/>
    <m/>
    <m/>
    <m/>
    <m/>
    <m/>
    <n v="0.1948929575419367"/>
    <m/>
    <m/>
    <m/>
    <m/>
    <m/>
    <m/>
    <m/>
    <m/>
    <m/>
    <m/>
    <m/>
    <n v="1335.7298572029863"/>
    <n v="0.23848562496433146"/>
    <n v="0.12159468904079827"/>
    <n v="256.32333416039148"/>
    <n v="212.85076705508615"/>
    <x v="4"/>
    <n v="9.762677251918257"/>
    <n v="2.6643645582431001"/>
    <n v="0.2"/>
    <n v="1"/>
    <n v="0.3"/>
    <x v="0"/>
    <n v="0.26908930209244275"/>
    <n v="0.18"/>
    <n v="212.85076705508615"/>
    <n v="0.26908930209244275"/>
    <n v="53.017870528628976"/>
    <n v="209.68694677247368"/>
    <n v="107654.09315637266"/>
    <n v="65.672699181393227"/>
    <n v="323375.68856577162"/>
    <x v="3"/>
    <n v="6.4615254952519226E-6"/>
    <n v="2276540.9315637266"/>
    <n v="0.14204694678766397"/>
  </r>
  <r>
    <x v="6"/>
    <n v="1000"/>
    <n v="25"/>
    <x v="0"/>
    <n v="16.713287258326453"/>
    <n v="5.3512951836298246"/>
    <n v="20.086223786026835"/>
    <n v="11.592122461885983"/>
    <m/>
    <n v="0.36639457207232534"/>
    <n v="0.18"/>
    <n v="118.04130915177088"/>
    <n v="58.775755594242753"/>
    <n v="2.0982070027321207"/>
    <m/>
    <m/>
    <m/>
    <m/>
    <m/>
    <m/>
    <m/>
    <m/>
    <m/>
    <m/>
    <m/>
    <n v="0.18100283271082285"/>
    <m/>
    <m/>
    <m/>
    <m/>
    <m/>
    <m/>
    <m/>
    <m/>
    <m/>
    <m/>
    <m/>
    <n v="1225.8565031323626"/>
    <n v="0.26641618855966853"/>
    <n v="9.2004011908682876E-2"/>
    <n v="218.34175584739759"/>
    <n v="176.75300176630259"/>
    <x v="4"/>
    <n v="9.762677251918257"/>
    <n v="2.6643645582431001"/>
    <n v="0.2"/>
    <n v="1"/>
    <n v="0.3"/>
    <x v="0"/>
    <n v="0.27233978739401349"/>
    <n v="0.18"/>
    <n v="176.75300176630259"/>
    <n v="0.27233978739401349"/>
    <n v="55.210133548310324"/>
    <n v="212.13343372928873"/>
    <n v="109422.44583450445"/>
    <n v="66.782140624899199"/>
    <n v="309903.51490621513"/>
    <x v="3"/>
    <n v="6.1624621325160406E-6"/>
    <n v="2294224.4583450444"/>
    <n v="0.13507985837173331"/>
  </r>
  <r>
    <x v="7"/>
    <n v="1000"/>
    <n v="25"/>
    <x v="0"/>
    <n v="15.185046836755074"/>
    <n v="6.5396469919822593"/>
    <n v="19.183188765168442"/>
    <n v="11.742969459197344"/>
    <m/>
    <n v="0.39110879124750964"/>
    <n v="0.18"/>
    <n v="120.07751695813921"/>
    <n v="59.789634999903349"/>
    <n v="1.7675612328259156"/>
    <m/>
    <m/>
    <m/>
    <m/>
    <m/>
    <m/>
    <m/>
    <m/>
    <m/>
    <m/>
    <m/>
    <n v="0.15052080642528828"/>
    <m/>
    <m/>
    <m/>
    <m/>
    <m/>
    <m/>
    <m/>
    <m/>
    <m/>
    <m/>
    <m/>
    <n v="996.19192861295664"/>
    <n v="0.34090510561291643"/>
    <n v="6.0788119853427337E-2"/>
    <n v="150.19712941658096"/>
    <n v="112.41131219999961"/>
    <x v="4"/>
    <n v="9.762677251918257"/>
    <n v="2.6643645582431001"/>
    <n v="0.2"/>
    <n v="1"/>
    <n v="0.3"/>
    <x v="0"/>
    <n v="0.27860558816504355"/>
    <n v="0.18"/>
    <n v="112.41131219999961"/>
    <n v="0.27860558816504355"/>
    <n v="61.657938505995169"/>
    <n v="218.19800091571318"/>
    <n v="116854.06615864098"/>
    <n v="73.129372053182024"/>
    <n v="293846.02715887188"/>
    <x v="3"/>
    <n v="5.4520409880201582E-6"/>
    <n v="2368540.6615864099"/>
    <n v="0.12406205725092286"/>
  </r>
  <r>
    <x v="8"/>
    <n v="1000"/>
    <n v="25"/>
    <x v="0"/>
    <n v="10.619797231056967"/>
    <n v="4.1471419849373738"/>
    <n v="13.118226567569586"/>
    <n v="7.8018634591672082"/>
    <m/>
    <n v="0.39201070203198063"/>
    <n v="0.18"/>
    <n v="80.008758912493988"/>
    <n v="39.838386180494929"/>
    <n v="1.4266697866340508"/>
    <m/>
    <m/>
    <m/>
    <m/>
    <m/>
    <m/>
    <m/>
    <m/>
    <m/>
    <m/>
    <m/>
    <n v="0.18286269608547306"/>
    <m/>
    <m/>
    <m/>
    <m/>
    <m/>
    <m/>
    <m/>
    <m/>
    <m/>
    <m/>
    <m/>
    <n v="854.61277929695041"/>
    <n v="0.31613587123047493"/>
    <n v="4.5716606074291039E-2"/>
    <n v="167.70372643587243"/>
    <n v="141.27788597992529"/>
    <x v="4"/>
    <n v="9.762677251918257"/>
    <n v="2.6643645582431001"/>
    <n v="0.2"/>
    <n v="1"/>
    <n v="0.3"/>
    <x v="0"/>
    <n v="0.27941622638390479"/>
    <n v="0.18"/>
    <n v="141.27788597992529"/>
    <n v="0.27941622638390479"/>
    <n v="40.544056071991385"/>
    <n v="122.04273843663866"/>
    <n v="61388.582342157672"/>
    <n v="47.900599180934215"/>
    <n v="658865.66602316813"/>
    <x v="3"/>
    <n v="3.9703853504617445E-6"/>
    <n v="1813885.8234215768"/>
    <n v="0.36323436542457443"/>
  </r>
  <r>
    <x v="9"/>
    <n v="1000"/>
    <n v="25"/>
    <x v="0"/>
    <n v="3.6666085703769435"/>
    <n v="0.96167138214785375"/>
    <n v="4.2572374966261055"/>
    <n v="2.332767027669667"/>
    <m/>
    <n v="0.40299526184125245"/>
    <n v="0.18"/>
    <n v="23.873324688203539"/>
    <n v="11.88713262483164"/>
    <n v="0.68255914448593114"/>
    <m/>
    <m/>
    <m/>
    <m/>
    <m/>
    <m/>
    <m/>
    <m/>
    <m/>
    <m/>
    <m/>
    <n v="0.29259636148397472"/>
    <m/>
    <m/>
    <m/>
    <m/>
    <m/>
    <m/>
    <m/>
    <m/>
    <m/>
    <m/>
    <m/>
    <n v="640.72551420922684"/>
    <n v="0.22589094052422162"/>
    <n v="4.0102806677714847E-2"/>
    <n v="308.5697766781376"/>
    <n v="299.44594196626144"/>
    <x v="4"/>
    <n v="9.762677251918257"/>
    <n v="2.6643645582431001"/>
    <n v="0.2"/>
    <n v="1"/>
    <n v="0.3"/>
    <x v="0"/>
    <n v="0.29385283717716598"/>
    <n v="0.18"/>
    <n v="299.44594196626144"/>
    <n v="0.29385283717716598"/>
    <n v="10.82994000702808"/>
    <n v="31.292148592164342"/>
    <n v="12343.268289692969"/>
    <n v="12.625145477929776"/>
    <n v="853934.83035606518"/>
    <x v="3"/>
    <n v="1.3009435153469113E-6"/>
    <n v="1323432.6828969298"/>
    <n v="0.64524236207227659"/>
  </r>
  <r>
    <x v="0"/>
    <n v="100"/>
    <n v="25"/>
    <x v="0"/>
    <n v="3.1516211336231197"/>
    <n v="0.57729058069557193"/>
    <n v="3.6504482603472348"/>
    <n v="2.9833768015843147"/>
    <m/>
    <n v="0.54171761473347824"/>
    <n v="0.27"/>
    <n v="20.019552032670546"/>
    <n v="8.7222114665162138"/>
    <n v="1.0063579990184857"/>
    <m/>
    <m/>
    <m/>
    <m/>
    <m/>
    <m/>
    <m/>
    <m/>
    <m/>
    <m/>
    <m/>
    <n v="0.33732178868055213"/>
    <m/>
    <m/>
    <m/>
    <m/>
    <m/>
    <m/>
    <m/>
    <m/>
    <m/>
    <m/>
    <m/>
    <n v="878.79630344227473"/>
    <n v="0.15814238129775859"/>
    <n v="0.19054242157923473"/>
    <n v="383.45974031660683"/>
    <n v="375.61730393303191"/>
    <x v="5"/>
    <n v="14.644015877877388"/>
    <n v="3.9965468373646496"/>
    <n v="0.3"/>
    <n v="1"/>
    <n v="0.4"/>
    <x v="0"/>
    <n v="0.41917604885084225"/>
    <n v="0.27"/>
    <n v="375.61730393303191"/>
    <n v="0.41917604885084225"/>
    <n v="7.5643565983369303"/>
    <n v="70.227502570831149"/>
    <n v="24890.506620649947"/>
    <n v="13.84523197970049"/>
    <n v="17371.427284006306"/>
    <x v="0"/>
    <n v="1.9438756479509808E-6"/>
    <n v="1448905.0662064995"/>
    <n v="1.1989348156182451E-2"/>
  </r>
  <r>
    <x v="0"/>
    <n v="200"/>
    <n v="25"/>
    <x v="0"/>
    <n v="5.91960310221158"/>
    <n v="0.97869087804247323"/>
    <n v="6.7169428938820364"/>
    <n v="5.5129551690681362"/>
    <m/>
    <n v="0.55489592075716554"/>
    <n v="0.27"/>
    <n v="37.073438312644299"/>
    <n v="16.152327895550421"/>
    <n v="1.5485493532834083"/>
    <m/>
    <m/>
    <m/>
    <m/>
    <m/>
    <m/>
    <m/>
    <m/>
    <m/>
    <m/>
    <m/>
    <n v="0.28089278903843545"/>
    <m/>
    <m/>
    <m/>
    <m/>
    <m/>
    <m/>
    <m/>
    <m/>
    <m/>
    <m/>
    <m/>
    <n v="1131.9619709810174"/>
    <n v="0.1457048084976113"/>
    <n v="0.21461356199518183"/>
    <n v="372.41738570862321"/>
    <n v="357.68729433931338"/>
    <x v="5"/>
    <n v="14.644015877877388"/>
    <n v="3.9965468373646496"/>
    <n v="0.3"/>
    <n v="1"/>
    <n v="0.4"/>
    <x v="0"/>
    <n v="0.44971162861516017"/>
    <n v="0.27"/>
    <n v="357.68729433931338"/>
    <n v="0.44971162861516017"/>
    <n v="13.215033008349351"/>
    <n v="102.20104780721056"/>
    <n v="39514.910983420261"/>
    <n v="20.996693252477421"/>
    <n v="48798.044022752889"/>
    <x v="0"/>
    <n v="3.3869952801297457E-6"/>
    <n v="1595149.1098342026"/>
    <n v="3.0591525094368691E-2"/>
  </r>
  <r>
    <x v="0"/>
    <n v="300"/>
    <n v="25"/>
    <x v="0"/>
    <n v="8.3301428718798292"/>
    <n v="1.3164540893634364"/>
    <n v="9.367626171321831"/>
    <n v="7.7396134258911973"/>
    <m/>
    <n v="0.56604328591581832"/>
    <n v="0.27"/>
    <n v="52.131543356830868"/>
    <n v="22.712913080776932"/>
    <n v="1.9410971160831885"/>
    <m/>
    <m/>
    <m/>
    <m/>
    <m/>
    <m/>
    <m/>
    <m/>
    <m/>
    <m/>
    <m/>
    <n v="0.25080026730917454"/>
    <m/>
    <m/>
    <m/>
    <m/>
    <m/>
    <m/>
    <m/>
    <m/>
    <m/>
    <m/>
    <m/>
    <n v="1313.2831402670099"/>
    <n v="0.14053230405304235"/>
    <n v="0.22799165645016331"/>
    <n v="363.46294859390736"/>
    <n v="342.73458222541637"/>
    <x v="5"/>
    <n v="14.644015877877388"/>
    <n v="3.9965468373646496"/>
    <n v="0.3"/>
    <n v="1"/>
    <n v="0.4"/>
    <x v="0"/>
    <n v="0.46976412229273662"/>
    <n v="0.27"/>
    <n v="342.73458222541637"/>
    <n v="0.46976412229273662"/>
    <n v="17.961418945371861"/>
    <n v="125.18516577320707"/>
    <n v="51090.571228381814"/>
    <n v="26.517336130906099"/>
    <n v="84977.710227184958"/>
    <x v="0"/>
    <n v="4.4163835041783445E-6"/>
    <n v="1710905.7122838181"/>
    <n v="4.9668260277038696E-2"/>
  </r>
  <r>
    <x v="0"/>
    <n v="400"/>
    <n v="25"/>
    <x v="0"/>
    <n v="10.452105768206916"/>
    <n v="1.6132749591466584"/>
    <n v="11.695092735188236"/>
    <n v="9.7292658748792569"/>
    <m/>
    <n v="0.57599255723215037"/>
    <n v="0.27"/>
    <n v="65.620188704583938"/>
    <n v="28.589708771706697"/>
    <n v="2.2475362108493755"/>
    <m/>
    <m/>
    <m/>
    <m/>
    <m/>
    <m/>
    <m/>
    <m/>
    <m/>
    <m/>
    <m/>
    <n v="0.23100779028482127"/>
    <m/>
    <m/>
    <m/>
    <m/>
    <m/>
    <m/>
    <m/>
    <m/>
    <m/>
    <m/>
    <m/>
    <n v="1453.6398197026381"/>
    <n v="0.13794460597072744"/>
    <n v="0.23690355661470142"/>
    <n v="355.88033410065617"/>
    <n v="329.87171427795062"/>
    <x v="5"/>
    <n v="14.644015877877388"/>
    <n v="3.9965468373646496"/>
    <n v="0.3"/>
    <n v="1"/>
    <n v="0.4"/>
    <x v="0"/>
    <n v="0.48515145092466067"/>
    <n v="0.27"/>
    <n v="329.87171427795062"/>
    <n v="0.48515145092466067"/>
    <n v="22.076704106524133"/>
    <n v="143.4644340722848"/>
    <n v="60825.189626794556"/>
    <n v="31.075360890911707"/>
    <n v="123033.41275551288"/>
    <x v="0"/>
    <n v="5.1822654410619848E-6"/>
    <n v="1808251.8962679454"/>
    <n v="6.8039974413654308E-2"/>
  </r>
  <r>
    <x v="0"/>
    <n v="600"/>
    <n v="25"/>
    <x v="0"/>
    <n v="14.001031946666403"/>
    <n v="2.1164036931230688"/>
    <n v="15.583015275139925"/>
    <n v="13.134836250220969"/>
    <m/>
    <n v="0.59402334661375189"/>
    <n v="0.27"/>
    <n v="88.779979929513431"/>
    <n v="38.680074243149008"/>
    <n v="2.6956612355198146"/>
    <m/>
    <m/>
    <m/>
    <m/>
    <m/>
    <m/>
    <m/>
    <m/>
    <m/>
    <m/>
    <m/>
    <n v="0.20522990802222335"/>
    <m/>
    <m/>
    <m/>
    <m/>
    <m/>
    <m/>
    <m/>
    <m/>
    <m/>
    <m/>
    <m/>
    <n v="1656.6560572276323"/>
    <n v="0.13581477369783718"/>
    <n v="0.24853178227391778"/>
    <n v="343.66502417290337"/>
    <n v="308.82543946772512"/>
    <x v="5"/>
    <n v="14.644015877877388"/>
    <n v="3.9965468373646496"/>
    <n v="0.3"/>
    <n v="1"/>
    <n v="0.4"/>
    <x v="0"/>
    <n v="0.50936862932632543"/>
    <n v="0.27"/>
    <n v="308.82543946772512"/>
    <n v="0.50936862932632543"/>
    <n v="28.88455307270533"/>
    <n v="171.30441949115288"/>
    <n v="76382.161626006797"/>
    <n v="38.208173273641862"/>
    <n v="199223.40085984266"/>
    <x v="0"/>
    <n v="6.2298527844712604E-6"/>
    <n v="1963821.616260068"/>
    <n v="0.10144679089501354"/>
  </r>
  <r>
    <x v="0"/>
    <n v="800"/>
    <n v="25"/>
    <x v="0"/>
    <n v="16.805395194295322"/>
    <n v="2.5235309437155573"/>
    <n v="18.654043462425875"/>
    <n v="15.912288758737592"/>
    <m/>
    <n v="0.61140103959969572"/>
    <n v="0.27"/>
    <n v="107.74020420518822"/>
    <n v="46.940752869480342"/>
    <n v="2.9907360140913131"/>
    <m/>
    <m/>
    <m/>
    <m/>
    <m/>
    <m/>
    <m/>
    <m/>
    <m/>
    <m/>
    <m/>
    <n v="0.18795134122041815"/>
    <m/>
    <m/>
    <m/>
    <m/>
    <m/>
    <m/>
    <m/>
    <m/>
    <m/>
    <m/>
    <m/>
    <n v="1787.9160977711281"/>
    <n v="0.1352806402964917"/>
    <n v="0.25604673121935695"/>
    <n v="334.36590612087127"/>
    <n v="292.5480907254701"/>
    <x v="5"/>
    <n v="14.644015877877388"/>
    <n v="3.9965468373646496"/>
    <n v="0.3"/>
    <n v="1"/>
    <n v="0.4"/>
    <x v="0"/>
    <n v="0.52991298245476481"/>
    <n v="0.27"/>
    <n v="292.5480907254701"/>
    <n v="0.52991298245476481"/>
    <n v="34.206061664279432"/>
    <n v="191.36525459579676"/>
    <n v="87998.288156905284"/>
    <n v="43.387863913312749"/>
    <n v="270424.47380779922"/>
    <x v="0"/>
    <n v="6.8963005916240825E-6"/>
    <n v="2079982.8815690528"/>
    <n v="0.13001283626132645"/>
  </r>
  <r>
    <x v="0"/>
    <n v="1000"/>
    <n v="25"/>
    <x v="0"/>
    <n v="19.015269508258417"/>
    <n v="2.8488163792778556"/>
    <n v="21.072354323053077"/>
    <n v="18.168529868505779"/>
    <m/>
    <n v="0.6271309420702329"/>
    <n v="0.27"/>
    <n v="123.19791691674632"/>
    <n v="53.675440980325156"/>
    <n v="3.1942844114125037"/>
    <m/>
    <m/>
    <m/>
    <m/>
    <m/>
    <m/>
    <m/>
    <m/>
    <m/>
    <m/>
    <m/>
    <n v="0.17581413766171763"/>
    <m/>
    <m/>
    <m/>
    <m/>
    <m/>
    <m/>
    <m/>
    <m/>
    <m/>
    <m/>
    <m/>
    <n v="1877.1093702504938"/>
    <n v="0.13519212592971927"/>
    <n v="0.26150025299808288"/>
    <n v="327.28393456507354"/>
    <n v="279.96716454424109"/>
    <x v="5"/>
    <n v="14.644015877877388"/>
    <n v="3.9965468373646496"/>
    <n v="0.3"/>
    <n v="1"/>
    <n v="0.4"/>
    <x v="0"/>
    <n v="0.5476141198888036"/>
    <n v="0.27"/>
    <n v="279.96716454424109"/>
    <n v="0.5476141198888036"/>
    <n v="38.3421667936951"/>
    <n v="205.94554786857174"/>
    <n v="96587.616250234903"/>
    <n v="47.125102193720835"/>
    <n v="333226.73632679606"/>
    <x v="0"/>
    <n v="7.3466135095151822E-6"/>
    <n v="2165876.1625023489"/>
    <n v="0.15385308823095498"/>
  </r>
  <r>
    <x v="0"/>
    <n v="1300"/>
    <n v="25"/>
    <x v="0"/>
    <n v="21.519629166814994"/>
    <n v="3.2352013731862401"/>
    <n v="23.817389589727835"/>
    <n v="20.747713374165468"/>
    <m/>
    <n v="0.6427249151289488"/>
    <n v="0.27"/>
    <n v="140.94822714312019"/>
    <n v="61.408978630820009"/>
    <n v="3.4063306472932382"/>
    <m/>
    <m/>
    <m/>
    <m/>
    <m/>
    <m/>
    <m/>
    <m/>
    <m/>
    <m/>
    <m/>
    <n v="0.16417860541367973"/>
    <m/>
    <m/>
    <m/>
    <m/>
    <m/>
    <m/>
    <m/>
    <m/>
    <m/>
    <m/>
    <m/>
    <n v="1968.6534042936769"/>
    <n v="0.13583358331517342"/>
    <n v="0.26579506014774112"/>
    <n v="319.03676029624705"/>
    <n v="265.48808064705713"/>
    <x v="5"/>
    <n v="14.644015877877388"/>
    <n v="3.9965468373646496"/>
    <n v="0.3"/>
    <n v="1"/>
    <n v="0.4"/>
    <x v="0"/>
    <n v="0.56517443985664728"/>
    <n v="0.27"/>
    <n v="265.48808064705713"/>
    <n v="0.56517443985664728"/>
    <n v="43.079787000848242"/>
    <n v="220.41882060392621"/>
    <n v="105825.24598870667"/>
    <n v="51.645073923961739"/>
    <n v="411987.18714372301"/>
    <x v="0"/>
    <n v="7.7870615744907083E-6"/>
    <n v="2258252.4598870669"/>
    <n v="0.18243628401242884"/>
  </r>
  <r>
    <x v="0"/>
    <n v="1600"/>
    <n v="25"/>
    <x v="0"/>
    <n v="23.442092481658623"/>
    <n v="3.5586159522657299"/>
    <n v="25.936833047266585"/>
    <n v="22.641662713689701"/>
    <m/>
    <n v="0.64186547872592192"/>
    <n v="0.27"/>
    <n v="154.04944633141639"/>
    <n v="67.116978692110877"/>
    <n v="3.625460540055208"/>
    <m/>
    <m/>
    <m/>
    <m/>
    <m/>
    <m/>
    <m/>
    <m/>
    <m/>
    <m/>
    <m/>
    <n v="0.16012342317347419"/>
    <m/>
    <m/>
    <m/>
    <m/>
    <m/>
    <m/>
    <m/>
    <m/>
    <m/>
    <m/>
    <m/>
    <n v="2066.4573206736691"/>
    <n v="0.13720317919233255"/>
    <n v="0.26656737271532299"/>
    <n v="312.05940831065891"/>
    <n v="253.72705064606637"/>
    <x v="5"/>
    <n v="14.644015877877388"/>
    <n v="3.9965468373646496"/>
    <n v="0.3"/>
    <n v="1"/>
    <n v="0.4"/>
    <x v="0"/>
    <n v="0.56622706321410743"/>
    <n v="0.27"/>
    <n v="253.72705064606637"/>
    <n v="0.56622706321410743"/>
    <n v="46.975719946484304"/>
    <n v="229.80225318674698"/>
    <n v="113144.69127029099"/>
    <n v="56.370782603291929"/>
    <n v="479829.43554540619"/>
    <x v="0"/>
    <n v="8.0589433418280497E-6"/>
    <n v="2331446.9127029097"/>
    <n v="0.20580757508611977"/>
  </r>
  <r>
    <x v="0"/>
    <n v="1900"/>
    <n v="25"/>
    <x v="0"/>
    <n v="24.72064110734658"/>
    <n v="3.7939883294072212"/>
    <n v="27.35199283518012"/>
    <n v="23.890811096855025"/>
    <m/>
    <n v="0.64257752466865636"/>
    <n v="0.27"/>
    <n v="162.75643714372779"/>
    <n v="70.910480913242409"/>
    <n v="3.7361739746609572"/>
    <m/>
    <m/>
    <m/>
    <m/>
    <m/>
    <m/>
    <m/>
    <m/>
    <m/>
    <m/>
    <m/>
    <n v="0.15638539685882769"/>
    <m/>
    <m/>
    <m/>
    <m/>
    <m/>
    <m/>
    <m/>
    <m/>
    <m/>
    <m/>
    <m/>
    <n v="2113.8152859923825"/>
    <n v="0.13870975881974476"/>
    <n v="0.26650708431590142"/>
    <n v="307.24208637529415"/>
    <n v="245.7282986619044"/>
    <x v="5"/>
    <n v="14.644015877877388"/>
    <n v="3.9965468373646496"/>
    <n v="0.3"/>
    <n v="1"/>
    <n v="0.4"/>
    <x v="0"/>
    <n v="0.56778312453208679"/>
    <n v="0.27"/>
    <n v="245.7282986619044"/>
    <n v="0.56778312453208679"/>
    <n v="49.661748386452075"/>
    <n v="234.03549356980375"/>
    <n v="117202.97732110163"/>
    <n v="59.707531682168124"/>
    <n v="525993.40627661208"/>
    <x v="0"/>
    <n v="8.2454733457577263E-6"/>
    <n v="2372029.7732110163"/>
    <n v="0.22174823107914657"/>
  </r>
  <r>
    <x v="0"/>
    <n v="1000"/>
    <n v="25"/>
    <x v="1"/>
    <n v="17.59452213895732"/>
    <n v="4.6173419084460665"/>
    <n v="20.582748551470971"/>
    <n v="18.576443785205086"/>
    <m/>
    <n v="0.76720848072142978"/>
    <n v="0.27"/>
    <n v="127.57209472808415"/>
    <n v="55.581203097298072"/>
    <n v="1.8474842707583292"/>
    <m/>
    <m/>
    <m/>
    <m/>
    <m/>
    <m/>
    <m/>
    <m/>
    <m/>
    <m/>
    <m/>
    <n v="9.9453064974132921E-2"/>
    <m/>
    <m/>
    <m/>
    <m/>
    <m/>
    <m/>
    <m/>
    <m/>
    <m/>
    <m/>
    <m/>
    <n v="1006.9690329989076"/>
    <n v="0.22433067658090214"/>
    <n v="0.24104838788789792"/>
    <n v="127.00833930845521"/>
    <n v="83.226897619740427"/>
    <x v="5"/>
    <n v="14.644015877877388"/>
    <n v="3.9965468373646496"/>
    <n v="0.3"/>
    <n v="1"/>
    <n v="0.4"/>
    <x v="0"/>
    <n v="0.66383293545952238"/>
    <n v="0.27"/>
    <n v="83.226897619740427"/>
    <n v="0.66383293545952238"/>
    <n v="46.575331927521688"/>
    <n v="218.01973542543308"/>
    <n v="106213.79736524132"/>
    <n v="53.802447890814335"/>
    <n v="323308.71483399259"/>
    <x v="1"/>
    <n v="6.546859185448324E-6"/>
    <n v="2262137.9736524131"/>
    <n v="0.1429217486287909"/>
  </r>
  <r>
    <x v="0"/>
    <n v="1000"/>
    <n v="25"/>
    <x v="2"/>
    <n v="18.364577188660071"/>
    <n v="3.4303075046656795"/>
    <n v="20.726491676830399"/>
    <n v="18.335003215421473"/>
    <m/>
    <n v="0.66881345580224016"/>
    <n v="0.27"/>
    <n v="124.63882802028736"/>
    <n v="54.303223826266283"/>
    <n v="2.6623468051433861"/>
    <m/>
    <m/>
    <m/>
    <m/>
    <m/>
    <m/>
    <m/>
    <m/>
    <m/>
    <m/>
    <m/>
    <n v="0.14520569065971586"/>
    <m/>
    <m/>
    <m/>
    <m/>
    <m/>
    <m/>
    <m/>
    <m/>
    <m/>
    <m/>
    <m/>
    <n v="1514.2003103391414"/>
    <n v="0.16550352843845398"/>
    <n v="0.25765631559089192"/>
    <n v="228.72452147526843"/>
    <n v="183.02690776744799"/>
    <x v="5"/>
    <n v="14.644015877877388"/>
    <n v="3.9965468373646496"/>
    <n v="0.3"/>
    <n v="1"/>
    <n v="0.4"/>
    <x v="0"/>
    <n v="0.57633610980135497"/>
    <n v="0.27"/>
    <n v="183.02690776744799"/>
    <n v="0.57633610980135497"/>
    <n v="41.080485342114351"/>
    <n v="209.84812720654011"/>
    <n v="99430.547965357851"/>
    <n v="48.856167128454977"/>
    <n v="325895.75653579005"/>
    <x v="1"/>
    <n v="7.0266024794966865E-6"/>
    <n v="2194305.4796535783"/>
    <n v="0.14851886373962855"/>
  </r>
  <r>
    <x v="0"/>
    <n v="1000"/>
    <n v="25"/>
    <x v="0"/>
    <n v="19.015037785914313"/>
    <n v="2.8486612627245549"/>
    <n v="21.072029788826836"/>
    <n v="18.168112268205821"/>
    <m/>
    <n v="0.62704873711964293"/>
    <n v="0.27"/>
    <n v="123.19511715090538"/>
    <n v="53.67422116533222"/>
    <n v="3.1950512225601173"/>
    <m/>
    <m/>
    <m/>
    <m/>
    <m/>
    <m/>
    <m/>
    <m/>
    <m/>
    <m/>
    <m/>
    <n v="0.1758603852394425"/>
    <m/>
    <m/>
    <m/>
    <m/>
    <m/>
    <m/>
    <m/>
    <m/>
    <m/>
    <m/>
    <m/>
    <n v="1877.495346735258"/>
    <n v="0.13518684679513027"/>
    <n v="0.26150438184965169"/>
    <n v="327.2859687802603"/>
    <n v="279.96973545519865"/>
    <x v="5"/>
    <n v="14.644015877877388"/>
    <n v="3.9965468373646496"/>
    <n v="0.3"/>
    <n v="1"/>
    <n v="0.4"/>
    <x v="0"/>
    <n v="0.54754361289027931"/>
    <n v="0.27"/>
    <n v="279.96973545519865"/>
    <n v="0.54754361289027931"/>
    <n v="38.341654222170092"/>
    <n v="205.93803383517147"/>
    <n v="96585.388728129707"/>
    <n v="47.12651478492733"/>
    <n v="333216.68843165739"/>
    <x v="1"/>
    <n v="7.3466202707243734E-6"/>
    <n v="2165853.8872812968"/>
    <n v="0.15385003133795419"/>
  </r>
  <r>
    <x v="0"/>
    <n v="1000"/>
    <n v="25"/>
    <x v="3"/>
    <n v="19.591461137573365"/>
    <n v="2.4786215405284731"/>
    <n v="21.456039016715888"/>
    <n v="18.022585679204788"/>
    <m/>
    <n v="0.59420508540039096"/>
    <n v="0.27"/>
    <n v="122.07140224608956"/>
    <n v="53.18463583335852"/>
    <n v="3.647493151954361"/>
    <m/>
    <m/>
    <m/>
    <m/>
    <m/>
    <m/>
    <m/>
    <m/>
    <m/>
    <m/>
    <m/>
    <n v="0.20238456439482994"/>
    <m/>
    <m/>
    <m/>
    <m/>
    <m/>
    <m/>
    <m/>
    <m/>
    <m/>
    <m/>
    <m/>
    <n v="2199.544872945301"/>
    <n v="0.1155209280984919"/>
    <n v="0.25965753271759107"/>
    <n v="424.54884349963595"/>
    <n v="375.79829696811953"/>
    <x v="5"/>
    <n v="14.644015877877388"/>
    <n v="3.9965468373646496"/>
    <n v="0.3"/>
    <n v="1"/>
    <n v="0.4"/>
    <x v="0"/>
    <n v="0.52445532412448137"/>
    <n v="0.27"/>
    <n v="375.79829696811953"/>
    <n v="0.52445532412448137"/>
    <n v="36.712796661416299"/>
    <n v="202.94330458254009"/>
    <n v="95347.371289267045"/>
    <n v="47.163538968773949"/>
    <n v="342363.16828244063"/>
    <x v="1"/>
    <n v="7.585641684200357E-6"/>
    <n v="2153473.7128926702"/>
    <n v="0.15898181911055634"/>
  </r>
  <r>
    <x v="0"/>
    <n v="1000"/>
    <n v="25"/>
    <x v="4"/>
    <n v="20.011261083922118"/>
    <n v="2.1921586280526681"/>
    <n v="21.726193793389708"/>
    <n v="17.918905598202819"/>
    <m/>
    <n v="0.57565108961351652"/>
    <n v="0.27"/>
    <n v="121.29001012770111"/>
    <n v="52.844195283853182"/>
    <n v="3.9898933384104023"/>
    <m/>
    <m/>
    <m/>
    <m/>
    <m/>
    <m/>
    <m/>
    <m/>
    <m/>
    <m/>
    <m/>
    <n v="0.22266389632693692"/>
    <m/>
    <m/>
    <m/>
    <m/>
    <m/>
    <m/>
    <m/>
    <m/>
    <m/>
    <m/>
    <m/>
    <n v="2467.6871336352146"/>
    <n v="0.10089934062539947"/>
    <n v="0.25832866378042246"/>
    <n v="522.53565364727956"/>
    <n v="472.74046443001254"/>
    <x v="5"/>
    <n v="14.644015877877388"/>
    <n v="3.9965468373646496"/>
    <n v="0.3"/>
    <n v="1"/>
    <n v="0.4"/>
    <x v="0"/>
    <n v="0.5128681525121418"/>
    <n v="0.27"/>
    <n v="472.74046443001254"/>
    <n v="0.5128681525121418"/>
    <n v="35.329472159520449"/>
    <n v="200.88529718984685"/>
    <n v="94143.215691361678"/>
    <n v="46.656060986655397"/>
    <n v="348164.42460173432"/>
    <x v="1"/>
    <n v="7.7726910375012975E-6"/>
    <n v="2141432.1569136167"/>
    <n v="0.16258484933911402"/>
  </r>
  <r>
    <x v="0"/>
    <n v="1000"/>
    <n v="25"/>
    <x v="5"/>
    <n v="20.329244606352706"/>
    <n v="1.9659066726256489"/>
    <n v="21.925666786251782"/>
    <n v="17.839253890373698"/>
    <m/>
    <n v="0.56290778674274056"/>
    <n v="0.27"/>
    <n v="120.69974387876503"/>
    <n v="52.587025341370662"/>
    <n v="4.2696257280548"/>
    <m/>
    <m/>
    <m/>
    <m/>
    <m/>
    <m/>
    <m/>
    <m/>
    <m/>
    <m/>
    <m/>
    <n v="0.23933880611221905"/>
    <m/>
    <m/>
    <m/>
    <m/>
    <m/>
    <m/>
    <m/>
    <m/>
    <m/>
    <m/>
    <m/>
    <n v="2705.229929289364"/>
    <n v="8.9662343763171046E-2"/>
    <n v="0.25734409480654247"/>
    <n v="621.00364835791106"/>
    <n v="570.41706526196322"/>
    <x v="5"/>
    <n v="14.644015877877388"/>
    <n v="3.9965468373646496"/>
    <n v="0.3"/>
    <n v="1"/>
    <n v="0.4"/>
    <x v="0"/>
    <n v="0.50543592771879742"/>
    <n v="0.27"/>
    <n v="570.41706526196322"/>
    <n v="0.50543592771879742"/>
    <n v="34.187870888231586"/>
    <n v="199.34367828139941"/>
    <n v="93088.564592103052"/>
    <n v="46.043859153101593"/>
    <n v="352095.63139799022"/>
    <x v="1"/>
    <n v="7.921258704565519E-6"/>
    <n v="2130885.6459210305"/>
    <n v="0.16523440949164792"/>
  </r>
  <r>
    <x v="0"/>
    <n v="1000"/>
    <n v="25"/>
    <x v="6"/>
    <n v="20.582552051444587"/>
    <n v="1.7842149497127768"/>
    <n v="22.083792225949828"/>
    <n v="17.778394281956839"/>
    <m/>
    <n v="0.55333477060131653"/>
    <n v="0.27"/>
    <n v="120.25223680764309"/>
    <n v="52.392053380923336"/>
    <n v="4.5037470247924656"/>
    <m/>
    <m/>
    <m/>
    <m/>
    <m/>
    <m/>
    <m/>
    <m/>
    <m/>
    <m/>
    <m/>
    <n v="0.25332698518016811"/>
    <m/>
    <m/>
    <m/>
    <m/>
    <m/>
    <m/>
    <m/>
    <m/>
    <m/>
    <m/>
    <m/>
    <n v="2920.4186017611132"/>
    <n v="8.0792960351085602E-2"/>
    <n v="0.25651817490756174"/>
    <n v="719.76181781715206"/>
    <n v="668.54508936488003"/>
    <x v="5"/>
    <n v="14.644015877877388"/>
    <n v="3.9965468373646496"/>
    <n v="0.3"/>
    <n v="1"/>
    <n v="0.4"/>
    <x v="0"/>
    <n v="0.50006606797518249"/>
    <n v="0.27"/>
    <n v="668.54508936488003"/>
    <n v="0.50006606797518249"/>
    <n v="33.251540857402311"/>
    <n v="198.18225648055281"/>
    <n v="92221.061992649236"/>
    <n v="45.470823378988648"/>
    <n v="355081.60214270034"/>
    <x v="1"/>
    <n v="8.0415982748795545E-6"/>
    <n v="2122210.6199264922"/>
    <n v="0.16731685291208251"/>
  </r>
  <r>
    <x v="0"/>
    <n v="1000"/>
    <n v="25"/>
    <x v="7"/>
    <n v="20.787163125295724"/>
    <n v="1.6346492716519898"/>
    <n v="22.209978252582076"/>
    <n v="17.728804447344586"/>
    <m/>
    <n v="0.54539994575042905"/>
    <n v="0.27"/>
    <n v="119.89057606033877"/>
    <n v="52.23448334579075"/>
    <n v="4.7087233755681908"/>
    <m/>
    <m/>
    <m/>
    <m/>
    <m/>
    <m/>
    <m/>
    <m/>
    <m/>
    <m/>
    <m/>
    <n v="0.26559734411608682"/>
    <m/>
    <m/>
    <m/>
    <m/>
    <m/>
    <m/>
    <m/>
    <m/>
    <m/>
    <m/>
    <m/>
    <n v="3121.3901136898685"/>
    <n v="7.3599769124580286E-2"/>
    <n v="0.25585596986072356"/>
    <n v="818.75443384568541"/>
    <n v="767.02842590577313"/>
    <x v="5"/>
    <n v="14.644015877877388"/>
    <n v="3.9965468373646496"/>
    <n v="0.3"/>
    <n v="1"/>
    <n v="0.4"/>
    <x v="0"/>
    <n v="0.4956105399480133"/>
    <n v="0.27"/>
    <n v="767.02842590577313"/>
    <n v="0.4956105399480133"/>
    <n v="32.468547914255034"/>
    <n v="197.24820954673024"/>
    <n v="91483.25563035169"/>
    <n v="44.947987037412481"/>
    <n v="357342.41860061447"/>
    <x v="1"/>
    <n v="8.1409967090814069E-6"/>
    <n v="2114832.556303517"/>
    <n v="0.16896960354403082"/>
  </r>
  <r>
    <x v="0"/>
    <n v="1000"/>
    <n v="25"/>
    <x v="8"/>
    <n v="20.956829232653032"/>
    <n v="1.5095043019169627"/>
    <n v="22.314008698294316"/>
    <n v="17.68798914331996"/>
    <m/>
    <n v="0.53854767393161629"/>
    <n v="0.27"/>
    <n v="119.5944951129925"/>
    <n v="52.105485422673084"/>
    <n v="4.8909610666500178"/>
    <m/>
    <m/>
    <m/>
    <m/>
    <m/>
    <m/>
    <m/>
    <m/>
    <m/>
    <m/>
    <m/>
    <n v="0.27651312011897838"/>
    <m/>
    <m/>
    <m/>
    <m/>
    <m/>
    <m/>
    <m/>
    <m/>
    <m/>
    <m/>
    <m/>
    <n v="3311.2451863707347"/>
    <n v="6.7648279711943884E-2"/>
    <n v="0.25530017572936903"/>
    <n v="917.91298547765859"/>
    <n v="865.76465304572662"/>
    <x v="5"/>
    <n v="14.644015877877388"/>
    <n v="3.9965468373646496"/>
    <n v="0.3"/>
    <n v="1"/>
    <n v="0.4"/>
    <x v="0"/>
    <n v="0.49170505399172471"/>
    <n v="0.27"/>
    <n v="865.76465304572662"/>
    <n v="0.49170505399172471"/>
    <n v="31.806914230034209"/>
    <n v="196.48655075306249"/>
    <n v="90857.651156813459"/>
    <n v="44.484375120058658"/>
    <n v="359141.57662891777"/>
    <x v="1"/>
    <n v="8.2244751982245652E-6"/>
    <n v="2108576.5115681347"/>
    <n v="0.17032418537273117"/>
  </r>
  <r>
    <x v="0"/>
    <n v="1000"/>
    <n v="25"/>
    <x v="9"/>
    <n v="21.09969193964422"/>
    <n v="1.4031350232883817"/>
    <n v="22.401066703940202"/>
    <n v="17.653604263110122"/>
    <m/>
    <n v="0.53241636254402014"/>
    <n v="0.27"/>
    <n v="119.34619118029407"/>
    <n v="51.997303211331442"/>
    <n v="5.0558613846240146"/>
    <m/>
    <m/>
    <m/>
    <m/>
    <m/>
    <m/>
    <m/>
    <m/>
    <m/>
    <m/>
    <m/>
    <n v="0.28639258642434862"/>
    <m/>
    <m/>
    <m/>
    <m/>
    <m/>
    <m/>
    <m/>
    <m/>
    <m/>
    <m/>
    <m/>
    <n v="3492.6286858777726"/>
    <n v="6.2636973579547409E-2"/>
    <n v="0.2548321759867892"/>
    <n v="1017.2016176609579"/>
    <n v="964.69799356576323"/>
    <x v="5"/>
    <n v="14.644015877877388"/>
    <n v="3.9965468373646496"/>
    <n v="0.3"/>
    <n v="1"/>
    <n v="0.4"/>
    <x v="0"/>
    <n v="0.48812207275735192"/>
    <n v="0.27"/>
    <n v="964.69799356576323"/>
    <n v="0.48812207275735192"/>
    <n v="31.240253461090273"/>
    <n v="195.84987581156614"/>
    <n v="90319.486803383188"/>
    <n v="44.073025249150014"/>
    <n v="360597.11700057704"/>
    <x v="1"/>
    <n v="8.295608968689629E-6"/>
    <n v="2103194.8680338319"/>
    <n v="0.17145207155135397"/>
  </r>
  <r>
    <x v="0"/>
    <n v="1000"/>
    <n v="25"/>
    <x v="0"/>
    <n v="19.024008750901775"/>
    <n v="2.8550126642378686"/>
    <n v="21.084788140976368"/>
    <n v="18.185235786107626"/>
    <m/>
    <n v="0.63047473248275931"/>
    <n v="0.27"/>
    <n v="123.30991002564751"/>
    <n v="53.72423465847713"/>
    <n v="3.1633960312176228"/>
    <m/>
    <m/>
    <m/>
    <m/>
    <m/>
    <m/>
    <m/>
    <m/>
    <m/>
    <m/>
    <m/>
    <n v="0.17395408387469236"/>
    <m/>
    <m/>
    <m/>
    <m/>
    <m/>
    <m/>
    <m/>
    <m/>
    <m/>
    <m/>
    <m/>
    <n v="1861.5663815485261"/>
    <n v="0.1354062770348359"/>
    <n v="0.26134360239002691"/>
    <n v="327.20690854138257"/>
    <n v="279.86836593971526"/>
    <x v="5"/>
    <n v="14.644015877877388"/>
    <n v="3.9965468373646496"/>
    <n v="0.3"/>
    <n v="1"/>
    <n v="0.4"/>
    <x v="0"/>
    <n v="0.55048889982762439"/>
    <n v="0.27"/>
    <n v="279.86836593971526"/>
    <n v="0.55048889982762439"/>
    <n v="38.361547743841605"/>
    <n v="206.24633245337276"/>
    <n v="96673.003241393075"/>
    <n v="47.06289072889026"/>
    <n v="333608.98543943663"/>
    <x v="2"/>
    <n v="7.3463064900278427E-6"/>
    <n v="2166730.0324139306"/>
    <n v="0.153968874963055"/>
  </r>
  <r>
    <x v="0"/>
    <n v="1000"/>
    <n v="25"/>
    <x v="0"/>
    <n v="18.355255390163748"/>
    <n v="2.7355218074741345"/>
    <n v="20.323262060771722"/>
    <n v="17.559279283710438"/>
    <m/>
    <n v="0.63206944069086646"/>
    <n v="0.27"/>
    <n v="119.10943054792375"/>
    <n v="51.894150238721963"/>
    <n v="3.0910306397548482"/>
    <m/>
    <m/>
    <m/>
    <m/>
    <m/>
    <m/>
    <m/>
    <m/>
    <m/>
    <m/>
    <m/>
    <n v="0.17603402678504951"/>
    <m/>
    <m/>
    <m/>
    <m/>
    <m/>
    <m/>
    <m/>
    <m/>
    <m/>
    <m/>
    <m/>
    <n v="1830.0558614566692"/>
    <n v="0.13460052816788115"/>
    <n v="0.26302662500020296"/>
    <n v="330.21521912411117"/>
    <n v="284.54054157924554"/>
    <x v="5"/>
    <n v="14.644015877877388"/>
    <n v="3.9965468373646496"/>
    <n v="0.3"/>
    <n v="1"/>
    <n v="0.4"/>
    <x v="1"/>
    <n v="0.55194363211192721"/>
    <n v="0.27"/>
    <n v="284.54054157924554"/>
    <n v="0.55194363211192721"/>
    <n v="36.917481095883929"/>
    <n v="195.24455398400949"/>
    <n v="90582.968654444267"/>
    <n v="44.853752764352528"/>
    <n v="378891.1325642888"/>
    <x v="2"/>
    <n v="7.1160893523728002E-6"/>
    <n v="2105829.6865444425"/>
    <n v="0.17992486998605739"/>
  </r>
  <r>
    <x v="0"/>
    <n v="1000"/>
    <n v="25"/>
    <x v="0"/>
    <n v="16.021599255148114"/>
    <n v="2.3645338679796852"/>
    <n v="17.699356432704199"/>
    <n v="15.324940595455264"/>
    <m/>
    <n v="0.63874348332841524"/>
    <n v="0.27"/>
    <n v="104.08477737795354"/>
    <n v="45.348139521515023"/>
    <n v="2.7711564001941387"/>
    <m/>
    <m/>
    <m/>
    <m/>
    <m/>
    <m/>
    <m/>
    <m/>
    <m/>
    <m/>
    <m/>
    <n v="0.18082656718525536"/>
    <m/>
    <m/>
    <m/>
    <m/>
    <m/>
    <m/>
    <m/>
    <m/>
    <m/>
    <m/>
    <m/>
    <n v="1685.421589089746"/>
    <n v="0.13359434152140071"/>
    <n v="0.26574596918279836"/>
    <n v="339.71084752699539"/>
    <n v="299.84338899267715"/>
    <x v="5"/>
    <n v="14.644015877877388"/>
    <n v="3.9965468373646496"/>
    <n v="0.3"/>
    <n v="1"/>
    <n v="0.4"/>
    <x v="2"/>
    <n v="0.5567860671380187"/>
    <n v="0.27"/>
    <n v="299.84338899267715"/>
    <n v="0.5567860671380187"/>
    <n v="32.162805004784701"/>
    <n v="159.93737938331617"/>
    <n v="71829.573021013406"/>
    <n v="38.258718043179748"/>
    <n v="499127.53150851844"/>
    <x v="2"/>
    <n v="6.3311992830550543E-6"/>
    <n v="1918295.7302101341"/>
    <n v="0.26019321403266793"/>
  </r>
  <r>
    <x v="0"/>
    <n v="1000"/>
    <n v="25"/>
    <x v="0"/>
    <n v="13.912587928899407"/>
    <n v="2.0494594322356603"/>
    <n v="15.349507713827267"/>
    <n v="13.265134198122556"/>
    <m/>
    <n v="0.63523885772200284"/>
    <n v="0.27"/>
    <n v="90.192201712693674"/>
    <n v="39.295357592667365"/>
    <n v="2.5183849360716497"/>
    <m/>
    <m/>
    <m/>
    <m/>
    <m/>
    <m/>
    <m/>
    <m/>
    <m/>
    <m/>
    <m/>
    <n v="0.18984994033668218"/>
    <m/>
    <m/>
    <m/>
    <m/>
    <m/>
    <m/>
    <m/>
    <m/>
    <m/>
    <m/>
    <m/>
    <n v="1572.3548625304909"/>
    <n v="0.13351955453199649"/>
    <n v="0.26643219319287825"/>
    <n v="347.78188115267415"/>
    <n v="313.16239449466553"/>
    <x v="5"/>
    <n v="14.644015877877388"/>
    <n v="3.9965468373646496"/>
    <n v="0.3"/>
    <n v="1"/>
    <n v="0.4"/>
    <x v="3"/>
    <n v="0.55181531839526055"/>
    <n v="0.27"/>
    <n v="313.16239449466553"/>
    <n v="0.55181531839526055"/>
    <n v="28.045990410769683"/>
    <n v="131.67809869276672"/>
    <n v="57596.126675280655"/>
    <n v="33.197928831244511"/>
    <n v="575401.44227068871"/>
    <x v="2"/>
    <n v="5.602621264460744E-6"/>
    <n v="1775961.2667528065"/>
    <n v="0.32399436465343701"/>
  </r>
  <r>
    <x v="0"/>
    <n v="1000"/>
    <n v="25"/>
    <x v="0"/>
    <n v="12.733552847362358"/>
    <n v="1.8771907336076432"/>
    <n v="14.041628754587588"/>
    <n v="12.117698184704118"/>
    <m/>
    <n v="0.63103850704135611"/>
    <n v="0.27"/>
    <n v="82.437075988762302"/>
    <n v="35.916568376846648"/>
    <n v="2.3840390184673339"/>
    <m/>
    <m/>
    <m/>
    <m/>
    <m/>
    <m/>
    <m/>
    <m/>
    <m/>
    <m/>
    <m/>
    <n v="0.19674025397634096"/>
    <m/>
    <m/>
    <m/>
    <m/>
    <m/>
    <m/>
    <m/>
    <m/>
    <m/>
    <m/>
    <m/>
    <n v="1512.5801135800355"/>
    <n v="0.13368753485911239"/>
    <n v="0.26665024202945892"/>
    <n v="352.24623555392992"/>
    <n v="320.5606043463693"/>
    <x v="5"/>
    <n v="14.644015877877388"/>
    <n v="3.9965468373646496"/>
    <n v="0.3"/>
    <n v="1"/>
    <n v="0.4"/>
    <x v="4"/>
    <n v="0.54683294143890904"/>
    <n v="0.27"/>
    <n v="320.5606043463693"/>
    <n v="0.54683294143890904"/>
    <n v="25.768011107310677"/>
    <n v="117.31173777910404"/>
    <n v="50492.067504090868"/>
    <n v="30.480478389459304"/>
    <n v="606550.28254711081"/>
    <x v="2"/>
    <n v="5.1863951904601275E-6"/>
    <n v="1704920.6750409086"/>
    <n v="0.35576451821288224"/>
  </r>
  <r>
    <x v="0"/>
    <n v="1000"/>
    <n v="25"/>
    <x v="0"/>
    <n v="11.235096430734847"/>
    <n v="1.6693059139113364"/>
    <n v="12.388223810195143"/>
    <n v="10.676047867089091"/>
    <m/>
    <n v="0.63206912684410899"/>
    <n v="0.27"/>
    <n v="72.678442029202714"/>
    <n v="31.664881382017782"/>
    <n v="2.1598810441137708"/>
    <m/>
    <m/>
    <m/>
    <m/>
    <m/>
    <m/>
    <m/>
    <m/>
    <m/>
    <m/>
    <m/>
    <n v="0.20231091795419981"/>
    <m/>
    <m/>
    <m/>
    <m/>
    <m/>
    <m/>
    <m/>
    <m/>
    <m/>
    <m/>
    <m/>
    <n v="1409.8080092698531"/>
    <n v="0.13474941520975323"/>
    <n v="0.26638862534807173"/>
    <n v="357.82441380124726"/>
    <n v="329.86748721296738"/>
    <x v="5"/>
    <n v="14.644015877877388"/>
    <n v="3.9965468373646496"/>
    <n v="0.3"/>
    <n v="1"/>
    <n v="0.4"/>
    <x v="5"/>
    <n v="0.54575523351991051"/>
    <n v="0.27"/>
    <n v="329.86748721296738"/>
    <n v="0.54575523351991051"/>
    <n v="22.905719030080149"/>
    <n v="100.39976344473594"/>
    <n v="42259.581170859892"/>
    <n v="26.99000555711466"/>
    <n v="633285.89288518776"/>
    <x v="2"/>
    <n v="4.6493513608351928E-6"/>
    <n v="1622595.8117085989"/>
    <n v="0.39029183257803163"/>
  </r>
  <r>
    <x v="0"/>
    <n v="1000"/>
    <n v="25"/>
    <x v="0"/>
    <n v="9.2772295990427818"/>
    <n v="1.3978117097500935"/>
    <n v="10.232455479923299"/>
    <n v="8.8123167001619951"/>
    <m/>
    <n v="0.63143035148221649"/>
    <n v="0.27"/>
    <n v="60.03972905347208"/>
    <n v="26.158388176823937"/>
    <n v="1.8776031644369606"/>
    <m/>
    <m/>
    <m/>
    <m/>
    <m/>
    <m/>
    <m/>
    <m/>
    <m/>
    <m/>
    <m/>
    <n v="0.21306578375723209"/>
    <m/>
    <m/>
    <m/>
    <m/>
    <m/>
    <m/>
    <m/>
    <m/>
    <m/>
    <m/>
    <m/>
    <n v="1280.9120130940971"/>
    <n v="0.13660569669642689"/>
    <n v="0.26655250834657562"/>
    <n v="365.19548941186332"/>
    <n v="342.11043087561796"/>
    <x v="5"/>
    <n v="14.644015877877388"/>
    <n v="3.9965468373646496"/>
    <n v="0.3"/>
    <n v="1"/>
    <n v="0.4"/>
    <x v="6"/>
    <n v="0.54232674136875758"/>
    <n v="0.27"/>
    <n v="342.11043087561796"/>
    <n v="0.54232674136875758"/>
    <n v="19.15566080349609"/>
    <n v="80.105195917804153"/>
    <n v="32636.087803335871"/>
    <n v="22.422814484384077"/>
    <n v="651822.78035059595"/>
    <x v="2"/>
    <n v="3.9195082886336974E-6"/>
    <n v="1526360.8780333586"/>
    <n v="0.42704368916375646"/>
  </r>
  <r>
    <x v="0"/>
    <n v="1000"/>
    <n v="25"/>
    <x v="0"/>
    <n v="8.0508394831453565"/>
    <n v="1.2294385270804629"/>
    <n v="8.8850801847605414"/>
    <n v="7.6493391554545225"/>
    <m/>
    <n v="0.629853163516784"/>
    <n v="0.27"/>
    <n v="52.141173381190626"/>
    <n v="22.717108734543636"/>
    <n v="1.6978207039266691"/>
    <m/>
    <m/>
    <m/>
    <m/>
    <m/>
    <m/>
    <m/>
    <m/>
    <m/>
    <m/>
    <m/>
    <n v="0.22195652061211094"/>
    <m/>
    <m/>
    <m/>
    <m/>
    <m/>
    <m/>
    <m/>
    <m/>
    <m/>
    <m/>
    <m/>
    <n v="1198.6666946912537"/>
    <n v="0.13837112344682762"/>
    <n v="0.2664933125513812"/>
    <n v="369.78971289723034"/>
    <n v="349.75634272791916"/>
    <x v="5"/>
    <n v="14.644015877877388"/>
    <n v="3.9965468373646496"/>
    <n v="0.3"/>
    <n v="1"/>
    <n v="0.4"/>
    <x v="7"/>
    <n v="0.53882920995220784"/>
    <n v="0.27"/>
    <n v="349.75634272791916"/>
    <n v="0.53882920995220784"/>
    <n v="16.806207943793865"/>
    <n v="68.195816727768701"/>
    <n v="27182.979175488741"/>
    <n v="19.612758502211996"/>
    <n v="658594.73542472126"/>
    <x v="2"/>
    <n v="3.4347193596817149E-6"/>
    <n v="1471829.7917548874"/>
    <n v="0.44746664262004621"/>
  </r>
  <r>
    <x v="0"/>
    <n v="1000"/>
    <n v="25"/>
    <x v="0"/>
    <n v="6.5142080258543134"/>
    <n v="1.0198231439666321"/>
    <n v="7.1994418513418035"/>
    <n v="6.2007197116279356"/>
    <m/>
    <n v="0.6292712133279349"/>
    <n v="0.27"/>
    <n v="42.290786443508736"/>
    <n v="18.425446375802562"/>
    <n v="1.4547681488585678"/>
    <m/>
    <m/>
    <m/>
    <m/>
    <m/>
    <m/>
    <m/>
    <m/>
    <m/>
    <m/>
    <m/>
    <n v="0.2346127895654605"/>
    <m/>
    <m/>
    <m/>
    <m/>
    <m/>
    <m/>
    <m/>
    <m/>
    <m/>
    <m/>
    <m/>
    <n v="1086.7166089176485"/>
    <n v="0.14165308436744461"/>
    <n v="0.26634515141026238"/>
    <n v="375.54223160676122"/>
    <n v="359.33253448836444"/>
    <x v="5"/>
    <n v="14.644015877877388"/>
    <n v="3.9965468373646496"/>
    <n v="0.3"/>
    <n v="1"/>
    <n v="0.4"/>
    <x v="8"/>
    <n v="0.53537479182566972"/>
    <n v="0.27"/>
    <n v="359.33253448836444"/>
    <n v="0.53537479182566972"/>
    <n v="13.849566322529771"/>
    <n v="54.049629302515022"/>
    <n v="20922.345009398519"/>
    <n v="16.079272099154672"/>
    <n v="653503.26484065049"/>
    <x v="2"/>
    <n v="2.8102096369038905E-6"/>
    <n v="1409223.4500939851"/>
    <n v="0.46373289118703392"/>
  </r>
  <r>
    <x v="0"/>
    <n v="1000"/>
    <n v="25"/>
    <x v="0"/>
    <n v="4.4273948094953006"/>
    <n v="0.73266128832237432"/>
    <n v="4.9117575797240125"/>
    <n v="4.2424857896311901"/>
    <m/>
    <n v="0.6311712612097542"/>
    <n v="0.27"/>
    <n v="28.955908459480899"/>
    <n v="12.615644764504127"/>
    <n v="1.0896037448985192"/>
    <m/>
    <m/>
    <m/>
    <m/>
    <m/>
    <m/>
    <m/>
    <m/>
    <m/>
    <m/>
    <m/>
    <n v="0.25683144244385109"/>
    <m/>
    <m/>
    <m/>
    <m/>
    <m/>
    <m/>
    <m/>
    <m/>
    <m/>
    <m/>
    <m/>
    <n v="917.14103767072265"/>
    <n v="0.14916479008386688"/>
    <n v="0.26600707580543004"/>
    <n v="383.35610135147795"/>
    <n v="372.33916522146319"/>
    <x v="5"/>
    <n v="14.644015877877388"/>
    <n v="3.9965468373646496"/>
    <n v="0.3"/>
    <n v="1"/>
    <n v="0.4"/>
    <x v="9"/>
    <n v="0.53284119236092975"/>
    <n v="0.27"/>
    <n v="372.33916522146319"/>
    <n v="0.53284119236092975"/>
    <n v="9.774877688200359"/>
    <n v="35.964738572234978"/>
    <n v="13334.706174679875"/>
    <n v="11.248111854774844"/>
    <n v="620304.22244787298"/>
    <x v="2"/>
    <n v="1.918044064036748E-6"/>
    <n v="1333347.0617467987"/>
    <n v="0.4652233767517524"/>
  </r>
  <r>
    <x v="0"/>
    <n v="1000"/>
    <n v="25"/>
    <x v="0"/>
    <n v="19.016141377988031"/>
    <n v="2.8494014873575386"/>
    <n v="21.073576394226983"/>
    <n v="18.170110169864202"/>
    <m/>
    <n v="0.62744104311464866"/>
    <n v="0.27"/>
    <n v="123.20851216497638"/>
    <n v="53.680057167313365"/>
    <n v="3.1913967975920379"/>
    <m/>
    <m/>
    <m/>
    <m/>
    <m/>
    <m/>
    <m/>
    <m/>
    <m/>
    <m/>
    <m/>
    <n v="0.17563992555670285"/>
    <m/>
    <m/>
    <m/>
    <m/>
    <m/>
    <m/>
    <m/>
    <m/>
    <m/>
    <m/>
    <m/>
    <n v="1875.6557078852179"/>
    <n v="0.13521205105641776"/>
    <n v="0.26148486746142119"/>
    <n v="327.27632171374648"/>
    <n v="279.95730908919865"/>
    <x v="5"/>
    <n v="14.644015877877388"/>
    <n v="3.9965468373646496"/>
    <n v="0.3"/>
    <n v="1"/>
    <n v="0.4"/>
    <x v="0"/>
    <n v="0.5478801774143901"/>
    <n v="0.27"/>
    <n v="279.95730908919865"/>
    <n v="0.5478801774143901"/>
    <n v="38.344097624703807"/>
    <n v="205.97398586755483"/>
    <n v="96596.024750847719"/>
    <n v="47.119723156517992"/>
    <n v="333264.6068526638"/>
    <x v="3"/>
    <n v="7.3465870395288325E-6"/>
    <n v="2165960.2475084774"/>
    <n v="0.15386459988636492"/>
  </r>
  <r>
    <x v="1"/>
    <n v="1000"/>
    <n v="25"/>
    <x v="0"/>
    <n v="18.952934896962695"/>
    <n v="2.8878223515495023"/>
    <n v="21.030252603410172"/>
    <n v="18.186293393638447"/>
    <m/>
    <n v="0.63180110480212226"/>
    <n v="0.27"/>
    <n v="123.33575532077396"/>
    <n v="53.735495056768741"/>
    <n v="3.1423179674730122"/>
    <m/>
    <m/>
    <m/>
    <m/>
    <m/>
    <m/>
    <m/>
    <m/>
    <m/>
    <m/>
    <m/>
    <n v="0.17278495949989417"/>
    <m/>
    <m/>
    <m/>
    <m/>
    <m/>
    <m/>
    <m/>
    <m/>
    <m/>
    <m/>
    <m/>
    <n v="1842.5201441758597"/>
    <n v="0.13731753041716796"/>
    <n v="0.23261728486299585"/>
    <n v="318.52310154799818"/>
    <n v="271.36116043935203"/>
    <x v="5"/>
    <n v="14.644015877877388"/>
    <n v="3.9965468373646496"/>
    <n v="0.3"/>
    <n v="1"/>
    <n v="0.4"/>
    <x v="0"/>
    <n v="0.55117058526567042"/>
    <n v="0.27"/>
    <n v="271.36116043935203"/>
    <n v="0.55117058526567042"/>
    <n v="38.497674637657326"/>
    <n v="206.31580633996023"/>
    <n v="96691.580697678466"/>
    <n v="47.046805929130493"/>
    <n v="332159.77126918506"/>
    <x v="3"/>
    <n v="7.3219521839741533E-6"/>
    <n v="2166915.806976785"/>
    <n v="0.15328688368959026"/>
  </r>
  <r>
    <x v="2"/>
    <n v="1000"/>
    <n v="25"/>
    <x v="0"/>
    <n v="18.868457329939034"/>
    <n v="2.9373113178542019"/>
    <n v="20.971302568833664"/>
    <n v="18.205972119350786"/>
    <m/>
    <n v="0.63745763054591698"/>
    <n v="0.27"/>
    <n v="123.4934109191224"/>
    <n v="53.804183180530508"/>
    <n v="3.0808454855644349"/>
    <m/>
    <m/>
    <m/>
    <m/>
    <m/>
    <m/>
    <m/>
    <m/>
    <m/>
    <m/>
    <m/>
    <n v="0.16922169634050258"/>
    <m/>
    <m/>
    <m/>
    <m/>
    <m/>
    <m/>
    <m/>
    <m/>
    <m/>
    <m/>
    <m/>
    <n v="1800.8741993446467"/>
    <n v="0.14006337032299862"/>
    <n v="0.20376985718327914"/>
    <n v="307.40309881569993"/>
    <n v="260.45145656243091"/>
    <x v="5"/>
    <n v="14.644015877877388"/>
    <n v="3.9965468373646496"/>
    <n v="0.3"/>
    <n v="1"/>
    <n v="0.4"/>
    <x v="0"/>
    <n v="0.55547093156667615"/>
    <n v="0.27"/>
    <n v="260.45145656243091"/>
    <n v="0.55547093156667615"/>
    <n v="38.690958944125839"/>
    <n v="206.74008440507751"/>
    <n v="96796.47045849284"/>
    <n v="46.93574758193467"/>
    <n v="330629.57779367239"/>
    <x v="3"/>
    <n v="7.2898768715476406E-6"/>
    <n v="2167964.7045849282"/>
    <n v="0.15250690064023606"/>
  </r>
  <r>
    <x v="3"/>
    <n v="1000"/>
    <n v="25"/>
    <x v="0"/>
    <n v="18.751415856483771"/>
    <n v="3.0040546810773661"/>
    <n v="20.888600751508164"/>
    <n v="18.23219734676378"/>
    <m/>
    <n v="0.64551722707147829"/>
    <n v="0.27"/>
    <n v="123.70667677078515"/>
    <n v="53.89709983789394"/>
    <n v="2.9981751840612709"/>
    <m/>
    <m/>
    <m/>
    <m/>
    <m/>
    <m/>
    <m/>
    <m/>
    <m/>
    <m/>
    <m/>
    <n v="0.16444398483836331"/>
    <m/>
    <m/>
    <m/>
    <m/>
    <m/>
    <m/>
    <m/>
    <m/>
    <m/>
    <m/>
    <m/>
    <n v="1745.2392876401782"/>
    <n v="0.14381311208030401"/>
    <n v="0.17493957452379449"/>
    <n v="292.81204148616877"/>
    <n v="246.1516956095424"/>
    <x v="5"/>
    <n v="14.644015877877388"/>
    <n v="3.9965468373646496"/>
    <n v="0.3"/>
    <n v="1"/>
    <n v="0.4"/>
    <x v="0"/>
    <n v="0.56171038957566222"/>
    <n v="0.27"/>
    <n v="246.1516956095424"/>
    <n v="0.56171038957566222"/>
    <n v="38.942498394795471"/>
    <n v="207.31536143954636"/>
    <n v="96913.644087844601"/>
    <n v="46.747660354738677"/>
    <n v="328444.63478422881"/>
    <x v="3"/>
    <n v="7.2464616483570547E-6"/>
    <n v="2169136.4408784462"/>
    <n v="0.15141723157406223"/>
  </r>
  <r>
    <x v="4"/>
    <n v="1000"/>
    <n v="25"/>
    <x v="0"/>
    <n v="18.618344298865843"/>
    <n v="3.1195545474860884"/>
    <n v="20.816206743134753"/>
    <n v="18.271668430214948"/>
    <m/>
    <n v="0.65403432885708868"/>
    <n v="0.27"/>
    <n v="124.03388132362413"/>
    <n v="54.039657838093497"/>
    <n v="2.8923036164803264"/>
    <m/>
    <m/>
    <m/>
    <m/>
    <m/>
    <m/>
    <m/>
    <m/>
    <m/>
    <m/>
    <m/>
    <n v="0.15829444516941146"/>
    <m/>
    <m/>
    <m/>
    <m/>
    <m/>
    <m/>
    <m/>
    <m/>
    <m/>
    <m/>
    <m/>
    <n v="1671.8255550369729"/>
    <n v="0.14986181613107424"/>
    <n v="0.14545902325156676"/>
    <n v="272.00282331976058"/>
    <n v="225.6737467968085"/>
    <x v="5"/>
    <n v="14.644015877877388"/>
    <n v="3.9965468373646496"/>
    <n v="0.3"/>
    <n v="1"/>
    <n v="0.4"/>
    <x v="0"/>
    <n v="0.56764098754178771"/>
    <n v="0.27"/>
    <n v="225.6737467968085"/>
    <n v="0.56764098754178771"/>
    <n v="39.483392054441779"/>
    <n v="208.20100284126843"/>
    <n v="97585.039558401419"/>
    <n v="47.033065369077207"/>
    <n v="327171.52999670175"/>
    <x v="3"/>
    <n v="7.1773481817383231E-6"/>
    <n v="2175850.3955840142"/>
    <n v="0.15036490130971827"/>
  </r>
  <r>
    <x v="5"/>
    <n v="1000"/>
    <n v="25"/>
    <x v="0"/>
    <n v="18.475793195599607"/>
    <n v="3.352000912833542"/>
    <n v="20.79855944767457"/>
    <n v="18.3602882994029"/>
    <m/>
    <n v="0.66301462907945719"/>
    <n v="0.27"/>
    <n v="124.75562870833384"/>
    <n v="54.354112092842549"/>
    <n v="2.7400501276086722"/>
    <m/>
    <m/>
    <m/>
    <m/>
    <m/>
    <m/>
    <m/>
    <m/>
    <m/>
    <m/>
    <m/>
    <n v="0.14923785960908806"/>
    <m/>
    <m/>
    <m/>
    <m/>
    <m/>
    <m/>
    <m/>
    <m/>
    <m/>
    <m/>
    <m/>
    <n v="1563.4666446939414"/>
    <n v="0.16116505190018438"/>
    <n v="0.11505379965095086"/>
    <n v="239.41605360578012"/>
    <n v="193.44158088960469"/>
    <x v="5"/>
    <n v="14.644015877877388"/>
    <n v="3.9965468373646496"/>
    <n v="0.3"/>
    <n v="1"/>
    <n v="0.4"/>
    <x v="0"/>
    <n v="0.57235453119933499"/>
    <n v="0.27"/>
    <n v="193.44158088960469"/>
    <n v="0.57235453119933499"/>
    <n v="40.747664695849082"/>
    <n v="210.16761378161425"/>
    <n v="99332.071882163073"/>
    <n v="48.538704481663288"/>
    <n v="328041.88006044371"/>
    <x v="3"/>
    <n v="7.0669861102201964E-6"/>
    <n v="2193320.7188216308"/>
    <n v="0.1495640273879715"/>
  </r>
  <r>
    <x v="6"/>
    <n v="1000"/>
    <n v="25"/>
    <x v="0"/>
    <n v="18.059522592018176"/>
    <n v="3.8439042480270222"/>
    <n v="20.639381070762369"/>
    <n v="18.414855303242735"/>
    <m/>
    <n v="0.695802247302715"/>
    <n v="0.27"/>
    <n v="125.48434049673013"/>
    <n v="54.671600631355446"/>
    <n v="2.3558652301105276"/>
    <m/>
    <m/>
    <m/>
    <m/>
    <m/>
    <m/>
    <m/>
    <m/>
    <m/>
    <m/>
    <m/>
    <n v="0.12793286677064877"/>
    <m/>
    <m/>
    <m/>
    <m/>
    <m/>
    <m/>
    <m/>
    <m/>
    <m/>
    <m/>
    <m/>
    <n v="1317.7134521258026"/>
    <n v="0.18624125572603897"/>
    <n v="8.3888286519222241E-2"/>
    <n v="184.71937690752571"/>
    <n v="139.78083707053779"/>
    <x v="5"/>
    <n v="14.644015877877388"/>
    <n v="3.9965468373646496"/>
    <n v="0.3"/>
    <n v="1"/>
    <n v="0.4"/>
    <x v="0"/>
    <n v="0.59594173434687481"/>
    <n v="0.27"/>
    <n v="139.78083707053779"/>
    <n v="0.59594173434687481"/>
    <n v="43.107513333734907"/>
    <n v="212.17172196201417"/>
    <n v="101819.35009343887"/>
    <n v="50.990819930257686"/>
    <n v="324488.35776019684"/>
    <x v="3"/>
    <n v="6.8429946359565853E-6"/>
    <n v="2218193.5009343885"/>
    <n v="0.14628496460002693"/>
  </r>
  <r>
    <x v="7"/>
    <n v="1000"/>
    <n v="25"/>
    <x v="0"/>
    <n v="17.298080304000546"/>
    <n v="5.522468375884225"/>
    <n v="20.781896939713871"/>
    <n v="18.807350750101389"/>
    <m/>
    <n v="0.91596568608862217"/>
    <n v="0.27"/>
    <n v="132.67893707895641"/>
    <n v="57.806175905769393"/>
    <n v="1.3313247708040983"/>
    <m/>
    <m/>
    <m/>
    <m/>
    <m/>
    <m/>
    <m/>
    <m/>
    <m/>
    <m/>
    <m/>
    <n v="7.0787469670438363E-2"/>
    <m/>
    <m/>
    <m/>
    <m/>
    <m/>
    <m/>
    <m/>
    <m/>
    <m/>
    <m/>
    <m/>
    <n v="706.41659600889284"/>
    <n v="0.26573456657514632"/>
    <n v="5.4705790696759196E-2"/>
    <n v="83.798002301330484"/>
    <n v="40.754210606844254"/>
    <x v="5"/>
    <n v="14.644015877877388"/>
    <n v="3.9965468373646496"/>
    <n v="0.3"/>
    <n v="1"/>
    <n v="0.4"/>
    <x v="0"/>
    <n v="0.87912352567065799"/>
    <n v="0.27"/>
    <n v="40.754210606844254"/>
    <n v="0.87912352567065799"/>
    <n v="49.722769960227545"/>
    <n v="233.03718922242504"/>
    <n v="114165.19737476899"/>
    <n v="55.995789886059733"/>
    <n v="337725.65796327544"/>
    <x v="3"/>
    <n v="6.1971852246917696E-6"/>
    <n v="2341651.9737476902"/>
    <n v="0.14422538521929174"/>
  </r>
  <r>
    <x v="8"/>
    <n v="1000"/>
    <n v="25"/>
    <x v="0"/>
    <n v="11.956154655888186"/>
    <n v="3.5473651343416659"/>
    <n v="14.15218119941443"/>
    <n v="12.796791295514844"/>
    <m/>
    <n v="0.80477386872941292"/>
    <n v="0.27"/>
    <n v="89.009707820010178"/>
    <n v="38.780163158095725"/>
    <n v="1.3012778429247955"/>
    <m/>
    <m/>
    <m/>
    <m/>
    <m/>
    <m/>
    <m/>
    <m/>
    <m/>
    <m/>
    <m/>
    <n v="0.10168782258571969"/>
    <m/>
    <m/>
    <m/>
    <m/>
    <m/>
    <m/>
    <m/>
    <m/>
    <m/>
    <m/>
    <m/>
    <n v="724.16941089602221"/>
    <n v="0.2506585440333709"/>
    <n v="4.029462755589773E-2"/>
    <n v="103.28166852262615"/>
    <n v="73.53048943362414"/>
    <x v="5"/>
    <n v="14.644015877877388"/>
    <n v="3.9965468373646496"/>
    <n v="0.3"/>
    <n v="1"/>
    <n v="0.4"/>
    <x v="0"/>
    <n v="0.71459263218864477"/>
    <n v="0.27"/>
    <n v="73.53048943362414"/>
    <n v="0.71459263218864477"/>
    <n v="34.769315204320598"/>
    <n v="129.42880259002911"/>
    <n v="60559.545534873352"/>
    <n v="39.508787952135968"/>
    <n v="677730.11993393011"/>
    <x v="3"/>
    <n v="4.4872148846588978E-6"/>
    <n v="1805595.4553487336"/>
    <n v="0.37534992565819952"/>
  </r>
  <r>
    <x v="9"/>
    <n v="1000"/>
    <n v="25"/>
    <x v="0"/>
    <n v="3.9572310330375098"/>
    <n v="0.79144145750119299"/>
    <n v="4.4636972319486636"/>
    <n v="3.923115114481353"/>
    <m/>
    <n v="0.64051644831083032"/>
    <n v="0.27"/>
    <n v="26.829019848758236"/>
    <n v="11.68899205028886"/>
    <n v="0.99599087581674972"/>
    <m/>
    <m/>
    <m/>
    <m/>
    <m/>
    <m/>
    <m/>
    <m/>
    <m/>
    <m/>
    <m/>
    <n v="0.25387755565475489"/>
    <m/>
    <m/>
    <m/>
    <m/>
    <m/>
    <m/>
    <m/>
    <m/>
    <m/>
    <m/>
    <m/>
    <n v="783.70089862044517"/>
    <n v="0.17730625899904118"/>
    <n v="3.7887261176141274E-2"/>
    <n v="295.55246512435968"/>
    <n v="285.70546071207053"/>
    <x v="5"/>
    <n v="14.644015877877388"/>
    <n v="3.9965468373646496"/>
    <n v="0.3"/>
    <n v="1"/>
    <n v="0.4"/>
    <x v="0"/>
    <n v="0.53287220924345902"/>
    <n v="0.27"/>
    <n v="285.70546071207053"/>
    <n v="0.53287220924345902"/>
    <n v="9.7281919106270589"/>
    <n v="33.180138787462056"/>
    <n v="12506.885877612076"/>
    <n v="11.118049276760866"/>
    <n v="877960.16761833569"/>
    <x v="3"/>
    <n v="1.4102903074113937E-6"/>
    <n v="1325068.8587761207"/>
    <n v="0.6625770138687358"/>
  </r>
  <r>
    <x v="0"/>
    <n v="100"/>
    <n v="25"/>
    <x v="0"/>
    <n v="3.2521543558438477"/>
    <n v="0.8915098721491671"/>
    <n v="3.9209881448619086"/>
    <n v="0.89089712362086937"/>
    <m/>
    <n v="0.14515142263826464"/>
    <n v="0.08"/>
    <n v="17.92172687798654"/>
    <n v="10.010773869175043"/>
    <n v="0.32017891180809954"/>
    <m/>
    <m/>
    <m/>
    <m/>
    <m/>
    <m/>
    <m/>
    <m/>
    <m/>
    <m/>
    <m/>
    <n v="0.35938932040413124"/>
    <m/>
    <m/>
    <m/>
    <m/>
    <m/>
    <m/>
    <m/>
    <m/>
    <m/>
    <m/>
    <m/>
    <n v="536.35459302182983"/>
    <n v="0.22736867320484203"/>
    <n v="0.20790724563009205"/>
    <n v="384.35766706452324"/>
    <n v="376.26513711777994"/>
    <x v="6"/>
    <n v="4.8813386259591285"/>
    <n v="1.3321822791215501"/>
    <n v="0.1"/>
    <n v="0"/>
    <n v="0.2"/>
    <x v="0"/>
    <n v="8.2945159444337474E-2"/>
    <n v="0.08"/>
    <n v="376.26513711777994"/>
    <n v="8.2945159444337474E-2"/>
    <n v="10.114251729338401"/>
    <n v="69.866603943719923"/>
    <n v="26062.986490746283"/>
    <n v="19.364937233671061"/>
    <n v="18650.733263777569"/>
    <x v="0"/>
    <n v="1.992586507475637E-6"/>
    <n v="1460629.8649074628"/>
    <n v="1.2768966123364301E-2"/>
  </r>
  <r>
    <x v="0"/>
    <n v="200"/>
    <n v="25"/>
    <x v="0"/>
    <n v="5.9361381897308165"/>
    <n v="1.6466826253305218"/>
    <n v="7.0898895748759152"/>
    <n v="1.6459502927726946"/>
    <m/>
    <n v="0.14236303188617355"/>
    <n v="0.08"/>
    <n v="33.172714148694183"/>
    <n v="18.529717712485855"/>
    <n v="0.51714733614462638"/>
    <m/>
    <m/>
    <m/>
    <m/>
    <m/>
    <m/>
    <m/>
    <m/>
    <m/>
    <m/>
    <m/>
    <n v="0.31419377511909125"/>
    <m/>
    <m/>
    <m/>
    <m/>
    <m/>
    <m/>
    <m/>
    <m/>
    <m/>
    <m/>
    <m/>
    <n v="618.21121740147362"/>
    <n v="0.23225786635179596"/>
    <n v="0.23195992857922521"/>
    <n v="374.40877730006997"/>
    <n v="359.63754932916049"/>
    <x v="6"/>
    <n v="4.8813386259591285"/>
    <n v="1.3321822791215501"/>
    <n v="0.1"/>
    <n v="0"/>
    <n v="0.2"/>
    <x v="0"/>
    <n v="8.3717946534625623E-2"/>
    <n v="0.08"/>
    <n v="359.63754932916049"/>
    <n v="8.3717946534625623E-2"/>
    <n v="18.510135369244708"/>
    <n v="101.66095283066385"/>
    <n v="42238.397423597271"/>
    <n v="30.503076161271366"/>
    <n v="51469.276256106416"/>
    <x v="0"/>
    <n v="3.3320415289730976E-6"/>
    <n v="1622383.9742359729"/>
    <n v="3.1724472796487511E-2"/>
  </r>
  <r>
    <x v="0"/>
    <n v="300"/>
    <n v="25"/>
    <x v="0"/>
    <n v="8.2116518712299253"/>
    <n v="2.3240480665119696"/>
    <n v="9.7839205840678893"/>
    <n v="2.3104685524818174"/>
    <m/>
    <n v="0.14102026525046557"/>
    <n v="0.08"/>
    <n v="46.630409824496553"/>
    <n v="26.046959166271918"/>
    <n v="0.66136278682363336"/>
    <m/>
    <m/>
    <m/>
    <m/>
    <m/>
    <m/>
    <m/>
    <m/>
    <m/>
    <m/>
    <m/>
    <n v="0.28624617552713394"/>
    <m/>
    <m/>
    <m/>
    <m/>
    <m/>
    <m/>
    <m/>
    <m/>
    <m/>
    <m/>
    <m/>
    <n v="676.75455111319866"/>
    <n v="0.23753750314535907"/>
    <n v="0.24517280011791551"/>
    <n v="366.50667664895718"/>
    <n v="346.07315770138206"/>
    <x v="6"/>
    <n v="4.8813386259591285"/>
    <n v="1.3321822791215501"/>
    <n v="0.1"/>
    <n v="0"/>
    <n v="0.2"/>
    <x v="0"/>
    <n v="8.4797619592510295E-2"/>
    <n v="0.08"/>
    <n v="346.07315770138206"/>
    <n v="8.4797619592510295E-2"/>
    <n v="25.87961399481626"/>
    <n v="124.52696915437291"/>
    <n v="55467.67480956595"/>
    <n v="39.570902678418577"/>
    <n v="88765.660594947927"/>
    <x v="0"/>
    <n v="4.2320494406380234E-6"/>
    <n v="1754676.7480956595"/>
    <n v="5.0588041752581941E-2"/>
  </r>
  <r>
    <x v="0"/>
    <n v="400"/>
    <n v="25"/>
    <x v="0"/>
    <n v="10.175420502495385"/>
    <n v="2.9426102465306965"/>
    <n v="12.122024786499916"/>
    <n v="2.9042095206312748"/>
    <m/>
    <n v="0.14008356683179296"/>
    <n v="0.08"/>
    <n v="58.679643383752101"/>
    <n v="32.777457475937823"/>
    <n v="0.77549271016201349"/>
    <m/>
    <m/>
    <m/>
    <m/>
    <m/>
    <m/>
    <m/>
    <m/>
    <m/>
    <m/>
    <m/>
    <n v="0.26702367878521666"/>
    <m/>
    <m/>
    <m/>
    <m/>
    <m/>
    <m/>
    <m/>
    <m/>
    <m/>
    <m/>
    <m/>
    <n v="722.3541149440473"/>
    <n v="0.2427490702549816"/>
    <n v="0.25392787140093698"/>
    <n v="359.92791005431224"/>
    <n v="334.60775986304037"/>
    <x v="6"/>
    <n v="4.8813386259591285"/>
    <n v="1.3321822791215501"/>
    <n v="0.1"/>
    <n v="0"/>
    <n v="0.2"/>
    <x v="0"/>
    <n v="8.562871719133551E-2"/>
    <n v="0.08"/>
    <n v="334.60775986304037"/>
    <n v="8.562871719133551E-2"/>
    <n v="32.47806844585476"/>
    <n v="142.71672768363757"/>
    <n v="66881.95613229525"/>
    <n v="47.402936612035816"/>
    <n v="127617.04143710037"/>
    <x v="0"/>
    <n v="4.8669607385343412E-6"/>
    <n v="1868819.5613229526"/>
    <n v="6.8287513721634649E-2"/>
  </r>
  <r>
    <x v="0"/>
    <n v="600"/>
    <n v="25"/>
    <x v="0"/>
    <n v="13.386452694673856"/>
    <n v="4.0334693260548296"/>
    <n v="15.980452257996836"/>
    <n v="3.920995217169569"/>
    <m/>
    <n v="0.13886150872185241"/>
    <n v="0.08"/>
    <n v="79.366516132209938"/>
    <n v="44.332795114722174"/>
    <n v="0.94764156293348911"/>
    <m/>
    <m/>
    <m/>
    <m/>
    <m/>
    <m/>
    <m/>
    <m/>
    <m/>
    <m/>
    <m/>
    <n v="0.24168393748196379"/>
    <m/>
    <m/>
    <m/>
    <m/>
    <m/>
    <m/>
    <m/>
    <m/>
    <m/>
    <m/>
    <m/>
    <n v="790.06426489481873"/>
    <n v="0.252400198751348"/>
    <n v="0.26536075829938882"/>
    <n v="349.55375926544946"/>
    <n v="316.24348342807366"/>
    <x v="6"/>
    <n v="4.8813386259591285"/>
    <n v="1.3321822791215501"/>
    <n v="0.1"/>
    <n v="0"/>
    <n v="0.2"/>
    <x v="0"/>
    <n v="8.6788483171278269E-2"/>
    <n v="0.08"/>
    <n v="316.24348342807366"/>
    <n v="8.6788483171278269E-2"/>
    <n v="43.831299728554626"/>
    <n v="170.46973247948534"/>
    <n v="85738.670190716643"/>
    <n v="60.436227638740355"/>
    <n v="204572.70631105825"/>
    <x v="0"/>
    <n v="5.6758726542304229E-6"/>
    <n v="2057386.7019071663"/>
    <n v="9.943327917956428E-2"/>
  </r>
  <r>
    <x v="0"/>
    <n v="800"/>
    <n v="25"/>
    <x v="0"/>
    <n v="15.863939200635659"/>
    <n v="4.9518673395038828"/>
    <n v="18.993002422953751"/>
    <n v="4.750732869474346"/>
    <m/>
    <n v="0.13822038392440605"/>
    <n v="0.08"/>
    <n v="96.299031434810843"/>
    <n v="53.791012109363002"/>
    <n v="1.0708017997302397"/>
    <m/>
    <m/>
    <m/>
    <m/>
    <m/>
    <m/>
    <m/>
    <m/>
    <m/>
    <m/>
    <m/>
    <n v="0.22539718168761624"/>
    <m/>
    <m/>
    <m/>
    <m/>
    <m/>
    <m/>
    <m/>
    <m/>
    <m/>
    <m/>
    <m/>
    <n v="837.77973229381939"/>
    <n v="0.26072061853261108"/>
    <n v="0.2728292673653448"/>
    <n v="341.85396840364524"/>
    <n v="302.37883242869998"/>
    <x v="6"/>
    <n v="4.8813386259591285"/>
    <n v="1.3321822791215501"/>
    <n v="0.1"/>
    <n v="0"/>
    <n v="0.2"/>
    <x v="0"/>
    <n v="8.7613573333132175E-2"/>
    <n v="0.08"/>
    <n v="302.37883242869998"/>
    <n v="8.7613573333132175E-2"/>
    <n v="53.137350313116322"/>
    <n v="190.48612009479439"/>
    <n v="100428.31078404484"/>
    <n v="70.765700931665563"/>
    <n v="275805.30458195577"/>
    <x v="0"/>
    <n v="6.1446246430901092E-6"/>
    <n v="2204283.1078404486"/>
    <n v="0.1251224507418941"/>
  </r>
  <r>
    <x v="0"/>
    <n v="1000"/>
    <n v="25"/>
    <x v="0"/>
    <n v="17.789098648993875"/>
    <n v="5.7174849093819757"/>
    <n v="21.358236200384809"/>
    <n v="5.4269767626870626"/>
    <m/>
    <n v="0.13791032126309885"/>
    <n v="0.08"/>
    <n v="110.13730566670037"/>
    <n v="61.520838315186857"/>
    <n v="1.1617039853721192"/>
    <m/>
    <m/>
    <m/>
    <m/>
    <m/>
    <m/>
    <m/>
    <m/>
    <m/>
    <m/>
    <m/>
    <n v="0.21406098389058217"/>
    <m/>
    <m/>
    <m/>
    <m/>
    <m/>
    <m/>
    <m/>
    <m/>
    <m/>
    <m/>
    <m/>
    <n v="872.63007158459311"/>
    <n v="0.26769461933747901"/>
    <n v="0.27814462555691227"/>
    <n v="336.04370886773086"/>
    <n v="291.77807889853392"/>
    <x v="6"/>
    <n v="4.8813386259591285"/>
    <n v="1.3321822791215501"/>
    <n v="0.1"/>
    <n v="0"/>
    <n v="0.2"/>
    <x v="0"/>
    <n v="8.8257770235194724E-2"/>
    <n v="0.08"/>
    <n v="291.77807889853392"/>
    <n v="8.8257770235194724E-2"/>
    <n v="60.738555025533934"/>
    <n v="205.15033218776327"/>
    <n v="111859.96316510529"/>
    <n v="79.007706492216059"/>
    <n v="338710.34264566191"/>
    <x v="0"/>
    <n v="6.4349180159503742E-6"/>
    <n v="2318599.6316510532"/>
    <n v="0.14608401468798191"/>
  </r>
  <r>
    <x v="0"/>
    <n v="1300"/>
    <n v="25"/>
    <x v="0"/>
    <n v="19.917440422633344"/>
    <n v="6.6182315892812644"/>
    <n v="23.998139256070019"/>
    <n v="6.2112473337667726"/>
    <m/>
    <n v="0.13653100705981158"/>
    <n v="0.08"/>
    <n v="126.23655738605262"/>
    <n v="70.513608349157465"/>
    <n v="1.277364216809735"/>
    <m/>
    <m/>
    <m/>
    <m/>
    <m/>
    <m/>
    <m/>
    <m/>
    <m/>
    <m/>
    <m/>
    <n v="0.20565341358497879"/>
    <m/>
    <m/>
    <m/>
    <m/>
    <m/>
    <m/>
    <m/>
    <m/>
    <m/>
    <m/>
    <m/>
    <n v="918.93560860387288"/>
    <n v="0.2757810311317061"/>
    <n v="0.28378611851566066"/>
    <n v="329.81531116880825"/>
    <n v="280.25350019900554"/>
    <x v="6"/>
    <n v="4.8813386259591285"/>
    <n v="1.3321822791215501"/>
    <n v="0.1"/>
    <n v="0"/>
    <n v="0.2"/>
    <x v="0"/>
    <n v="8.8535464993944921E-2"/>
    <n v="0.08"/>
    <n v="280.25350019900554"/>
    <n v="8.8535464993944921E-2"/>
    <n v="69.536559332588595"/>
    <n v="220.23262792813912"/>
    <n v="124411.53636762852"/>
    <n v="88.400587590277581"/>
    <n v="416359.14364968293"/>
    <x v="0"/>
    <n v="6.6950586479331229E-6"/>
    <n v="2444115.3636762854"/>
    <n v="0.17035167399930809"/>
  </r>
  <r>
    <x v="0"/>
    <n v="1600"/>
    <n v="25"/>
    <x v="0"/>
    <n v="21.356245301111962"/>
    <n v="7.2587527969329031"/>
    <n v="25.795612332443589"/>
    <n v="6.7769614727294156"/>
    <m/>
    <n v="0.13707095712346992"/>
    <n v="0.08"/>
    <n v="137.89280320524279"/>
    <n v="77.024590346252793"/>
    <n v="1.3392971852392925"/>
    <m/>
    <m/>
    <m/>
    <m/>
    <m/>
    <m/>
    <m/>
    <m/>
    <m/>
    <m/>
    <m/>
    <n v="0.19762502570342808"/>
    <m/>
    <m/>
    <m/>
    <m/>
    <m/>
    <m/>
    <m/>
    <m/>
    <m/>
    <m/>
    <m/>
    <n v="942.3707045214619"/>
    <n v="0.28139486294742627"/>
    <n v="0.28806938797575704"/>
    <n v="325.86423204776889"/>
    <n v="272.72211190181616"/>
    <x v="6"/>
    <n v="4.8813386259591285"/>
    <n v="1.3321822791215501"/>
    <n v="0.1"/>
    <n v="0"/>
    <n v="0.2"/>
    <x v="0"/>
    <n v="8.941148423947573E-2"/>
    <n v="0.08"/>
    <n v="272.72211190181616"/>
    <n v="8.941148423947573E-2"/>
    <n v="75.69543797567357"/>
    <n v="229.44711239424291"/>
    <n v="132438.62460004759"/>
    <n v="94.549140751827082"/>
    <n v="473100.08698584262"/>
    <x v="0"/>
    <n v="6.8510630950773494E-6"/>
    <n v="2524386.2460004762"/>
    <n v="0.18741192546719071"/>
  </r>
  <r>
    <x v="0"/>
    <n v="1900"/>
    <n v="25"/>
    <x v="0"/>
    <n v="22.458311705861355"/>
    <n v="7.7796033400038116"/>
    <n v="27.188229555856935"/>
    <n v="7.2145870046374769"/>
    <m/>
    <n v="0.13704207405918772"/>
    <n v="0.08"/>
    <n v="146.93110448126353"/>
    <n v="82.073232748389714"/>
    <n v="1.387552066539957"/>
    <m/>
    <m/>
    <m/>
    <m/>
    <m/>
    <m/>
    <m/>
    <m/>
    <m/>
    <m/>
    <m/>
    <n v="0.1923259177064536"/>
    <m/>
    <m/>
    <m/>
    <m/>
    <m/>
    <m/>
    <m/>
    <m/>
    <m/>
    <m/>
    <m/>
    <n v="960.57459496462423"/>
    <n v="0.28613865143447398"/>
    <n v="0.2904700053832513"/>
    <n v="322.68285437517221"/>
    <n v="266.79856169464591"/>
    <x v="6"/>
    <n v="4.8813386259591285"/>
    <n v="1.3321822791215501"/>
    <n v="0.1"/>
    <n v="0"/>
    <n v="0.2"/>
    <x v="0"/>
    <n v="8.9795486615636563E-2"/>
    <n v="0.08"/>
    <n v="266.79856169464591"/>
    <n v="8.9795486615636563E-2"/>
    <n v="80.6347025844249"/>
    <n v="236.25617165261335"/>
    <n v="138890.39529455552"/>
    <n v="99.790300344856291"/>
    <n v="520284.6962455191"/>
    <x v="0"/>
    <n v="6.9451155550585999E-6"/>
    <n v="2588903.9529455551"/>
    <n v="0.20096716823100341"/>
  </r>
  <r>
    <x v="0"/>
    <n v="1000"/>
    <n v="25"/>
    <x v="1"/>
    <n v="12.053244281565012"/>
    <n v="9.6277287398587816"/>
    <n v="17.682235872279335"/>
    <n v="5.7127071602242934"/>
    <m/>
    <n v="0.15906511503465373"/>
    <n v="0.08"/>
    <n v="116.45826299246094"/>
    <n v="65.051618292791531"/>
    <n v="0.781721205655181"/>
    <m/>
    <m/>
    <m/>
    <m/>
    <m/>
    <m/>
    <m/>
    <m/>
    <m/>
    <m/>
    <m/>
    <n v="0.13683901235093046"/>
    <m/>
    <m/>
    <m/>
    <m/>
    <m/>
    <m/>
    <m/>
    <m/>
    <m/>
    <m/>
    <m/>
    <n v="519.01307001467717"/>
    <n v="0.54448593545527202"/>
    <n v="0.28797782349296758"/>
    <n v="158.14523446504433"/>
    <n v="128.15246718708673"/>
    <x v="6"/>
    <n v="4.8813386259591285"/>
    <n v="1.3321822791215501"/>
    <n v="0.1"/>
    <n v="0"/>
    <n v="0.2"/>
    <x v="0"/>
    <n v="8.2434694665739036E-2"/>
    <n v="0.08"/>
    <n v="128.15246718708673"/>
    <n v="8.2434694665739036E-2"/>
    <n v="83.708342420308156"/>
    <n v="224.89475776874954"/>
    <n v="135173.16029274304"/>
    <n v="101.15613054522301"/>
    <n v="238699.73683461241"/>
    <x v="1"/>
    <n v="4.0795717281689321E-6"/>
    <n v="2551731.6029274305"/>
    <n v="9.3544217801264137E-2"/>
  </r>
  <r>
    <x v="0"/>
    <n v="1000"/>
    <n v="25"/>
    <x v="2"/>
    <n v="15.576714864389263"/>
    <n v="7.2798354490591866"/>
    <n v="19.970839727251828"/>
    <n v="5.5419363145110232"/>
    <m/>
    <n v="0.13974270415085474"/>
    <n v="0.08"/>
    <n v="112.62821697029248"/>
    <n v="62.912219288582996"/>
    <n v="1.0392227059211487"/>
    <m/>
    <m/>
    <m/>
    <m/>
    <m/>
    <m/>
    <m/>
    <m/>
    <m/>
    <m/>
    <m/>
    <n v="0.18751978495314803"/>
    <m/>
    <m/>
    <m/>
    <m/>
    <m/>
    <m/>
    <m/>
    <m/>
    <m/>
    <m/>
    <m/>
    <n v="725.59174702039616"/>
    <n v="0.36452325232600319"/>
    <n v="0.28188472644386797"/>
    <n v="244.7408340959152"/>
    <n v="205.98039405982172"/>
    <x v="6"/>
    <n v="4.8813386259591285"/>
    <n v="1.3321822791215501"/>
    <n v="0.1"/>
    <n v="0"/>
    <n v="0.2"/>
    <x v="0"/>
    <n v="8.3215475893404708E-2"/>
    <n v="0.08"/>
    <n v="205.98039405982172"/>
    <n v="8.3215475893404708E-2"/>
    <n v="70.075437259886769"/>
    <n v="212.71484530524435"/>
    <n v="121747.36317173245"/>
    <n v="88.968010027944629"/>
    <n v="304379.87345891539"/>
    <x v="1"/>
    <n v="5.4706471873262609E-6"/>
    <n v="2417473.6317173243"/>
    <n v="0.12590824961457392"/>
  </r>
  <r>
    <x v="0"/>
    <n v="1000"/>
    <n v="25"/>
    <x v="0"/>
    <n v="17.786364135396404"/>
    <n v="5.7159879091757917"/>
    <n v="21.354591466989397"/>
    <n v="5.4265450329729665"/>
    <m/>
    <n v="0.13795740678368287"/>
    <n v="0.08"/>
    <n v="110.1285982188181"/>
    <n v="61.515974481901125"/>
    <n v="1.1612594508346348"/>
    <m/>
    <m/>
    <m/>
    <m/>
    <m/>
    <m/>
    <m/>
    <m/>
    <m/>
    <m/>
    <m/>
    <n v="0.21399609581760562"/>
    <m/>
    <m/>
    <m/>
    <m/>
    <m/>
    <m/>
    <m/>
    <m/>
    <m/>
    <m/>
    <m/>
    <n v="872.43608504230838"/>
    <n v="0.2676702065694746"/>
    <n v="0.27819523536539181"/>
    <n v="336.06517339509736"/>
    <n v="291.80635962499144"/>
    <x v="6"/>
    <n v="4.8813386259591285"/>
    <n v="1.3321822791215501"/>
    <n v="0.1"/>
    <n v="0"/>
    <n v="0.2"/>
    <x v="0"/>
    <n v="8.8281982081138383E-2"/>
    <n v="0.08"/>
    <n v="291.80635962499144"/>
    <n v="8.8281982081138383E-2"/>
    <n v="60.724388734862181"/>
    <n v="205.12435269043465"/>
    <n v="111823.11894731758"/>
    <n v="78.968998111604463"/>
    <n v="338576.19394844025"/>
    <x v="1"/>
    <n v="6.4351674651140139E-6"/>
    <n v="2318231.1894731754"/>
    <n v="0.14604936534625032"/>
  </r>
  <r>
    <x v="0"/>
    <n v="1000"/>
    <n v="25"/>
    <x v="3"/>
    <n v="19.234718138377758"/>
    <n v="4.6584412097119055"/>
    <n v="22.245509533302901"/>
    <n v="5.3557683931078257"/>
    <m/>
    <n v="0.13851998484253522"/>
    <n v="0.08"/>
    <n v="108.60692858045229"/>
    <n v="60.665995528590521"/>
    <n v="1.2453317379184252"/>
    <m/>
    <m/>
    <m/>
    <m/>
    <m/>
    <m/>
    <m/>
    <m/>
    <m/>
    <m/>
    <m/>
    <n v="0.2325215816877004"/>
    <m/>
    <m/>
    <m/>
    <m/>
    <m/>
    <m/>
    <m/>
    <m/>
    <m/>
    <m/>
    <m/>
    <n v="1004.9055998327996"/>
    <n v="0.20941040719871717"/>
    <n v="0.27518493675256855"/>
    <n v="430.10257623340561"/>
    <n v="382.23973087358684"/>
    <x v="6"/>
    <n v="4.8813386259591285"/>
    <n v="1.3321822791215501"/>
    <n v="0.1"/>
    <n v="0"/>
    <n v="0.2"/>
    <x v="0"/>
    <n v="9.3324912096174883E-2"/>
    <n v="0.08"/>
    <n v="382.23973087358684"/>
    <n v="9.3324912096174883E-2"/>
    <n v="54.338117236893083"/>
    <n v="200.63205364334993"/>
    <n v="105287.72943159062"/>
    <n v="71.996262384326371"/>
    <n v="357902.82057763916"/>
    <x v="1"/>
    <n v="7.1034480051896973E-6"/>
    <n v="2252877.2943159062"/>
    <n v="0.1588647643973515"/>
  </r>
  <r>
    <x v="0"/>
    <n v="1000"/>
    <n v="25"/>
    <x v="4"/>
    <n v="20.250247262427703"/>
    <n v="3.9179011846117437"/>
    <n v="22.870830403682238"/>
    <n v="5.3074193877372871"/>
    <m/>
    <n v="0.13972938801887824"/>
    <n v="0.08"/>
    <n v="107.57375949531475"/>
    <n v="60.088884731715325"/>
    <n v="1.3011887046712758"/>
    <m/>
    <m/>
    <m/>
    <m/>
    <m/>
    <m/>
    <m/>
    <m/>
    <m/>
    <m/>
    <m/>
    <n v="0.24516410134794564"/>
    <m/>
    <m/>
    <m/>
    <m/>
    <m/>
    <m/>
    <m/>
    <m/>
    <m/>
    <m/>
    <m/>
    <n v="1125.9989986723788"/>
    <n v="0.17130559387038941"/>
    <n v="0.27289408275831512"/>
    <n v="525.79448019632559"/>
    <n v="475.40464633674134"/>
    <x v="6"/>
    <n v="4.8813386259591285"/>
    <n v="1.3321822791215501"/>
    <n v="0.1"/>
    <n v="0"/>
    <n v="0.2"/>
    <x v="0"/>
    <n v="9.7851372154707655E-2"/>
    <n v="0.08"/>
    <n v="475.40464633674134"/>
    <n v="9.7851372154707655E-2"/>
    <n v="49.861328813222258"/>
    <n v="197.63475104182723"/>
    <n v="100739.07729018691"/>
    <n v="67.018268537638804"/>
    <n v="369873.38937180262"/>
    <x v="1"/>
    <n v="7.590291726637869E-6"/>
    <n v="2207390.7729018689"/>
    <n v="0.16756135520380089"/>
  </r>
  <r>
    <x v="0"/>
    <n v="1000"/>
    <n v="25"/>
    <x v="5"/>
    <n v="20.996047179060682"/>
    <n v="3.375294908797088"/>
    <n v="23.330814707597465"/>
    <n v="5.2727544970194185"/>
    <m/>
    <n v="0.14097170683558977"/>
    <n v="0.08"/>
    <n v="106.83568129767582"/>
    <n v="59.676606719410202"/>
    <n v="1.340056532962822"/>
    <m/>
    <m/>
    <m/>
    <m/>
    <m/>
    <m/>
    <m/>
    <m/>
    <m/>
    <m/>
    <m/>
    <n v="0.25414734058267435"/>
    <m/>
    <m/>
    <m/>
    <m/>
    <m/>
    <m/>
    <m/>
    <m/>
    <m/>
    <m/>
    <m/>
    <n v="1240.3383310337254"/>
    <n v="0.14467111205070582"/>
    <n v="0.27111177336259024"/>
    <n v="622.55575285924544"/>
    <n v="570.31006455231409"/>
    <x v="6"/>
    <n v="4.8813386259591285"/>
    <n v="1.3321822791215501"/>
    <n v="0.1"/>
    <n v="0"/>
    <n v="0.2"/>
    <x v="0"/>
    <n v="0.10180690327666748"/>
    <n v="0.08"/>
    <n v="570.31006455231409"/>
    <n v="0.10180690327666748"/>
    <n v="46.580717792534109"/>
    <n v="195.51890667381977"/>
    <n v="97428.765220658242"/>
    <n v="63.329122981475948"/>
    <n v="377797.93318364833"/>
    <x v="1"/>
    <n v="7.9579323186078937E-6"/>
    <n v="2174287.6522065825"/>
    <n v="0.17375710743711345"/>
  </r>
  <r>
    <x v="0"/>
    <n v="1000"/>
    <n v="25"/>
    <x v="6"/>
    <n v="21.567514805914811"/>
    <n v="2.9630134287072134"/>
    <n v="23.685266981636538"/>
    <n v="5.2471266024127399"/>
    <m/>
    <n v="0.1420323924342306"/>
    <n v="0.08"/>
    <n v="106.29102197805111"/>
    <n v="59.372369224796948"/>
    <n v="1.3686166925016963"/>
    <m/>
    <m/>
    <m/>
    <m/>
    <m/>
    <m/>
    <m/>
    <m/>
    <m/>
    <m/>
    <m/>
    <n v="0.26083165057850471"/>
    <m/>
    <m/>
    <m/>
    <m/>
    <m/>
    <m/>
    <m/>
    <m/>
    <m/>
    <m/>
    <m/>
    <n v="1350.6556251782245"/>
    <n v="0.1250994312626694"/>
    <n v="0.26964440057066619"/>
    <n v="720.01497245902362"/>
    <n v="666.3472789273759"/>
    <x v="6"/>
    <n v="4.8813386259591285"/>
    <n v="1.3321822791215501"/>
    <n v="0.1"/>
    <n v="0"/>
    <n v="0.2"/>
    <x v="0"/>
    <n v="0.10521893385860466"/>
    <n v="0.08"/>
    <n v="666.3472789273759"/>
    <n v="0.10521893385860466"/>
    <n v="44.092325681360336"/>
    <n v="193.97080981606402"/>
    <n v="94949.028648626118"/>
    <n v="60.527374731184445"/>
    <n v="383459.49910964933"/>
    <x v="1"/>
    <n v="8.2441338558283712E-6"/>
    <n v="2149490.2864862611"/>
    <n v="0.17839554871238089"/>
  </r>
  <r>
    <x v="0"/>
    <n v="1000"/>
    <n v="25"/>
    <x v="7"/>
    <n v="22.018003635763879"/>
    <n v="2.6397000600507448"/>
    <n v="23.965650869934993"/>
    <n v="5.2274417324232232"/>
    <m/>
    <n v="0.14291994130661426"/>
    <n v="0.08"/>
    <n v="105.87326000179516"/>
    <n v="59.139014442419636"/>
    <n v="1.3898784869829539"/>
    <m/>
    <m/>
    <m/>
    <m/>
    <m/>
    <m/>
    <m/>
    <m/>
    <m/>
    <m/>
    <m/>
    <n v="0.26588120119297137"/>
    <m/>
    <m/>
    <m/>
    <m/>
    <m/>
    <m/>
    <m/>
    <m/>
    <m/>
    <m/>
    <m/>
    <n v="1458.1259235905748"/>
    <n v="0.11014514374663863"/>
    <n v="0.26843146670739587"/>
    <n v="817.97532567310884"/>
    <n v="763.18668009909754"/>
    <x v="6"/>
    <n v="4.8813386259591285"/>
    <n v="1.3321822791215501"/>
    <n v="0.1"/>
    <n v="0"/>
    <n v="0.2"/>
    <x v="0"/>
    <n v="0.10818632369081937"/>
    <n v="0.08"/>
    <n v="763.18668009909754"/>
    <n v="0.10818632369081937"/>
    <n v="42.143083457999069"/>
    <n v="192.79091706247783"/>
    <n v="93023.201220092917"/>
    <n v="58.327964595819424"/>
    <n v="387654.18772884377"/>
    <x v="1"/>
    <n v="8.4727900366450853E-6"/>
    <n v="2130232.0122009292"/>
    <n v="0.18197744917386924"/>
  </r>
  <r>
    <x v="0"/>
    <n v="1000"/>
    <n v="25"/>
    <x v="8"/>
    <n v="22.382385013500809"/>
    <n v="2.3797470606737465"/>
    <n v="24.1933321681548"/>
    <n v="5.2119287820358311"/>
    <m/>
    <n v="0.14364341423237356"/>
    <n v="0.08"/>
    <n v="105.5443356597255"/>
    <n v="58.955282861699537"/>
    <n v="1.4060584863602239"/>
    <m/>
    <m/>
    <m/>
    <m/>
    <m/>
    <m/>
    <m/>
    <m/>
    <m/>
    <m/>
    <m/>
    <n v="0.26977699526642485"/>
    <m/>
    <m/>
    <m/>
    <m/>
    <m/>
    <m/>
    <m/>
    <m/>
    <m/>
    <m/>
    <m/>
    <n v="1563.6314092319728"/>
    <n v="9.8363757589628772E-2"/>
    <n v="0.26740469715334503"/>
    <n v="916.29771185109189"/>
    <n v="860.60216605186031"/>
    <x v="6"/>
    <n v="4.8813386259591285"/>
    <n v="1.3321822791215501"/>
    <n v="0.1"/>
    <n v="0"/>
    <n v="0.2"/>
    <x v="0"/>
    <n v="0.11077904964625035"/>
    <n v="0.08"/>
    <n v="860.60216605186031"/>
    <n v="0.11077904964625035"/>
    <n v="40.57805196297597"/>
    <n v="191.86647048335101"/>
    <n v="91491.005884355953"/>
    <n v="56.562979243497011"/>
    <n v="390893.57173538482"/>
    <x v="1"/>
    <n v="8.6594204838902396E-6"/>
    <n v="2114910.0588435596"/>
    <n v="0.18482751552523555"/>
  </r>
  <r>
    <x v="0"/>
    <n v="1000"/>
    <n v="25"/>
    <x v="9"/>
    <n v="22.681577757167727"/>
    <n v="2.1661664373909293"/>
    <n v="24.380217843908227"/>
    <n v="5.1993071105063073"/>
    <m/>
    <n v="0.14426111300935879"/>
    <n v="0.08"/>
    <n v="105.27701251787906"/>
    <n v="58.80596067074989"/>
    <n v="1.4180238505821929"/>
    <m/>
    <m/>
    <m/>
    <m/>
    <m/>
    <m/>
    <m/>
    <m/>
    <m/>
    <m/>
    <m/>
    <n v="0.27273323549531703"/>
    <m/>
    <m/>
    <m/>
    <m/>
    <m/>
    <m/>
    <m/>
    <m/>
    <m/>
    <m/>
    <m/>
    <n v="1667.4795903503489"/>
    <n v="8.8849347091957145E-2"/>
    <n v="0.26655368086289016"/>
    <n v="1014.9080302183684"/>
    <n v="958.46766505925211"/>
    <x v="6"/>
    <n v="4.8813386259591285"/>
    <n v="1.3321822791215501"/>
    <n v="0.1"/>
    <n v="0"/>
    <n v="0.2"/>
    <x v="0"/>
    <n v="0.11308207210072493"/>
    <n v="0.08"/>
    <n v="958.46766505925211"/>
    <n v="0.11308207210072493"/>
    <n v="39.292002927551557"/>
    <n v="191.11807452441289"/>
    <n v="90234.115847862529"/>
    <n v="55.104672693601948"/>
    <n v="393402.43299734552"/>
    <x v="1"/>
    <n v="8.8145438144938185E-6"/>
    <n v="2102341.1584786251"/>
    <n v="0.18712587698279862"/>
  </r>
  <r>
    <x v="0"/>
    <n v="1000"/>
    <n v="25"/>
    <x v="0"/>
    <n v="17.789374432989522"/>
    <n v="5.7176362793164737"/>
    <n v="21.358604050103374"/>
    <n v="5.4270210085476052"/>
    <m/>
    <n v="0.13790563213688595"/>
    <n v="0.08"/>
    <n v="110.13819800942638"/>
    <n v="61.521336762758615"/>
    <n v="1.1617482851307095"/>
    <m/>
    <m/>
    <m/>
    <m/>
    <m/>
    <m/>
    <m/>
    <m/>
    <m/>
    <m/>
    <m/>
    <n v="0.21406740148986816"/>
    <m/>
    <m/>
    <m/>
    <m/>
    <m/>
    <m/>
    <m/>
    <m/>
    <m/>
    <m/>
    <m/>
    <n v="872.64935033390748"/>
    <n v="0.26769709602293978"/>
    <n v="0.27813956510799509"/>
    <n v="336.04155372112439"/>
    <n v="291.77520776855334"/>
    <x v="6"/>
    <n v="4.8813386259591285"/>
    <n v="1.3321822791215501"/>
    <n v="0.1"/>
    <n v="0"/>
    <n v="0.2"/>
    <x v="0"/>
    <n v="8.8255354880377737E-2"/>
    <n v="0.08"/>
    <n v="291.77520776855334"/>
    <n v="8.8255354880377737E-2"/>
    <n v="60.739986346826463"/>
    <n v="205.1529947551804"/>
    <n v="111863.6865259894"/>
    <n v="79.011596227066306"/>
    <n v="338723.88757511834"/>
    <x v="2"/>
    <n v="6.4348926342215527E-6"/>
    <n v="2318636.8652598942"/>
    <n v="0.14608751057581026"/>
  </r>
  <r>
    <x v="0"/>
    <n v="1000"/>
    <n v="25"/>
    <x v="0"/>
    <n v="17.195983887366577"/>
    <n v="5.4546651014339327"/>
    <n v="20.595955357328005"/>
    <n v="5.2352232702971078"/>
    <m/>
    <n v="0.13986671593016226"/>
    <n v="0.08"/>
    <n v="106.2808952691672"/>
    <n v="59.366712616292311"/>
    <n v="1.1217959774395245"/>
    <m/>
    <m/>
    <m/>
    <m/>
    <m/>
    <m/>
    <m/>
    <m/>
    <m/>
    <m/>
    <m/>
    <n v="0.2142785358943938"/>
    <m/>
    <m/>
    <m/>
    <m/>
    <m/>
    <m/>
    <m/>
    <m/>
    <m/>
    <m/>
    <m/>
    <n v="856.59033030881744"/>
    <n v="0.26484156752132271"/>
    <n v="0.27952819280022323"/>
    <n v="338.4821126087399"/>
    <n v="295.69234158905533"/>
    <x v="6"/>
    <n v="4.8813386259591285"/>
    <n v="1.3321822791215501"/>
    <n v="0.1"/>
    <n v="0"/>
    <n v="0.2"/>
    <x v="1"/>
    <n v="8.9325699881386389E-2"/>
    <n v="0.08"/>
    <n v="295.69234158905533"/>
    <n v="8.9325699881386389E-2"/>
    <n v="58.168729441998195"/>
    <n v="193.94213194027083"/>
    <n v="104731.44007217123"/>
    <n v="75.113435757514779"/>
    <n v="386515.83944116376"/>
    <x v="2"/>
    <n v="6.2604049150519498E-6"/>
    <n v="2247314.400721712"/>
    <n v="0.17199010486340338"/>
  </r>
  <r>
    <x v="0"/>
    <n v="1000"/>
    <n v="25"/>
    <x v="0"/>
    <n v="15.017047852984801"/>
    <n v="4.5573257226750039"/>
    <n v="17.845030873670513"/>
    <n v="4.5427947923758536"/>
    <m/>
    <n v="0.14755949446457234"/>
    <n v="0.08"/>
    <n v="92.327293864008098"/>
    <n v="51.572466599786544"/>
    <n v="0.97445321010421759"/>
    <m/>
    <m/>
    <m/>
    <m/>
    <m/>
    <m/>
    <m/>
    <m/>
    <m/>
    <m/>
    <m/>
    <n v="0.21450522302694297"/>
    <m/>
    <m/>
    <m/>
    <m/>
    <m/>
    <m/>
    <m/>
    <m/>
    <m/>
    <m/>
    <m/>
    <n v="796.99198275183528"/>
    <n v="0.25538345968339676"/>
    <n v="0.28405494517021374"/>
    <n v="347.13329900316938"/>
    <n v="309.76537769972634"/>
    <x v="6"/>
    <n v="4.8813386259591285"/>
    <n v="1.3321822791215501"/>
    <n v="0.1"/>
    <n v="0"/>
    <n v="0.2"/>
    <x v="2"/>
    <n v="9.3484833827636227E-2"/>
    <n v="0.08"/>
    <n v="309.76537769972634"/>
    <n v="9.3484833827636227E-2"/>
    <n v="49.246964084447782"/>
    <n v="157.65491109003091"/>
    <n v="81879.397177903957"/>
    <n v="62.073152649253522"/>
    <n v="508526.96392973553"/>
    <x v="2"/>
    <n v="5.6479851375395995E-6"/>
    <n v="2018793.9717790396"/>
    <n v="0.25189641490835335"/>
  </r>
  <r>
    <x v="0"/>
    <n v="1000"/>
    <n v="25"/>
    <x v="0"/>
    <n v="12.997439357304785"/>
    <n v="3.8059406559134881"/>
    <n v="15.351659029950738"/>
    <n v="3.9122724998669036"/>
    <m/>
    <n v="0.15534546432873761"/>
    <n v="0.08"/>
    <n v="79.586812837091998"/>
    <n v="44.455849132435581"/>
    <n v="0.83800353724636789"/>
    <m/>
    <m/>
    <m/>
    <m/>
    <m/>
    <m/>
    <m/>
    <m/>
    <m/>
    <m/>
    <m/>
    <n v="0.21419866261229936"/>
    <m/>
    <m/>
    <m/>
    <m/>
    <m/>
    <m/>
    <m/>
    <m/>
    <m/>
    <m/>
    <m/>
    <n v="741.43988795630128"/>
    <n v="0.24791722174705574"/>
    <n v="0.28742929668897577"/>
    <n v="354.78039466739125"/>
    <n v="322.4381193331177"/>
    <x v="6"/>
    <n v="4.8813386259591285"/>
    <n v="1.3321822791215501"/>
    <n v="0.1"/>
    <n v="0"/>
    <n v="0.2"/>
    <x v="3"/>
    <n v="9.7700869340128393E-2"/>
    <n v="0.08"/>
    <n v="322.4381193331177"/>
    <n v="9.7700869340128393E-2"/>
    <n v="41.587730167294644"/>
    <n v="129.05127589936049"/>
    <n v="64383.052518591576"/>
    <n v="51.448461976323202"/>
    <n v="577594.45133351116"/>
    <x v="2"/>
    <n v="5.0563657364726526E-6"/>
    <n v="1843830.5251859156"/>
    <n v="0.31325788538795973"/>
  </r>
  <r>
    <x v="0"/>
    <n v="1000"/>
    <n v="25"/>
    <x v="0"/>
    <n v="11.881682737130546"/>
    <n v="3.4180491439289487"/>
    <n v="13.992782991736492"/>
    <n v="3.5675644404686779"/>
    <m/>
    <n v="0.16001585446387634"/>
    <n v="0.08"/>
    <n v="72.609128163110441"/>
    <n v="40.558232352691121"/>
    <n v="0.7624686899103934"/>
    <m/>
    <m/>
    <m/>
    <m/>
    <m/>
    <m/>
    <m/>
    <m/>
    <m/>
    <m/>
    <m/>
    <n v="0.2137224716283545"/>
    <m/>
    <m/>
    <m/>
    <m/>
    <m/>
    <m/>
    <m/>
    <m/>
    <m/>
    <m/>
    <m/>
    <n v="710.5574266038501"/>
    <n v="0.24427228993313871"/>
    <n v="0.28901433097420365"/>
    <n v="358.8889495649575"/>
    <n v="329.32308164865327"/>
    <x v="6"/>
    <n v="4.8813386259591285"/>
    <n v="1.3321822791215501"/>
    <n v="0.1"/>
    <n v="0"/>
    <n v="0.2"/>
    <x v="4"/>
    <n v="0.10026836814282802"/>
    <n v="0.08"/>
    <n v="329.32308164865327"/>
    <n v="0.10026836814282802"/>
    <n v="37.562190198141181"/>
    <n v="114.78660059908356"/>
    <n v="55912.817338146182"/>
    <n v="46.043672457504549"/>
    <n v="604190.21339943004"/>
    <x v="2"/>
    <n v="4.708237235022303E-6"/>
    <n v="1759128.1733814618"/>
    <n v="0.34346002897448519"/>
  </r>
  <r>
    <x v="0"/>
    <n v="1000"/>
    <n v="25"/>
    <x v="0"/>
    <n v="10.494968634188423"/>
    <n v="2.9589526966178155"/>
    <n v="12.319407746756053"/>
    <n v="3.1426539231601551"/>
    <m/>
    <n v="0.16635999569849924"/>
    <n v="0.08"/>
    <n v="63.996889063044605"/>
    <n v="35.747581084261981"/>
    <n v="0.66813771286319001"/>
    <m/>
    <m/>
    <m/>
    <m/>
    <m/>
    <m/>
    <m/>
    <m/>
    <m/>
    <m/>
    <m/>
    <n v="0.21260301935866088"/>
    <m/>
    <m/>
    <m/>
    <m/>
    <m/>
    <m/>
    <m/>
    <m/>
    <m/>
    <m/>
    <m/>
    <n v="671.86369547077777"/>
    <n v="0.2401862782240459"/>
    <n v="0.29080050585067918"/>
    <n v="363.91007435324957"/>
    <n v="337.79483903918288"/>
    <x v="6"/>
    <n v="4.8813386259591285"/>
    <n v="1.3321822791215501"/>
    <n v="0.1"/>
    <n v="0"/>
    <n v="0.2"/>
    <x v="5"/>
    <n v="0.10384319181337487"/>
    <n v="0.08"/>
    <n v="337.79483903918288"/>
    <n v="0.10384319181337487"/>
    <n v="32.732265641588846"/>
    <n v="98.29208696223678"/>
    <n v="46384.101598699337"/>
    <n v="39.693018741252473"/>
    <n v="627768.81682032847"/>
    <x v="2"/>
    <n v="4.251896525730864E-6"/>
    <n v="1663841.0159869934"/>
    <n v="0.37730096252491702"/>
  </r>
  <r>
    <x v="0"/>
    <n v="1000"/>
    <n v="25"/>
    <x v="0"/>
    <n v="8.7028363628379335"/>
    <n v="2.3984705356621654"/>
    <n v="10.178630252547267"/>
    <n v="2.597349030789057"/>
    <m/>
    <n v="0.17551469357946453"/>
    <n v="0.08"/>
    <n v="52.927998870631882"/>
    <n v="29.564686017655415"/>
    <n v="0.54605334931813587"/>
    <m/>
    <m/>
    <m/>
    <m/>
    <m/>
    <m/>
    <m/>
    <m/>
    <m/>
    <m/>
    <m/>
    <n v="0.21023487519205247"/>
    <m/>
    <m/>
    <m/>
    <m/>
    <m/>
    <m/>
    <m/>
    <m/>
    <m/>
    <m/>
    <m/>
    <n v="621.63803236369779"/>
    <n v="0.23563784872349922"/>
    <n v="0.29270077512689885"/>
    <n v="370.26712225457936"/>
    <n v="348.61135770462994"/>
    <x v="6"/>
    <n v="4.8813386259591285"/>
    <n v="1.3321822791215501"/>
    <n v="0.1"/>
    <n v="0"/>
    <n v="0.2"/>
    <x v="6"/>
    <n v="0.10929535362691475"/>
    <n v="0.08"/>
    <n v="348.61135770462994"/>
    <n v="0.10929535362691475"/>
    <n v="26.737010229606312"/>
    <n v="78.600824770150467"/>
    <n v="35499.260205818551"/>
    <n v="32.022623981149749"/>
    <n v="644897.4298845561"/>
    <x v="2"/>
    <n v="3.6192291918664826E-6"/>
    <n v="1554992.6020581855"/>
    <n v="0.41472700836709514"/>
  </r>
  <r>
    <x v="0"/>
    <n v="1000"/>
    <n v="25"/>
    <x v="0"/>
    <n v="7.5695421074063534"/>
    <n v="2.0597246081268454"/>
    <n v="8.835137432869713"/>
    <n v="2.2476861483833139"/>
    <m/>
    <n v="0.17971153222357494"/>
    <n v="0.08"/>
    <n v="45.821520028198307"/>
    <n v="25.595126991227939"/>
    <n v="0.47725570924547567"/>
    <m/>
    <m/>
    <m/>
    <m/>
    <m/>
    <m/>
    <m/>
    <m/>
    <m/>
    <m/>
    <m/>
    <n v="0.21233200622282158"/>
    <m/>
    <m/>
    <m/>
    <m/>
    <m/>
    <m/>
    <m/>
    <m/>
    <m/>
    <m/>
    <m/>
    <n v="593.92914863094256"/>
    <n v="0.23312875705407479"/>
    <n v="0.29267890953266151"/>
    <n v="374.13704281086359"/>
    <n v="355.30129400820505"/>
    <x v="6"/>
    <n v="4.8813386259591285"/>
    <n v="1.3321822791215501"/>
    <n v="0.1"/>
    <n v="0"/>
    <n v="0.2"/>
    <x v="7"/>
    <n v="0.11233703582113486"/>
    <n v="0.08"/>
    <n v="355.30129400820505"/>
    <n v="0.11233703582113486"/>
    <n v="23.065639703021485"/>
    <n v="66.71183687404752"/>
    <n v="29358.654790912191"/>
    <n v="27.581371685927159"/>
    <n v="649002.61727939523"/>
    <x v="2"/>
    <n v="3.191538768797644E-6"/>
    <n v="1493586.547909122"/>
    <n v="0.43452628720306613"/>
  </r>
  <r>
    <x v="0"/>
    <n v="1000"/>
    <n v="25"/>
    <x v="0"/>
    <n v="6.156039918628883"/>
    <n v="1.6521298574523355"/>
    <n v="7.1694860198481347"/>
    <n v="1.817734735383608"/>
    <m/>
    <n v="0.18632767813704648"/>
    <n v="0.08"/>
    <n v="37.074289886760042"/>
    <n v="20.709072007590759"/>
    <n v="0.38731765051020828"/>
    <m/>
    <m/>
    <m/>
    <m/>
    <m/>
    <m/>
    <m/>
    <m/>
    <m/>
    <m/>
    <m/>
    <n v="0.21307710248958311"/>
    <m/>
    <m/>
    <m/>
    <m/>
    <m/>
    <m/>
    <m/>
    <m/>
    <m/>
    <m/>
    <m/>
    <n v="557.30539238544418"/>
    <n v="0.2304390932458128"/>
    <n v="0.29265688459962236"/>
    <n v="378.96499196644277"/>
    <n v="363.6465671303402"/>
    <x v="6"/>
    <n v="4.8813386259591285"/>
    <n v="1.3321822791215501"/>
    <n v="0.1"/>
    <n v="0"/>
    <n v="0.2"/>
    <x v="8"/>
    <n v="0.11751624146279777"/>
    <n v="0.08"/>
    <n v="363.6465671303402"/>
    <n v="0.11751624146279777"/>
    <n v="18.595217912901486"/>
    <n v="52.764722031546633"/>
    <n v="22415.853671543653"/>
    <n v="22.187746965686877"/>
    <n v="642568.44635237579"/>
    <x v="2"/>
    <n v="2.6335501939262633E-6"/>
    <n v="1424158.5367154365"/>
    <n v="0.45119165443079351"/>
  </r>
  <r>
    <x v="0"/>
    <n v="1000"/>
    <n v="25"/>
    <x v="0"/>
    <n v="4.2349916955866203"/>
    <n v="1.120315943862741"/>
    <n v="4.9206346572205311"/>
    <n v="1.2422817678094658"/>
    <m/>
    <n v="0.19857949904941138"/>
    <n v="0.08"/>
    <n v="25.352674847822367"/>
    <n v="14.161575868674619"/>
    <n v="0.25953097780245149"/>
    <m/>
    <m/>
    <m/>
    <m/>
    <m/>
    <m/>
    <m/>
    <m/>
    <m/>
    <m/>
    <m/>
    <n v="0.20891474424524992"/>
    <m/>
    <m/>
    <m/>
    <m/>
    <m/>
    <m/>
    <m/>
    <m/>
    <m/>
    <m/>
    <m/>
    <n v="504.75039131128932"/>
    <n v="0.2276771233602542"/>
    <n v="0.29253473986993694"/>
    <n v="385.52311531454512"/>
    <n v="374.98490241006346"/>
    <x v="6"/>
    <n v="4.8813386259591285"/>
    <n v="1.3321822791215501"/>
    <n v="0.1"/>
    <n v="0"/>
    <n v="0.2"/>
    <x v="9"/>
    <n v="0.1288329419106376"/>
    <n v="0.08"/>
    <n v="374.98490241006346"/>
    <n v="0.1288329419106376"/>
    <n v="12.680113104449637"/>
    <n v="35.09117600449909"/>
    <n v="14141.51052897121"/>
    <n v="15.1028198765172"/>
    <n v="611784.31987197301"/>
    <x v="2"/>
    <n v="1.8220630292199149E-6"/>
    <n v="1341415.1052897121"/>
    <n v="0.45607382640874833"/>
  </r>
  <r>
    <x v="0"/>
    <n v="1000"/>
    <n v="25"/>
    <x v="0"/>
    <n v="17.79883247049861"/>
    <n v="5.7228175763721687"/>
    <n v="21.371213267665539"/>
    <n v="5.4285172694047494"/>
    <m/>
    <n v="0.13774295879885159"/>
    <n v="0.08"/>
    <n v="110.16837537168486"/>
    <n v="61.538193327507898"/>
    <n v="1.1632871584131284"/>
    <m/>
    <m/>
    <m/>
    <m/>
    <m/>
    <m/>
    <m/>
    <m/>
    <m/>
    <m/>
    <m/>
    <n v="0.2142918776310139"/>
    <m/>
    <m/>
    <m/>
    <m/>
    <m/>
    <m/>
    <m/>
    <m/>
    <m/>
    <m/>
    <m/>
    <n v="873.32095070385537"/>
    <n v="0.26778159502206372"/>
    <n v="0.27796436030940369"/>
    <n v="335.96721374392519"/>
    <n v="291.67737149729135"/>
    <x v="6"/>
    <n v="4.8813386259591285"/>
    <n v="1.3321822791215501"/>
    <n v="0.1"/>
    <n v="0"/>
    <n v="0.2"/>
    <x v="0"/>
    <n v="8.8171713997700421E-2"/>
    <n v="0.08"/>
    <n v="291.67737149729135"/>
    <n v="8.8171713997700421E-2"/>
    <n v="60.789011300973719"/>
    <n v="205.24305731634809"/>
    <n v="111991.39944692062"/>
    <n v="79.145746275989993"/>
    <n v="339188.5718055825"/>
    <x v="3"/>
    <n v="6.4340218290397877E-6"/>
    <n v="2319913.9944692063"/>
    <n v="0.14620739071113215"/>
  </r>
  <r>
    <x v="1"/>
    <n v="1000"/>
    <n v="25"/>
    <x v="0"/>
    <n v="17.64680644920389"/>
    <n v="5.8194930187860194"/>
    <n v="21.269677345740547"/>
    <n v="5.4337812710266924"/>
    <m/>
    <n v="0.13795584403792471"/>
    <n v="0.08"/>
    <n v="110.28450044905632"/>
    <n v="61.603058833941546"/>
    <n v="1.1531657092477587"/>
    <m/>
    <m/>
    <m/>
    <m/>
    <m/>
    <m/>
    <m/>
    <m/>
    <m/>
    <m/>
    <m/>
    <n v="0.21222159150875655"/>
    <m/>
    <m/>
    <m/>
    <m/>
    <m/>
    <m/>
    <m/>
    <m/>
    <m/>
    <m/>
    <m/>
    <n v="861.37106419795805"/>
    <n v="0.27360513862949726"/>
    <n v="0.24749993950622992"/>
    <n v="328.69975449525435"/>
    <n v="284.78820957407942"/>
    <x v="6"/>
    <n v="4.8813386259591285"/>
    <n v="1.3321822791215501"/>
    <n v="0.1"/>
    <n v="0"/>
    <n v="0.2"/>
    <x v="0"/>
    <n v="8.7855761043706085E-2"/>
    <n v="0.08"/>
    <n v="284.78820957407942"/>
    <n v="8.7855761043706085E-2"/>
    <n v="61.351126395320186"/>
    <n v="205.58997979464755"/>
    <n v="112481.67189154967"/>
    <n v="79.659775062811221"/>
    <n v="336632.87439778517"/>
    <x v="3"/>
    <n v="6.3714981609120114E-6"/>
    <n v="2324816.718915497"/>
    <n v="0.14479974772154122"/>
  </r>
  <r>
    <x v="2"/>
    <n v="1000"/>
    <n v="25"/>
    <x v="0"/>
    <n v="17.464063898491066"/>
    <n v="5.9516099477132904"/>
    <n v="21.1569370707346"/>
    <n v="5.4435951949323949"/>
    <m/>
    <n v="0.13671004804931863"/>
    <n v="0.08"/>
    <n v="110.49563131255654"/>
    <n v="61.720992967504344"/>
    <n v="1.1602591737205099"/>
    <m/>
    <m/>
    <m/>
    <m/>
    <m/>
    <m/>
    <m/>
    <m/>
    <m/>
    <m/>
    <m/>
    <n v="0.21314207470838936"/>
    <m/>
    <m/>
    <m/>
    <m/>
    <m/>
    <m/>
    <m/>
    <m/>
    <m/>
    <m/>
    <m/>
    <n v="856.12955074784577"/>
    <n v="0.28130773031158057"/>
    <n v="0.21682864756568729"/>
    <n v="319.45684255951278"/>
    <n v="275.99996388759035"/>
    <x v="6"/>
    <n v="4.8813386259591285"/>
    <n v="1.3321822791215501"/>
    <n v="0.1"/>
    <n v="0"/>
    <n v="0.2"/>
    <x v="0"/>
    <n v="8.6834423544757885E-2"/>
    <n v="0.08"/>
    <n v="275.99996388759035"/>
    <n v="8.6834423544757885E-2"/>
    <n v="62.154697154635883"/>
    <n v="206.22217574009736"/>
    <n v="113381.69185460133"/>
    <n v="80.605103614656784"/>
    <n v="334122.02021169983"/>
    <x v="3"/>
    <n v="6.2874574292611877E-6"/>
    <n v="2333816.9185460135"/>
    <n v="0.1431654803581853"/>
  </r>
  <r>
    <x v="3"/>
    <n v="1000"/>
    <n v="25"/>
    <x v="0"/>
    <n v="17.211867141562923"/>
    <n v="6.1329731707933046"/>
    <n v="21.000658283223373"/>
    <n v="5.457273825854708"/>
    <m/>
    <n v="0.13673126784741632"/>
    <n v="0.08"/>
    <n v="110.78985033844171"/>
    <n v="61.885338744906136"/>
    <n v="1.1469535874319137"/>
    <m/>
    <m/>
    <m/>
    <m/>
    <m/>
    <m/>
    <m/>
    <m/>
    <m/>
    <m/>
    <m/>
    <n v="0.21016969718434092"/>
    <m/>
    <m/>
    <m/>
    <m/>
    <m/>
    <m/>
    <m/>
    <m/>
    <m/>
    <m/>
    <m/>
    <n v="838.16413793375796"/>
    <n v="0.29203718702916581"/>
    <n v="0.18610766213282551"/>
    <n v="307.5166119206915"/>
    <n v="264.68734421780135"/>
    <x v="6"/>
    <n v="4.8813386259591285"/>
    <n v="1.3321822791215501"/>
    <n v="0.1"/>
    <n v="0"/>
    <n v="0.2"/>
    <x v="0"/>
    <n v="8.6147107912643281E-2"/>
    <n v="0.08"/>
    <n v="264.68734421780135"/>
    <n v="8.6147107912643281E-2"/>
    <n v="63.245344550341777"/>
    <n v="207.10629243224417"/>
    <n v="114565.51610012737"/>
    <n v="81.815530073274275"/>
    <n v="330479.46439415443"/>
    <x v="3"/>
    <n v="6.1739855348240808E-6"/>
    <n v="2345655.1610012734"/>
    <n v="0.14089004636686878"/>
  </r>
  <r>
    <x v="4"/>
    <n v="1000"/>
    <n v="25"/>
    <x v="0"/>
    <n v="16.850668410697402"/>
    <n v="6.3937614093223107"/>
    <n v="20.777340966228188"/>
    <n v="5.4770517000791976"/>
    <m/>
    <n v="0.13728684130035462"/>
    <n v="0.08"/>
    <n v="111.21593338578315"/>
    <n v="62.123341537017843"/>
    <n v="1.1217466296033711"/>
    <m/>
    <m/>
    <m/>
    <m/>
    <m/>
    <m/>
    <m/>
    <m/>
    <m/>
    <m/>
    <m/>
    <n v="0.20480847927492646"/>
    <m/>
    <m/>
    <m/>
    <m/>
    <m/>
    <m/>
    <m/>
    <m/>
    <m/>
    <m/>
    <m/>
    <n v="810.49372408898569"/>
    <n v="0.30772760670938737"/>
    <n v="0.15537865285008104"/>
    <n v="291.55094279935628"/>
    <n v="249.62040928730039"/>
    <x v="6"/>
    <n v="4.8813386259591285"/>
    <n v="1.3321822791215501"/>
    <n v="0.1"/>
    <n v="0"/>
    <n v="0.2"/>
    <x v="0"/>
    <n v="8.5391249438090608E-2"/>
    <n v="0.08"/>
    <n v="249.62040928730039"/>
    <n v="8.5391249438090608E-2"/>
    <n v="64.811153699516808"/>
    <n v="208.39316797529565"/>
    <n v="116254.51115881577"/>
    <n v="83.523572372557425"/>
    <n v="325120.82869603264"/>
    <x v="3"/>
    <n v="6.0131774291637599E-6"/>
    <n v="2362545.1115881577"/>
    <n v="0.13761465425626471"/>
  </r>
  <r>
    <x v="5"/>
    <n v="1000"/>
    <n v="25"/>
    <x v="0"/>
    <n v="16.283022532442939"/>
    <n v="6.7799960065742884"/>
    <n v="20.413128006582173"/>
    <n v="5.5041854180316108"/>
    <m/>
    <n v="0.13823617581693226"/>
    <n v="0.08"/>
    <n v="111.80697056996303"/>
    <n v="62.453484923276349"/>
    <n v="1.0855637909047946"/>
    <m/>
    <m/>
    <m/>
    <m/>
    <m/>
    <m/>
    <m/>
    <m/>
    <m/>
    <m/>
    <m/>
    <n v="0.19722514931065138"/>
    <m/>
    <m/>
    <m/>
    <m/>
    <m/>
    <m/>
    <m/>
    <m/>
    <m/>
    <m/>
    <m/>
    <n v="771.78598637836785"/>
    <n v="0.33213900409521224"/>
    <n v="0.12479541188633077"/>
    <n v="269.52226619297318"/>
    <n v="229.00409092597101"/>
    <x v="6"/>
    <n v="4.8813386259591285"/>
    <n v="1.3321822791215501"/>
    <n v="0.1"/>
    <n v="0"/>
    <n v="0.2"/>
    <x v="0"/>
    <n v="8.4361551926688733E-2"/>
    <n v="0.08"/>
    <n v="229.00409092597101"/>
    <n v="8.4361551926688733E-2"/>
    <n v="67.095154968239441"/>
    <n v="210.19116317605139"/>
    <n v="118579.44013563693"/>
    <n v="85.851825164784771"/>
    <n v="315863.55873571557"/>
    <x v="3"/>
    <n v="5.7724879228665556E-6"/>
    <n v="2385794.4013563693"/>
    <n v="0.13239345291284998"/>
  </r>
  <r>
    <x v="6"/>
    <n v="1000"/>
    <n v="25"/>
    <x v="0"/>
    <n v="15.328853222838049"/>
    <n v="7.4380529783983462"/>
    <n v="19.805950506050987"/>
    <n v="5.5522032942050474"/>
    <m/>
    <n v="0.14048382755313171"/>
    <n v="0.08"/>
    <n v="112.85653633671498"/>
    <n v="63.039754629500202"/>
    <n v="1.0228148717766485"/>
    <m/>
    <m/>
    <m/>
    <m/>
    <m/>
    <m/>
    <m/>
    <m/>
    <m/>
    <m/>
    <m/>
    <n v="0.18421783525905511"/>
    <m/>
    <m/>
    <m/>
    <m/>
    <m/>
    <m/>
    <m/>
    <m/>
    <m/>
    <m/>
    <m/>
    <n v="710.450781087883"/>
    <n v="0.37554637815165298"/>
    <n v="9.4150248237266781E-2"/>
    <n v="237.18733078421619"/>
    <n v="199.04334519955862"/>
    <x v="6"/>
    <n v="4.8813386259591285"/>
    <n v="1.3321822791215501"/>
    <n v="0.1"/>
    <n v="0"/>
    <n v="0.2"/>
    <x v="0"/>
    <n v="8.2955761918455731E-2"/>
    <n v="0.08"/>
    <n v="199.04334519955862"/>
    <n v="8.2955761918455731E-2"/>
    <n v="70.991674889280205"/>
    <n v="213.42179327494449"/>
    <n v="122612.78984991858"/>
    <n v="89.806524330561572"/>
    <n v="299877.92589193257"/>
    <x v="3"/>
    <n v="5.3718553698056549E-6"/>
    <n v="2426127.8984991862"/>
    <n v="0.1236035107948919"/>
  </r>
  <r>
    <x v="7"/>
    <n v="1000"/>
    <n v="25"/>
    <x v="0"/>
    <n v="13.450686937231865"/>
    <n v="8.6277626459300887"/>
    <n v="18.550895676296179"/>
    <n v="5.6251285740202865"/>
    <m/>
    <n v="0.14854095293875652"/>
    <n v="0.08"/>
    <n v="114.51239085604333"/>
    <n v="63.964686990432924"/>
    <n v="0.8920882992401804"/>
    <m/>
    <m/>
    <m/>
    <m/>
    <m/>
    <m/>
    <m/>
    <m/>
    <m/>
    <m/>
    <m/>
    <n v="0.15858985043653923"/>
    <m/>
    <m/>
    <m/>
    <m/>
    <m/>
    <m/>
    <m/>
    <m/>
    <m/>
    <m/>
    <m/>
    <n v="601.03845726732811"/>
    <n v="0.46508604201544862"/>
    <n v="6.3585930620424447E-2"/>
    <n v="188.46441648348909"/>
    <n v="154.99430764723704"/>
    <x v="6"/>
    <n v="4.8813386259591285"/>
    <n v="1.3321822791215501"/>
    <n v="0.1"/>
    <n v="0"/>
    <n v="0.2"/>
    <x v="0"/>
    <n v="8.1936274454582458E-2"/>
    <n v="0.08"/>
    <n v="154.99430764723704"/>
    <n v="8.1936274454582458E-2"/>
    <n v="77.83330931311842"/>
    <n v="218.62001504874334"/>
    <n v="128954.78413605259"/>
    <n v="95.910951390964144"/>
    <n v="270741.89486113307"/>
    <x v="3"/>
    <n v="4.6271529415128113E-6"/>
    <n v="2489547.8413605262"/>
    <n v="0.10875143283576101"/>
  </r>
  <r>
    <x v="8"/>
    <n v="1000"/>
    <n v="25"/>
    <x v="0"/>
    <n v="9.336388978153872"/>
    <n v="5.0297853265217816"/>
    <n v="12.283097401132936"/>
    <n v="3.5922479655185819"/>
    <m/>
    <n v="0.1620096401118406"/>
    <n v="0.08"/>
    <n v="73.3772022717461"/>
    <n v="40.987265574136103"/>
    <n v="0.67116748035996698"/>
    <m/>
    <m/>
    <m/>
    <m/>
    <m/>
    <m/>
    <m/>
    <m/>
    <m/>
    <m/>
    <m/>
    <n v="0.18683773692751646"/>
    <m/>
    <m/>
    <m/>
    <m/>
    <m/>
    <m/>
    <m/>
    <m/>
    <m/>
    <m/>
    <m/>
    <n v="519.59453057365636"/>
    <n v="0.40948835316227788"/>
    <n v="4.843611566719766E-2"/>
    <n v="207.24323473203808"/>
    <n v="184.01079039367315"/>
    <x v="6"/>
    <n v="4.8813386259591285"/>
    <n v="1.3321822791215501"/>
    <n v="0.1"/>
    <n v="0"/>
    <n v="0.2"/>
    <x v="0"/>
    <n v="9.0088658520240603E-2"/>
    <n v="0.08"/>
    <n v="184.01079039367315"/>
    <n v="9.0088658520240603E-2"/>
    <n v="46.953396045419176"/>
    <n v="116.31470083028232"/>
    <n v="62843.818213715596"/>
    <n v="56.411603056987019"/>
    <n v="650060.37415789894"/>
    <x v="3"/>
    <n v="3.4445562767308605E-6"/>
    <n v="1828438.1821371559"/>
    <n v="0.35552767411479064"/>
  </r>
  <r>
    <x v="9"/>
    <n v="1000"/>
    <n v="25"/>
    <x v="0"/>
    <n v="3.3819945905476669"/>
    <n v="1.0965469870517639"/>
    <n v="4.0388018567985782"/>
    <n v="1.0560422626980241"/>
    <m/>
    <n v="0.19824787183461676"/>
    <n v="0.08"/>
    <n v="21.578549870333518"/>
    <n v="12.053413415308913"/>
    <n v="0.24357064464400047"/>
    <m/>
    <m/>
    <m/>
    <m/>
    <m/>
    <m/>
    <m/>
    <m/>
    <m/>
    <m/>
    <m/>
    <n v="0.23064478880013312"/>
    <m/>
    <m/>
    <m/>
    <m/>
    <m/>
    <m/>
    <m/>
    <m/>
    <m/>
    <m/>
    <m/>
    <n v="433.43635857426312"/>
    <n v="0.27150304123138136"/>
    <n v="4.2310315906897114E-2"/>
    <n v="320.0669028803834"/>
    <n v="311.65103625226283"/>
    <x v="6"/>
    <n v="4.8813386259591285"/>
    <n v="1.3321822791215501"/>
    <n v="0.1"/>
    <n v="0"/>
    <n v="0.2"/>
    <x v="0"/>
    <n v="0.12546035453924692"/>
    <n v="0.08"/>
    <n v="311.65103625226283"/>
    <n v="0.12546035453924692"/>
    <n v="11.640391245304503"/>
    <n v="29.617390547284888"/>
    <n v="12153.45991392358"/>
    <n v="13.79611854272685"/>
    <n v="827389.64882855583"/>
    <x v="3"/>
    <n v="1.1941298414439241E-6"/>
    <n v="1321534.5991392359"/>
    <n v="0.62608247212556156"/>
  </r>
  <r>
    <x v="0"/>
    <n v="100"/>
    <n v="25"/>
    <x v="0"/>
    <n v="3.1068791480014593"/>
    <n v="0.38998666218709926"/>
    <n v="3.5038258347425266"/>
    <n v="4.3003373478667974"/>
    <m/>
    <n v="0.94537204655755258"/>
    <n v="0.36"/>
    <n v="21.654788909420841"/>
    <n v="7.9874221387208033"/>
    <n v="1.2008920974512738"/>
    <m/>
    <m/>
    <m/>
    <m/>
    <m/>
    <m/>
    <m/>
    <m/>
    <m/>
    <m/>
    <m/>
    <n v="0.27925532354967036"/>
    <m/>
    <m/>
    <m/>
    <m/>
    <m/>
    <m/>
    <m/>
    <m/>
    <m/>
    <m/>
    <m/>
    <n v="974.97527128566924"/>
    <n v="0.11130309569618116"/>
    <n v="0.17513667023032922"/>
    <n v="382.26025912268699"/>
    <n v="374.52922256003313"/>
    <x v="7"/>
    <n v="19.525354503836514"/>
    <n v="5.3287291164862003"/>
    <n v="0.4"/>
    <n v="0"/>
    <n v="0.5"/>
    <x v="0"/>
    <n v="0.91561877553328974"/>
    <n v="0.36"/>
    <n v="374.52922256003313"/>
    <n v="0.91561877553328974"/>
    <n v="6.0208380932987522"/>
    <n v="70.626621448889139"/>
    <n v="23918.500932472056"/>
    <n v="10.154720810117972"/>
    <n v="16556.008970374445"/>
    <x v="0"/>
    <n v="1.928917830529742E-6"/>
    <n v="1439185.0093247206"/>
    <n v="1.1503739173980615E-2"/>
  </r>
  <r>
    <x v="0"/>
    <n v="200"/>
    <n v="25"/>
    <x v="0"/>
    <n v="5.9219568555655817"/>
    <n v="0.59108345489173297"/>
    <n v="6.5113370071097387"/>
    <n v="7.9458808873280544"/>
    <m/>
    <n v="0.99999999932410799"/>
    <n v="0.36"/>
    <n v="40.107639742488388"/>
    <n v="14.793801544360472"/>
    <n v="1.8770048218667821"/>
    <m/>
    <m/>
    <m/>
    <m/>
    <m/>
    <m/>
    <m/>
    <m/>
    <m/>
    <m/>
    <m/>
    <n v="0.23622362938515667"/>
    <m/>
    <m/>
    <m/>
    <m/>
    <m/>
    <m/>
    <m/>
    <m/>
    <m/>
    <m/>
    <m/>
    <n v="1293.9823780873496"/>
    <n v="9.0777585962196095E-2"/>
    <n v="0.19882953339197715"/>
    <n v="370.21590930412287"/>
    <n v="355.47996715395897"/>
    <x v="7"/>
    <n v="19.525354503836514"/>
    <n v="5.3287291164862003"/>
    <n v="0.4"/>
    <n v="0"/>
    <n v="0.5"/>
    <x v="0"/>
    <n v="0.99999999900000003"/>
    <n v="0.36"/>
    <n v="355.47996715395897"/>
    <n v="0.99999999900000003"/>
    <n v="10.063746227912922"/>
    <n v="102.66370452091444"/>
    <n v="37485.693577775084"/>
    <n v="14.87166511840196"/>
    <n v="46886.999235000098"/>
    <x v="0"/>
    <n v="3.4381059478888656E-6"/>
    <n v="1574856.9357777508"/>
    <n v="2.9772227667045022E-2"/>
  </r>
  <r>
    <x v="0"/>
    <n v="300"/>
    <n v="25"/>
    <x v="0"/>
    <n v="8.4196836373703725"/>
    <n v="0.7313457362641107"/>
    <n v="9.146329433505727"/>
    <n v="11.147444590179729"/>
    <m/>
    <n v="0.99999999928676842"/>
    <n v="0.36"/>
    <n v="56.370659280694689"/>
    <n v="20.792456292059516"/>
    <n v="2.5472744917119527"/>
    <m/>
    <m/>
    <m/>
    <m/>
    <m/>
    <m/>
    <m/>
    <m/>
    <m/>
    <m/>
    <m/>
    <n v="0.22850748179147337"/>
    <m/>
    <m/>
    <m/>
    <m/>
    <m/>
    <m/>
    <m/>
    <m/>
    <m/>
    <m/>
    <m/>
    <n v="1613.1117621462458"/>
    <n v="7.996057233462131E-2"/>
    <n v="0.21275630057900236"/>
    <n v="360.42569073415569"/>
    <n v="339.47451629026943"/>
    <x v="7"/>
    <n v="19.525354503836514"/>
    <n v="5.3287291164862003"/>
    <n v="0.4"/>
    <n v="0"/>
    <n v="0.5"/>
    <x v="0"/>
    <n v="0.99999999900000003"/>
    <n v="0.36"/>
    <n v="339.47451629026943"/>
    <n v="0.99999999900000003"/>
    <n v="13.339494835468459"/>
    <n v="125.47045335864958"/>
    <n v="48297.402970236653"/>
    <n v="18.91871784267035"/>
    <n v="82494.706252156218"/>
    <x v="0"/>
    <n v="4.5472866197512347E-6"/>
    <n v="1682974.0297023666"/>
    <n v="4.9017218802090118E-2"/>
  </r>
  <r>
    <x v="0"/>
    <n v="400"/>
    <n v="25"/>
    <x v="0"/>
    <n v="10.647713876556539"/>
    <n v="0.84210969110238432"/>
    <n v="11.483386189855242"/>
    <n v="14.0016337311055"/>
    <m/>
    <n v="0.99999999926132344"/>
    <n v="0.36"/>
    <n v="70.910897573597182"/>
    <n v="26.155658941080926"/>
    <n v="3.1466111241924501"/>
    <m/>
    <m/>
    <m/>
    <m/>
    <m/>
    <m/>
    <m/>
    <m/>
    <m/>
    <m/>
    <m/>
    <n v="0.22473171235739856"/>
    <m/>
    <m/>
    <m/>
    <m/>
    <m/>
    <m/>
    <m/>
    <m/>
    <m/>
    <m/>
    <m/>
    <n v="1898.847045036403"/>
    <n v="7.3332872131943852E-2"/>
    <n v="0.22199777365838114"/>
    <n v="352.03684387870635"/>
    <n v="325.54148294017625"/>
    <x v="7"/>
    <n v="19.525354503836514"/>
    <n v="5.3287291164862003"/>
    <n v="0.4"/>
    <n v="0"/>
    <n v="0.5"/>
    <x v="0"/>
    <n v="0.99999999900000003"/>
    <n v="0.36"/>
    <n v="325.54148294017625"/>
    <n v="0.99999999900000003"/>
    <n v="16.136646158950299"/>
    <n v="143.52229402479665"/>
    <n v="57372.775696561243"/>
    <n v="22.324693074208092"/>
    <n v="120441.85657079345"/>
    <x v="0"/>
    <n v="5.3916363567089458E-6"/>
    <n v="1773727.7569656125"/>
    <n v="6.7903237178200432E-2"/>
  </r>
  <r>
    <x v="0"/>
    <n v="600"/>
    <n v="25"/>
    <x v="0"/>
    <n v="14.434026476582048"/>
    <n v="1.0106385629788037"/>
    <n v="15.435777510060399"/>
    <n v="18.863093343703607"/>
    <m/>
    <n v="0.99999999922840799"/>
    <n v="0.36"/>
    <n v="95.769401872066751"/>
    <n v="35.324779379041019"/>
    <n v="4.1808509955648869"/>
    <m/>
    <m/>
    <m/>
    <m/>
    <m/>
    <m/>
    <m/>
    <m/>
    <m/>
    <m/>
    <m/>
    <n v="0.22164185477884152"/>
    <m/>
    <m/>
    <m/>
    <m/>
    <m/>
    <m/>
    <m/>
    <m/>
    <m/>
    <m/>
    <m/>
    <n v="2392.8181919425328"/>
    <n v="6.5473771069848044E-2"/>
    <n v="0.23397563491742934"/>
    <n v="338.30970271038751"/>
    <n v="302.39269416008995"/>
    <x v="7"/>
    <n v="19.525354503836514"/>
    <n v="5.3287291164862003"/>
    <n v="0.4"/>
    <n v="0"/>
    <n v="0.5"/>
    <x v="0"/>
    <n v="0.99999999900000003"/>
    <n v="0.36"/>
    <n v="302.39269416008995"/>
    <n v="0.99999999900000003"/>
    <n v="20.726840750339022"/>
    <n v="170.75665646070499"/>
    <n v="71853.391522838865"/>
    <n v="27.816044334874789"/>
    <n v="197687.14877800096"/>
    <x v="0"/>
    <n v="6.5770672533933712E-6"/>
    <n v="1918533.9152283887"/>
    <n v="0.10304073710079169"/>
  </r>
  <r>
    <x v="0"/>
    <n v="800"/>
    <n v="25"/>
    <x v="0"/>
    <n v="17.474906563033009"/>
    <n v="1.1331320004434862"/>
    <n v="18.59636048167809"/>
    <n v="22.78482245327536"/>
    <m/>
    <n v="0.99999999920793659"/>
    <n v="0.36"/>
    <n v="115.91832655390587"/>
    <n v="42.756759794473481"/>
    <n v="5.0324719360964743"/>
    <m/>
    <m/>
    <m/>
    <m/>
    <m/>
    <m/>
    <m/>
    <m/>
    <m/>
    <m/>
    <m/>
    <n v="0.22086948214832577"/>
    <m/>
    <m/>
    <m/>
    <m/>
    <m/>
    <m/>
    <m/>
    <m/>
    <m/>
    <m/>
    <m/>
    <n v="2800.4512690228325"/>
    <n v="6.0932998236934321E-2"/>
    <n v="0.24169693114585536"/>
    <n v="327.69909621861302"/>
    <n v="284.21530097459396"/>
    <x v="7"/>
    <n v="19.525354503836514"/>
    <n v="5.3287291164862003"/>
    <n v="0.4"/>
    <n v="0"/>
    <n v="0.5"/>
    <x v="0"/>
    <n v="0.99999999900000003"/>
    <n v="0.36"/>
    <n v="284.21530097459396"/>
    <n v="0.99999999900000003"/>
    <n v="24.313353465934181"/>
    <n v="189.95093677779349"/>
    <n v="82616.782182028226"/>
    <n v="32.004230591541109"/>
    <n v="271087.6315294925"/>
    <x v="0"/>
    <n v="7.3517935875854702E-6"/>
    <n v="2026167.8218202824"/>
    <n v="0.13379327645523012"/>
  </r>
  <r>
    <x v="0"/>
    <n v="1000"/>
    <n v="25"/>
    <x v="0"/>
    <n v="19.900018720878744"/>
    <n v="1.2241672047543606"/>
    <n v="21.109000664572346"/>
    <n v="25.927332139946891"/>
    <m/>
    <n v="0.9999999991940578"/>
    <n v="0.36"/>
    <n v="132.13928895805432"/>
    <n v="48.739901664856113"/>
    <n v="5.728864253904586"/>
    <m/>
    <m/>
    <m/>
    <m/>
    <m/>
    <m/>
    <m/>
    <m/>
    <m/>
    <m/>
    <m/>
    <n v="0.22095849364609255"/>
    <m/>
    <m/>
    <m/>
    <m/>
    <m/>
    <m/>
    <m/>
    <m/>
    <m/>
    <m/>
    <m/>
    <n v="3134.4130950425624"/>
    <n v="5.7992665034536886E-2"/>
    <n v="0.24720326913497376"/>
    <n v="319.49937073844575"/>
    <n v="269.98096809026896"/>
    <x v="7"/>
    <n v="19.525354503836514"/>
    <n v="5.3287291164862003"/>
    <n v="0.4"/>
    <n v="0"/>
    <n v="0.5"/>
    <x v="0"/>
    <n v="0.99999999900000003"/>
    <n v="0.36"/>
    <n v="269.98096809026896"/>
    <n v="0.99999999900000003"/>
    <n v="27.125517062916849"/>
    <n v="203.5502481319414"/>
    <n v="90552.094954605345"/>
    <n v="35.209088394627358"/>
    <n v="336702.33957028226"/>
    <x v="0"/>
    <n v="7.8839827588230633E-6"/>
    <n v="2105520.9495460535"/>
    <n v="0.15991402965754137"/>
  </r>
  <r>
    <x v="0"/>
    <n v="1300"/>
    <n v="25"/>
    <x v="0"/>
    <n v="22.625249094088097"/>
    <n v="1.3199303274486387"/>
    <n v="23.923981709349775"/>
    <n v="29.478482372130614"/>
    <m/>
    <n v="0.99999999918021498"/>
    <n v="0.36"/>
    <n v="150.57312219640619"/>
    <n v="55.539266383920314"/>
    <n v="6.5338495581736957"/>
    <m/>
    <m/>
    <m/>
    <m/>
    <m/>
    <m/>
    <m/>
    <m/>
    <m/>
    <m/>
    <m/>
    <n v="0.22164809828713883"/>
    <m/>
    <m/>
    <m/>
    <m/>
    <m/>
    <m/>
    <m/>
    <m/>
    <m/>
    <m/>
    <m/>
    <n v="3521.2098144542742"/>
    <n v="5.517184988202839E-2"/>
    <n v="0.25303562630637827"/>
    <n v="310.58472901877775"/>
    <n v="254.28503536742653"/>
    <x v="7"/>
    <n v="19.525354503836514"/>
    <n v="5.3287291164862003"/>
    <n v="0.4"/>
    <n v="0"/>
    <n v="0.5"/>
    <x v="0"/>
    <n v="0.99999999900000014"/>
    <n v="0.36"/>
    <n v="254.28503536742653"/>
    <n v="0.99999999900000014"/>
    <n v="30.241272378682275"/>
    <n v="216.84531573318486"/>
    <n v="98633.789693220097"/>
    <n v="38.661664881757851"/>
    <n v="417567.95970418054"/>
    <x v="0"/>
    <n v="8.4141301879480374E-6"/>
    <n v="2186337.896932201"/>
    <n v="0.19098967286351229"/>
  </r>
  <r>
    <x v="0"/>
    <n v="1600"/>
    <n v="25"/>
    <x v="0"/>
    <n v="24.546868774376435"/>
    <n v="1.3833099350154274"/>
    <n v="25.90298546823372"/>
    <n v="31.99758985957347"/>
    <m/>
    <n v="0.99999999917121496"/>
    <n v="0.36"/>
    <n v="163.73592568789462"/>
    <n v="60.394398819305394"/>
    <n v="7.1184902281591391"/>
    <m/>
    <m/>
    <m/>
    <m/>
    <m/>
    <m/>
    <m/>
    <m/>
    <m/>
    <m/>
    <m/>
    <n v="0.22246957534613607"/>
    <m/>
    <m/>
    <m/>
    <m/>
    <m/>
    <m/>
    <m/>
    <m/>
    <m/>
    <m/>
    <m/>
    <n v="3802.6734103118415"/>
    <n v="5.3403494230881525E-2"/>
    <n v="0.25706128762861108"/>
    <n v="304.50966382055753"/>
    <n v="243.42829623227456"/>
    <x v="7"/>
    <n v="19.525354503836514"/>
    <n v="5.3287291164862003"/>
    <n v="0.4"/>
    <n v="0"/>
    <n v="0.5"/>
    <x v="0"/>
    <n v="0.99999999900000003"/>
    <n v="0.36"/>
    <n v="243.42829623227456"/>
    <n v="0.99999999900000003"/>
    <n v="32.411357801256173"/>
    <n v="224.78896817286432"/>
    <n v="103694.23692355942"/>
    <n v="40.99572236696465"/>
    <n v="478729.73527194356"/>
    <x v="0"/>
    <n v="8.7567004515052446E-6"/>
    <n v="2236942.3692355943"/>
    <n v="0.21401075944371986"/>
  </r>
  <r>
    <x v="0"/>
    <n v="1900"/>
    <n v="25"/>
    <x v="0"/>
    <n v="25.922642103811562"/>
    <n v="1.4265264241587288"/>
    <n v="27.316555500204792"/>
    <n v="33.81004328969091"/>
    <m/>
    <n v="0.99999999916502513"/>
    <n v="0.36"/>
    <n v="173.26326156436687"/>
    <n v="63.908580085217281"/>
    <n v="7.5470761000045172"/>
    <m/>
    <m/>
    <m/>
    <m/>
    <m/>
    <m/>
    <m/>
    <m/>
    <m/>
    <m/>
    <m/>
    <n v="0.22321994785217303"/>
    <m/>
    <m/>
    <m/>
    <m/>
    <m/>
    <m/>
    <m/>
    <m/>
    <m/>
    <m/>
    <m/>
    <n v="4009.3120514812977"/>
    <n v="5.2222046229365708E-2"/>
    <n v="0.25995122416775751"/>
    <n v="300.27882274144406"/>
    <n v="235.77400147903995"/>
    <x v="7"/>
    <n v="19.525354503836514"/>
    <n v="5.3287291164862003"/>
    <n v="0.4"/>
    <n v="0"/>
    <n v="0.5"/>
    <x v="0"/>
    <n v="0.99999999900000003"/>
    <n v="0.36"/>
    <n v="235.77400147903995"/>
    <n v="0.99999999900000003"/>
    <n v="33.951416536772605"/>
    <n v="229.64720271153104"/>
    <n v="106935.34070323488"/>
    <n v="42.612871014014935"/>
    <n v="524333.26941371616"/>
    <x v="0"/>
    <n v="8.9914220235382818E-6"/>
    <n v="2269353.4070323487"/>
    <n v="0.2310496319299121"/>
  </r>
  <r>
    <x v="0"/>
    <n v="1000"/>
    <n v="25"/>
    <x v="1"/>
    <n v="19.89088235639074"/>
    <n v="1.3499020626540914"/>
    <n v="21.174758193381901"/>
    <n v="25.753845574368132"/>
    <m/>
    <n v="0.99999999917671123"/>
    <n v="0.36"/>
    <n v="133.86545670145702"/>
    <n v="49.376602881684967"/>
    <n v="5.5585008160292837"/>
    <m/>
    <m/>
    <m/>
    <m/>
    <m/>
    <m/>
    <m/>
    <m/>
    <m/>
    <m/>
    <m/>
    <n v="0.21583187644650079"/>
    <m/>
    <m/>
    <m/>
    <m/>
    <m/>
    <m/>
    <m/>
    <m/>
    <m/>
    <m/>
    <m/>
    <n v="2851.0940024672741"/>
    <n v="6.3750530245771528E-2"/>
    <n v="0.25286905300076162"/>
    <n v="121.33919860754636"/>
    <n v="71.843594452633909"/>
    <x v="7"/>
    <n v="19.525354503836514"/>
    <n v="5.3287291164862003"/>
    <n v="0.4"/>
    <n v="0"/>
    <n v="0.5"/>
    <x v="0"/>
    <n v="0.99999999900000003"/>
    <n v="0.36"/>
    <n v="71.843594452633909"/>
    <n v="0.99999999900000003"/>
    <n v="27.809445348300791"/>
    <n v="207.8329273735315"/>
    <n v="92755.544383756627"/>
    <n v="35.736994892115618"/>
    <n v="342142.30006424815"/>
    <x v="1"/>
    <n v="7.7893241990500549E-6"/>
    <n v="2127555.4438375663"/>
    <n v="0.16081475152868913"/>
  </r>
  <r>
    <x v="0"/>
    <n v="1000"/>
    <n v="25"/>
    <x v="2"/>
    <n v="19.884247625268362"/>
    <n v="1.2639822272454269"/>
    <n v="21.115811169928282"/>
    <n v="25.914397637553318"/>
    <m/>
    <n v="0.99999999919398574"/>
    <n v="0.36"/>
    <n v="132.5387480034376"/>
    <n v="48.88724311602207"/>
    <n v="5.7303638002388126"/>
    <m/>
    <m/>
    <m/>
    <m/>
    <m/>
    <m/>
    <m/>
    <m/>
    <m/>
    <m/>
    <m/>
    <n v="0.22112664474727259"/>
    <m/>
    <m/>
    <m/>
    <m/>
    <m/>
    <m/>
    <m/>
    <m/>
    <m/>
    <m/>
    <m/>
    <n v="3035.562065620486"/>
    <n v="5.9859515557967542E-2"/>
    <n v="0.2481166202955187"/>
    <n v="219.85926778470031"/>
    <n v="170.38016550108122"/>
    <x v="7"/>
    <n v="19.525354503836514"/>
    <n v="5.3287291164862003"/>
    <n v="0.4"/>
    <n v="0"/>
    <n v="0.5"/>
    <x v="0"/>
    <n v="0.99999999900000003"/>
    <n v="0.36"/>
    <n v="170.38016550108122"/>
    <n v="0.99999999900000003"/>
    <n v="27.328923954057377"/>
    <n v="204.53372396140009"/>
    <n v="91034.129899074178"/>
    <n v="35.295248453482671"/>
    <n v="337619.32197657472"/>
    <x v="1"/>
    <n v="7.858418821248951E-6"/>
    <n v="2110341.2989907418"/>
    <n v="0.15998327954726524"/>
  </r>
  <r>
    <x v="0"/>
    <n v="1000"/>
    <n v="25"/>
    <x v="0"/>
    <n v="19.899984128785093"/>
    <n v="1.2241653296514072"/>
    <n v="21.108963616874028"/>
    <n v="25.927289222173794"/>
    <m/>
    <n v="0.99999999919405791"/>
    <n v="0.36"/>
    <n v="132.13907263281058"/>
    <n v="48.739821872758"/>
    <n v="5.7288566872517244"/>
    <m/>
    <m/>
    <m/>
    <m/>
    <m/>
    <m/>
    <m/>
    <m/>
    <m/>
    <m/>
    <m/>
    <n v="0.22095856756024593"/>
    <m/>
    <m/>
    <m/>
    <m/>
    <m/>
    <m/>
    <m/>
    <m/>
    <m/>
    <m/>
    <m/>
    <n v="3134.4096206441454"/>
    <n v="5.7992677985992509E-2"/>
    <n v="0.2472033492814788"/>
    <n v="319.49953677154303"/>
    <n v="269.98127701828196"/>
    <x v="7"/>
    <n v="19.525354503836514"/>
    <n v="5.3287291164862003"/>
    <n v="0.4"/>
    <n v="0"/>
    <n v="0.5"/>
    <x v="0"/>
    <n v="0.99999999900000003"/>
    <n v="0.36"/>
    <n v="269.98127701828196"/>
    <n v="0.99999999900000003"/>
    <n v="27.125472967149477"/>
    <n v="203.54971675742576"/>
    <n v="90551.815242792727"/>
    <n v="35.209012547866756"/>
    <n v="336700.91985277104"/>
    <x v="1"/>
    <n v="7.8839828240374344E-6"/>
    <n v="2105518.1524279271"/>
    <n v="0.15991356781441782"/>
  </r>
  <r>
    <x v="0"/>
    <n v="1000"/>
    <n v="25"/>
    <x v="3"/>
    <n v="19.916974181052712"/>
    <n v="1.1927688738057962"/>
    <n v="21.108470607550306"/>
    <n v="25.911339807499939"/>
    <m/>
    <n v="0.99999999919188431"/>
    <n v="0.36"/>
    <n v="131.85761707929097"/>
    <n v="48.636006299738483"/>
    <n v="5.6968096387631633"/>
    <m/>
    <m/>
    <m/>
    <m/>
    <m/>
    <m/>
    <m/>
    <m/>
    <m/>
    <m/>
    <m/>
    <n v="0.21985777968587497"/>
    <m/>
    <m/>
    <m/>
    <m/>
    <m/>
    <m/>
    <m/>
    <m/>
    <m/>
    <m/>
    <m/>
    <n v="3218.1360349649881"/>
    <n v="5.650664588552208E-2"/>
    <n v="0.24677787935425413"/>
    <n v="419.29189831288915"/>
    <n v="369.73121558340722"/>
    <x v="7"/>
    <n v="19.525354503836514"/>
    <n v="5.3287291164862003"/>
    <n v="0.4"/>
    <n v="0"/>
    <n v="0.5"/>
    <x v="0"/>
    <n v="0.99999999900000003"/>
    <n v="0.36"/>
    <n v="369.73121558340722"/>
    <n v="0.99999999900000003"/>
    <n v="26.969711758197406"/>
    <n v="202.85947308966945"/>
    <n v="90238.06569997147"/>
    <n v="35.185322748208705"/>
    <n v="336236.54725893855"/>
    <x v="1"/>
    <n v="7.9029789168320842E-6"/>
    <n v="2102380.6569997147"/>
    <n v="0.15993133600210069"/>
  </r>
  <r>
    <x v="0"/>
    <n v="1000"/>
    <n v="25"/>
    <x v="4"/>
    <n v="19.934142610852081"/>
    <n v="1.1647420771558383"/>
    <n v="21.110164352288169"/>
    <n v="25.886293657617497"/>
    <m/>
    <n v="0.99999999918904325"/>
    <n v="0.36"/>
    <n v="131.61951394608423"/>
    <n v="48.548181373555657"/>
    <n v="5.6553257037743272"/>
    <m/>
    <m/>
    <m/>
    <m/>
    <m/>
    <m/>
    <m/>
    <m/>
    <m/>
    <m/>
    <m/>
    <n v="0.21846795754440299"/>
    <m/>
    <m/>
    <m/>
    <m/>
    <m/>
    <m/>
    <m/>
    <m/>
    <m/>
    <m/>
    <m/>
    <n v="3297.1933438265087"/>
    <n v="5.5174467508567256E-2"/>
    <n v="0.2465085640021131"/>
    <n v="519.13407677519388"/>
    <n v="469.5304919393468"/>
    <x v="7"/>
    <n v="19.525354503836514"/>
    <n v="5.3287291164862003"/>
    <n v="0.4"/>
    <n v="0"/>
    <n v="0.5"/>
    <x v="0"/>
    <n v="0.99999999900000003"/>
    <n v="0.36"/>
    <n v="469.5304919393468"/>
    <n v="0.99999999900000003"/>
    <n v="26.832724576219395"/>
    <n v="202.27727988898155"/>
    <n v="89985.236988417601"/>
    <n v="35.183001254286467"/>
    <n v="335930.00393727492"/>
    <x v="1"/>
    <n v="7.9195165414769853E-6"/>
    <n v="2099852.3698841762"/>
    <n v="0.15997791499780728"/>
  </r>
  <r>
    <x v="0"/>
    <n v="1000"/>
    <n v="25"/>
    <x v="5"/>
    <n v="19.951309150175462"/>
    <n v="1.1386486617788019"/>
    <n v="21.112999060290981"/>
    <n v="25.857985010180329"/>
    <m/>
    <n v="0.99999999918594906"/>
    <n v="0.36"/>
    <n v="131.40573881571785"/>
    <n v="48.469329891043472"/>
    <n v="5.6104930799341339"/>
    <m/>
    <m/>
    <m/>
    <m/>
    <m/>
    <m/>
    <m/>
    <m/>
    <m/>
    <m/>
    <m/>
    <n v="0.21697332865361604"/>
    <m/>
    <m/>
    <m/>
    <m/>
    <m/>
    <m/>
    <m/>
    <m/>
    <m/>
    <m/>
    <m/>
    <n v="3374.5996190086148"/>
    <n v="5.3931166222630854E-2"/>
    <n v="0.2463103755518456"/>
    <n v="618.99931496805368"/>
    <n v="569.35307904154956"/>
    <x v="7"/>
    <n v="19.525354503836514"/>
    <n v="5.3287291164862003"/>
    <n v="0.4"/>
    <n v="0"/>
    <n v="0.5"/>
    <x v="0"/>
    <n v="0.99999999900000003"/>
    <n v="0.36"/>
    <n v="569.35307904154956"/>
    <n v="0.99999999900000003"/>
    <n v="26.706417734842496"/>
    <n v="201.75591710528852"/>
    <n v="89765.126558496573"/>
    <n v="35.190314585159399"/>
    <n v="335705.80062360654"/>
    <x v="1"/>
    <n v="7.9347068698224112E-6"/>
    <n v="2097651.2655849657"/>
    <n v="0.16003889975962676"/>
  </r>
  <r>
    <x v="0"/>
    <n v="1000"/>
    <n v="25"/>
    <x v="6"/>
    <n v="20.000441768504107"/>
    <n v="1.0917274599714282"/>
    <n v="21.138039566517502"/>
    <n v="25.80007883770233"/>
    <m/>
    <n v="0.97120560924177823"/>
    <n v="0.36"/>
    <n v="131.06542130915648"/>
    <n v="48.343802941901977"/>
    <n v="5.8734214369928566"/>
    <m/>
    <m/>
    <m/>
    <m/>
    <m/>
    <m/>
    <m/>
    <m/>
    <m/>
    <m/>
    <m/>
    <n v="0.2276512980421545"/>
    <m/>
    <m/>
    <m/>
    <m/>
    <m/>
    <m/>
    <m/>
    <m/>
    <m/>
    <m/>
    <m/>
    <n v="3605.7568357738037"/>
    <n v="5.1647526561579359E-2"/>
    <n v="0.24635613636673295"/>
    <n v="718.8149235352073"/>
    <n v="669.04611727737688"/>
    <x v="7"/>
    <n v="19.525354503836514"/>
    <n v="5.3287291164862003"/>
    <n v="0.4"/>
    <n v="0"/>
    <n v="0.5"/>
    <x v="0"/>
    <n v="0.96530942822684551"/>
    <n v="0.36"/>
    <n v="669.04611727737688"/>
    <n v="0.96530942822684551"/>
    <n v="26.626801410386008"/>
    <n v="200.92854794319541"/>
    <n v="89787.900611241072"/>
    <n v="35.765079267876786"/>
    <n v="336754.29079652863"/>
    <x v="1"/>
    <n v="7.950422402965509E-6"/>
    <n v="2097879.0061124107"/>
    <n v="0.16052131215163337"/>
  </r>
  <r>
    <x v="0"/>
    <n v="1000"/>
    <n v="25"/>
    <x v="7"/>
    <n v="20.063691711067897"/>
    <n v="1.0364245672294294"/>
    <n v="21.17309358594721"/>
    <n v="25.739908146460696"/>
    <m/>
    <n v="0.93677706315114939"/>
    <n v="0.36"/>
    <n v="130.72694156308896"/>
    <n v="48.218953855237736"/>
    <n v="6.2510939555546514"/>
    <m/>
    <m/>
    <m/>
    <m/>
    <m/>
    <m/>
    <m/>
    <m/>
    <m/>
    <m/>
    <m/>
    <n v="0.24285610966386426"/>
    <m/>
    <m/>
    <m/>
    <m/>
    <m/>
    <m/>
    <m/>
    <m/>
    <m/>
    <m/>
    <m/>
    <n v="3894.204520123079"/>
    <n v="4.8950077277196496E-2"/>
    <n v="0.24643214889828149"/>
    <n v="818.58330254081625"/>
    <n v="768.65754234575252"/>
    <x v="7"/>
    <n v="19.525354503836514"/>
    <n v="5.3287291164862003"/>
    <n v="0.4"/>
    <n v="0"/>
    <n v="0.5"/>
    <x v="0"/>
    <n v="0.92541946970278377"/>
    <n v="0.36"/>
    <n v="768.65754234575252"/>
    <n v="0.92541946970278377"/>
    <n v="26.521684325531993"/>
    <n v="200.10880475658485"/>
    <n v="89831.926755301552"/>
    <n v="36.3670317492547"/>
    <n v="338144.27215929993"/>
    <x v="1"/>
    <n v="7.9699934048991646E-6"/>
    <n v="2098319.2675530156"/>
    <n v="0.16115005823381282"/>
  </r>
  <r>
    <x v="0"/>
    <n v="1000"/>
    <n v="25"/>
    <x v="8"/>
    <n v="20.121778285533349"/>
    <n v="0.9850561318484814"/>
    <n v="21.204795146141489"/>
    <n v="25.688809386396208"/>
    <m/>
    <n v="0.90926624606248463"/>
    <n v="0.36"/>
    <n v="130.44253251625864"/>
    <n v="48.11404887894787"/>
    <n v="6.591558674173335"/>
    <m/>
    <m/>
    <m/>
    <m/>
    <m/>
    <m/>
    <m/>
    <m/>
    <m/>
    <m/>
    <m/>
    <n v="0.25659261100921116"/>
    <m/>
    <m/>
    <m/>
    <m/>
    <m/>
    <m/>
    <m/>
    <m/>
    <m/>
    <m/>
    <m/>
    <n v="4164.0628927140924"/>
    <n v="4.6454404537255162E-2"/>
    <n v="0.24645079376298812"/>
    <n v="918.35376961745771"/>
    <n v="868.28355562742513"/>
    <x v="7"/>
    <n v="19.525354503836514"/>
    <n v="5.3287291164862003"/>
    <n v="0.4"/>
    <n v="0"/>
    <n v="0.5"/>
    <x v="0"/>
    <n v="0.89469054093952916"/>
    <n v="0.36"/>
    <n v="868.28355562742513"/>
    <n v="0.89469054093952916"/>
    <n v="26.388622470349478"/>
    <n v="199.42242897840859"/>
    <n v="89804.074315413149"/>
    <n v="36.773088895151041"/>
    <n v="339243.77791419293"/>
    <x v="1"/>
    <n v="7.9908633768191462E-6"/>
    <n v="2098040.7431541313"/>
    <n v="0.16169551474209412"/>
  </r>
  <r>
    <x v="0"/>
    <n v="1000"/>
    <n v="25"/>
    <x v="9"/>
    <n v="20.174859820282656"/>
    <n v="0.93835237597101173"/>
    <n v="21.233788858366008"/>
    <n v="25.646281207063073"/>
    <m/>
    <n v="0.88711008623250687"/>
    <n v="0.36"/>
    <n v="130.20699442743589"/>
    <n v="48.027170075693562"/>
    <n v="6.8928392834450918"/>
    <m/>
    <m/>
    <m/>
    <m/>
    <m/>
    <m/>
    <m/>
    <m/>
    <m/>
    <m/>
    <m/>
    <n v="0.26876564394633484"/>
    <m/>
    <m/>
    <m/>
    <m/>
    <m/>
    <m/>
    <m/>
    <m/>
    <m/>
    <m/>
    <m/>
    <n v="4414.3496508570233"/>
    <n v="4.4191471537652856E-2"/>
    <n v="0.24643246806348662"/>
    <n v="1018.1322981552693"/>
    <n v="967.93000913447815"/>
    <x v="7"/>
    <n v="19.525354503836514"/>
    <n v="5.3287291164862003"/>
    <n v="0.4"/>
    <n v="0"/>
    <n v="0.5"/>
    <x v="0"/>
    <n v="0.8706307536297907"/>
    <n v="0.36"/>
    <n v="967.93000913447815"/>
    <n v="0.8706307536297907"/>
    <n v="26.245473731829666"/>
    <n v="198.8556552158513"/>
    <n v="89739.523408984285"/>
    <n v="37.045484823286635"/>
    <n v="340146.07012492546"/>
    <x v="1"/>
    <n v="8.0116044363833672E-6"/>
    <n v="2097395.234089843"/>
    <n v="0.1621754758456532"/>
  </r>
  <r>
    <x v="0"/>
    <n v="1000"/>
    <n v="25"/>
    <x v="0"/>
    <n v="19.899998868060457"/>
    <n v="1.2241668134232153"/>
    <n v="21.108979709032351"/>
    <n v="25.927304112666373"/>
    <m/>
    <n v="0.99999999919405824"/>
    <n v="0.36"/>
    <n v="132.1391478134008"/>
    <n v="48.739849603303576"/>
    <n v="5.7288565329704149"/>
    <m/>
    <m/>
    <m/>
    <m/>
    <m/>
    <m/>
    <m/>
    <m/>
    <m/>
    <m/>
    <m/>
    <n v="0.22095843470944104"/>
    <m/>
    <m/>
    <m/>
    <m/>
    <m/>
    <m/>
    <m/>
    <m/>
    <m/>
    <m/>
    <m/>
    <n v="3134.4093917352639"/>
    <n v="5.799270406704711E-2"/>
    <n v="0.24720318564269164"/>
    <n v="319.49942385927022"/>
    <n v="269.98112525005814"/>
    <x v="7"/>
    <n v="19.525354503836514"/>
    <n v="5.3287291164862003"/>
    <n v="0.4"/>
    <n v="0"/>
    <n v="0.5"/>
    <x v="0"/>
    <n v="0.99999999900000003"/>
    <n v="0.36"/>
    <n v="269.98112525005814"/>
    <n v="0.99999999900000003"/>
    <n v="27.125495429212076"/>
    <n v="203.54990142851031"/>
    <n v="90551.934525482939"/>
    <n v="35.209072275604342"/>
    <n v="336701.52503201237"/>
    <x v="2"/>
    <n v="7.8839827920205122E-6"/>
    <n v="2105519.3452548292"/>
    <n v="0.15991376464473267"/>
  </r>
  <r>
    <x v="0"/>
    <n v="1000"/>
    <n v="25"/>
    <x v="0"/>
    <n v="19.183820181139886"/>
    <n v="1.1852824121421786"/>
    <n v="20.342694135230733"/>
    <n v="25.041677300810598"/>
    <m/>
    <n v="0.9999999991953783"/>
    <n v="0.36"/>
    <n v="127.67594542175071"/>
    <n v="47.093586426055587"/>
    <n v="5.574740751053465"/>
    <m/>
    <m/>
    <m/>
    <m/>
    <m/>
    <m/>
    <m/>
    <m/>
    <m/>
    <m/>
    <m/>
    <n v="0.22261850450700485"/>
    <m/>
    <m/>
    <m/>
    <m/>
    <m/>
    <m/>
    <m/>
    <m/>
    <m/>
    <m/>
    <m/>
    <n v="3062.5799754085692"/>
    <n v="5.8265753998111458E-2"/>
    <n v="0.2489654712531745"/>
    <n v="322.94586038546788"/>
    <n v="275.2095998818379"/>
    <x v="7"/>
    <n v="19.525354503836514"/>
    <n v="5.3287291164862003"/>
    <n v="0.4"/>
    <n v="0"/>
    <n v="0.5"/>
    <x v="1"/>
    <n v="0.99999999900000003"/>
    <n v="0.36"/>
    <n v="275.2095998818379"/>
    <n v="0.99999999900000003"/>
    <n v="26.212341711304596"/>
    <n v="192.85792213584196"/>
    <n v="84921.470284643219"/>
    <n v="33.63517707206163"/>
    <n v="381859.35475615034"/>
    <x v="2"/>
    <n v="7.6177869939769939E-6"/>
    <n v="2049214.7028464321"/>
    <n v="0.18634423919842763"/>
  </r>
  <r>
    <x v="0"/>
    <n v="1000"/>
    <n v="25"/>
    <x v="0"/>
    <n v="16.681100672724757"/>
    <n v="1.0534096695437229"/>
    <n v="17.676309395307406"/>
    <n v="21.928327062251498"/>
    <m/>
    <n v="0.99999999920116844"/>
    <n v="0.36"/>
    <n v="111.95038304444742"/>
    <n v="41.293174073771596"/>
    <n v="5.0129744505922424"/>
    <m/>
    <m/>
    <m/>
    <m/>
    <m/>
    <m/>
    <m/>
    <m/>
    <m/>
    <m/>
    <m/>
    <n v="0.22860724561254031"/>
    <m/>
    <m/>
    <m/>
    <m/>
    <m/>
    <m/>
    <m/>
    <m/>
    <m/>
    <m/>
    <m/>
    <n v="2799.4298893903583"/>
    <n v="5.9594434900725114E-2"/>
    <n v="0.25448366815959239"/>
    <n v="334.45119369206958"/>
    <n v="292.94266409423773"/>
    <x v="7"/>
    <n v="19.525354503836514"/>
    <n v="5.3287291164862003"/>
    <n v="0.4"/>
    <n v="0"/>
    <n v="0.5"/>
    <x v="2"/>
    <n v="0.99999999900000003"/>
    <n v="0.36"/>
    <n v="292.94266409423773"/>
    <n v="0.99999999900000003"/>
    <n v="23.042338259321465"/>
    <n v="158.92015838705981"/>
    <n v="67392.008510121945"/>
    <n v="28.481396737255132"/>
    <n v="499437.50268546713"/>
    <x v="2"/>
    <n v="6.7302788264102611E-6"/>
    <n v="1873920.0851012194"/>
    <n v="0.26652017162113406"/>
  </r>
  <r>
    <x v="0"/>
    <n v="1000"/>
    <n v="25"/>
    <x v="0"/>
    <n v="14.417533585628703"/>
    <n v="0.93828469960102401"/>
    <n v="15.276790703451079"/>
    <n v="19.087026595889199"/>
    <m/>
    <n v="0.99999999920828175"/>
    <n v="0.36"/>
    <n v="97.554203925365556"/>
    <n v="35.983108005257783"/>
    <n v="4.4744356307603717"/>
    <m/>
    <m/>
    <m/>
    <m/>
    <m/>
    <m/>
    <m/>
    <m/>
    <m/>
    <m/>
    <m/>
    <n v="0.23442287400196934"/>
    <m/>
    <m/>
    <m/>
    <m/>
    <m/>
    <m/>
    <m/>
    <m/>
    <m/>
    <m/>
    <m/>
    <n v="2545.6277236822034"/>
    <n v="6.1418966706735224E-2"/>
    <n v="0.25877697787310772"/>
    <n v="344.2858723209203"/>
    <n v="308.40990830201849"/>
    <x v="7"/>
    <n v="19.525354503836514"/>
    <n v="5.3287291164862003"/>
    <n v="0.4"/>
    <n v="0"/>
    <n v="0.5"/>
    <x v="3"/>
    <n v="0.99999999900000003"/>
    <n v="0.36"/>
    <n v="308.40990830201849"/>
    <n v="0.99999999900000003"/>
    <n v="20.193470608950694"/>
    <n v="131.86604263351614"/>
    <n v="53895.969009815926"/>
    <n v="24.179864575229246"/>
    <n v="569833.59898860392"/>
    <x v="2"/>
    <n v="5.9294405637464632E-6"/>
    <n v="1738959.6900981592"/>
    <n v="0.32768649108619557"/>
  </r>
  <r>
    <x v="0"/>
    <n v="1000"/>
    <n v="25"/>
    <x v="0"/>
    <n v="13.167914405016159"/>
    <n v="0.8758261912920573"/>
    <n v="13.955843506110597"/>
    <n v="17.507936340231883"/>
    <m/>
    <n v="0.99999999921314675"/>
    <n v="0.36"/>
    <n v="89.536391743970213"/>
    <n v="33.025718266218526"/>
    <n v="4.1650139367193511"/>
    <m/>
    <m/>
    <m/>
    <m/>
    <m/>
    <m/>
    <m/>
    <m/>
    <m/>
    <m/>
    <m/>
    <n v="0.23789291072234889"/>
    <m/>
    <m/>
    <m/>
    <m/>
    <m/>
    <m/>
    <m/>
    <m/>
    <m/>
    <m/>
    <m/>
    <n v="2399.274444233648"/>
    <n v="6.2756951302053138E-2"/>
    <n v="0.26092615412037762"/>
    <n v="349.53394208638366"/>
    <n v="316.76747587397182"/>
    <x v="7"/>
    <n v="19.525354503836514"/>
    <n v="5.3287291164862003"/>
    <n v="0.4"/>
    <n v="0"/>
    <n v="0.5"/>
    <x v="4"/>
    <n v="0.99999999900000003"/>
    <n v="0.36"/>
    <n v="316.76747587397182"/>
    <n v="0.99999999900000003"/>
    <n v="18.623412456597784"/>
    <n v="118.09009833767999"/>
    <n v="47231.913038325991"/>
    <n v="21.916303841684158"/>
    <n v="598256.45144956897"/>
    <x v="2"/>
    <n v="5.4764144581359695E-6"/>
    <n v="1672319.1303832598"/>
    <n v="0.35774060140809449"/>
  </r>
  <r>
    <x v="0"/>
    <n v="1000"/>
    <n v="25"/>
    <x v="0"/>
    <n v="11.627438245137528"/>
    <n v="0.80939169806628786"/>
    <n v="12.33495287230841"/>
    <n v="15.498252932550898"/>
    <m/>
    <n v="0.99999999922196481"/>
    <n v="0.36"/>
    <n v="79.317079665206137"/>
    <n v="29.256299876510461"/>
    <n v="3.7194053021980071"/>
    <m/>
    <m/>
    <m/>
    <m/>
    <m/>
    <m/>
    <m/>
    <m/>
    <m/>
    <m/>
    <m/>
    <n v="0.23998868249118324"/>
    <m/>
    <m/>
    <m/>
    <m/>
    <m/>
    <m/>
    <m/>
    <m/>
    <m/>
    <m/>
    <m/>
    <n v="2186.1853477365394"/>
    <n v="6.5617737371607421E-2"/>
    <n v="0.26079847331908046"/>
    <n v="355.41600340999065"/>
    <n v="326.48269663753621"/>
    <x v="7"/>
    <n v="19.525354503836514"/>
    <n v="5.3287291164862003"/>
    <n v="0.4"/>
    <n v="0"/>
    <n v="0.5"/>
    <x v="5"/>
    <n v="0.99999999900000003"/>
    <n v="0.36"/>
    <n v="326.48269663753621"/>
    <n v="0.99999999900000003"/>
    <n v="16.74547026166054"/>
    <n v="101.62916785934414"/>
    <n v="39691.064823696899"/>
    <n v="19.498343395750606"/>
    <n v="626933.74521254643"/>
    <x v="2"/>
    <n v="4.8969704523508765E-6"/>
    <n v="1596910.648236969"/>
    <n v="0.3925916242744687"/>
  </r>
  <r>
    <x v="0"/>
    <n v="1000"/>
    <n v="25"/>
    <x v="0"/>
    <n v="9.6179079950946651"/>
    <n v="0.72542210900342741"/>
    <n v="10.225571461417523"/>
    <n v="12.84535024046839"/>
    <m/>
    <n v="0.99999999923681715"/>
    <n v="0.36"/>
    <n v="65.800673061095665"/>
    <n v="24.270740063518893"/>
    <n v="3.1049660427909647"/>
    <m/>
    <m/>
    <m/>
    <m/>
    <m/>
    <m/>
    <m/>
    <m/>
    <m/>
    <m/>
    <m/>
    <n v="0.24171906446030433"/>
    <m/>
    <m/>
    <m/>
    <m/>
    <m/>
    <m/>
    <m/>
    <m/>
    <m/>
    <m/>
    <m/>
    <n v="1891.3322980750831"/>
    <n v="7.0941962680574289E-2"/>
    <n v="0.25842243975038165"/>
    <n v="362.78222586093955"/>
    <n v="338.84927667959943"/>
    <x v="7"/>
    <n v="19.525354503836514"/>
    <n v="5.3287291164862003"/>
    <n v="0.4"/>
    <n v="0"/>
    <n v="0.5"/>
    <x v="6"/>
    <n v="0.99999999899999992"/>
    <n v="0.36"/>
    <n v="338.84927667959943"/>
    <n v="0.99999999899999992"/>
    <n v="14.305674787203186"/>
    <n v="81.437851218912144"/>
    <n v="30867.223086262959"/>
    <n v="16.543113509545535"/>
    <n v="650688.13557588949"/>
    <x v="2"/>
    <n v="4.1134317349670173E-6"/>
    <n v="1508672.2308626296"/>
    <n v="0.43129854335811468"/>
  </r>
  <r>
    <x v="0"/>
    <n v="1000"/>
    <n v="25"/>
    <x v="0"/>
    <n v="8.3326554405807727"/>
    <n v="0.66760433741731329"/>
    <n v="8.8763657216374074"/>
    <n v="11.154273129857847"/>
    <m/>
    <n v="0.99999999924779426"/>
    <n v="0.36"/>
    <n v="57.169775724049757"/>
    <n v="21.087212357231465"/>
    <n v="2.7166636360726883"/>
    <m/>
    <m/>
    <m/>
    <m/>
    <m/>
    <m/>
    <m/>
    <m/>
    <m/>
    <m/>
    <m/>
    <n v="0.24355362330161179"/>
    <m/>
    <m/>
    <m/>
    <m/>
    <m/>
    <m/>
    <m/>
    <m/>
    <m/>
    <m/>
    <m/>
    <n v="1705.1323086572929"/>
    <n v="7.5211450085921144E-2"/>
    <n v="0.25666675908603331"/>
    <n v="367.53512036286821"/>
    <n v="346.8004906209481"/>
    <x v="7"/>
    <n v="19.525354503836514"/>
    <n v="5.3287291164862003"/>
    <n v="0.4"/>
    <n v="0"/>
    <n v="0.5"/>
    <x v="7"/>
    <n v="0.99999999900000003"/>
    <n v="0.36"/>
    <n v="346.8004906209481"/>
    <n v="0.99999999900000003"/>
    <n v="12.714928467707226"/>
    <n v="69.336111579935093"/>
    <n v="25755.145389013847"/>
    <n v="14.627133359256531"/>
    <n v="657276.22067124431"/>
    <x v="2"/>
    <n v="3.5950735344266018E-6"/>
    <n v="1457551.4538901385"/>
    <n v="0.45094546673944441"/>
  </r>
  <r>
    <x v="0"/>
    <n v="1000"/>
    <n v="25"/>
    <x v="0"/>
    <n v="6.7329891827774686"/>
    <n v="0.58950529495123949"/>
    <n v="7.1957823887238481"/>
    <n v="9.0542757212598968"/>
    <m/>
    <n v="0.99999999926331296"/>
    <n v="0.36"/>
    <n v="46.436916542758048"/>
    <n v="17.128370855935344"/>
    <n v="2.2372662617466359"/>
    <m/>
    <m/>
    <m/>
    <m/>
    <m/>
    <m/>
    <m/>
    <m/>
    <m/>
    <m/>
    <m/>
    <n v="0.24709500026528039"/>
    <m/>
    <m/>
    <m/>
    <m/>
    <m/>
    <m/>
    <m/>
    <m/>
    <m/>
    <m/>
    <m/>
    <n v="1475.3918444617718"/>
    <n v="8.1923724635562051E-2"/>
    <n v="0.25419811599648823"/>
    <n v="373.51282814829955"/>
    <n v="356.7587135884541"/>
    <x v="7"/>
    <n v="19.525354503836514"/>
    <n v="5.3287291164862003"/>
    <n v="0.4"/>
    <n v="0"/>
    <n v="0.5"/>
    <x v="8"/>
    <n v="0.99999999900000003"/>
    <n v="0.36"/>
    <n v="356.7587135884541"/>
    <n v="0.99999999900000003"/>
    <n v="10.68729683992324"/>
    <n v="55.015129529422907"/>
    <n v="19908.949890784697"/>
    <n v="12.201093858881078"/>
    <n v="654336.10865312908"/>
    <x v="2"/>
    <n v="2.9301997542084358E-6"/>
    <n v="1399089.4989078469"/>
    <n v="0.4676870987623844"/>
  </r>
  <r>
    <x v="0"/>
    <n v="1000"/>
    <n v="25"/>
    <x v="0"/>
    <n v="4.5570721275163697"/>
    <n v="0.46716947768560108"/>
    <n v="4.9041990837435856"/>
    <n v="6.2001184938459737"/>
    <m/>
    <n v="0.99999999928784367"/>
    <n v="0.36"/>
    <n v="31.82526775341903"/>
    <n v="11.738828269703742"/>
    <n v="1.5862752594526661"/>
    <m/>
    <m/>
    <m/>
    <m/>
    <m/>
    <m/>
    <m/>
    <m/>
    <m/>
    <m/>
    <m/>
    <n v="0.25584595859371861"/>
    <m/>
    <m/>
    <m/>
    <m/>
    <m/>
    <m/>
    <m/>
    <m/>
    <m/>
    <m/>
    <m/>
    <n v="1163.5874720220693"/>
    <n v="9.525907690700651E-2"/>
    <n v="0.25024373089197677"/>
    <n v="381.78946536933017"/>
    <n v="370.44984229573589"/>
    <x v="7"/>
    <n v="19.525354503836514"/>
    <n v="5.3287291164862003"/>
    <n v="0.4"/>
    <n v="0"/>
    <n v="0.5"/>
    <x v="9"/>
    <n v="0.99999999900000003"/>
    <n v="0.36"/>
    <n v="370.44984229573589"/>
    <n v="0.99999999900000003"/>
    <n v="7.798291028958805"/>
    <n v="36.622713096668903"/>
    <n v="12778.156648277625"/>
    <n v="8.7941738570970074"/>
    <n v="623546.85215287225"/>
    <x v="2"/>
    <n v="1.9862458188839908E-6"/>
    <n v="1327781.5664827763"/>
    <n v="0.46961553608897821"/>
  </r>
  <r>
    <x v="0"/>
    <n v="1000"/>
    <n v="25"/>
    <x v="0"/>
    <n v="19.899945264164778"/>
    <n v="1.2241646177388927"/>
    <n v="21.108922623250344"/>
    <n v="25.927234324836153"/>
    <m/>
    <n v="0.99999999919405835"/>
    <n v="0.36"/>
    <n v="132.13879650571639"/>
    <n v="48.739720022600309"/>
    <n v="5.7288415410579496"/>
    <m/>
    <m/>
    <m/>
    <m/>
    <m/>
    <m/>
    <m/>
    <m/>
    <m/>
    <m/>
    <m/>
    <n v="0.2209584512286446"/>
    <m/>
    <m/>
    <m/>
    <m/>
    <m/>
    <m/>
    <m/>
    <m/>
    <m/>
    <m/>
    <m/>
    <n v="3134.4022367227617"/>
    <n v="5.7992756882368844E-2"/>
    <n v="0.24720318404856817"/>
    <n v="319.49964018159642"/>
    <n v="269.98146619378792"/>
    <x v="7"/>
    <n v="19.525354503836514"/>
    <n v="5.3287291164862003"/>
    <n v="0.4"/>
    <n v="0"/>
    <n v="0.5"/>
    <x v="0"/>
    <n v="0.99999999900000003"/>
    <n v="0.36"/>
    <n v="269.98146619378792"/>
    <n v="0.99999999900000003"/>
    <n v="27.125430912087534"/>
    <n v="203.54903848944505"/>
    <n v="90551.501775798359"/>
    <n v="35.208981597002044"/>
    <n v="336699.32682210254"/>
    <x v="3"/>
    <n v="7.8839828639375109E-6"/>
    <n v="2105515.0177579839"/>
    <n v="0.15991304929310368"/>
  </r>
  <r>
    <x v="1"/>
    <n v="1000"/>
    <n v="25"/>
    <x v="0"/>
    <n v="19.898324143026333"/>
    <n v="1.2276363718396921"/>
    <n v="21.109250771916884"/>
    <n v="25.927910664968334"/>
    <m/>
    <n v="0.99999999919420224"/>
    <n v="0.36"/>
    <n v="132.17163738878801"/>
    <n v="48.751833463077553"/>
    <n v="5.731032305768359"/>
    <m/>
    <m/>
    <m/>
    <m/>
    <m/>
    <m/>
    <m/>
    <m/>
    <m/>
    <m/>
    <m/>
    <n v="0.22103718189339722"/>
    <m/>
    <m/>
    <m/>
    <m/>
    <m/>
    <m/>
    <m/>
    <m/>
    <m/>
    <m/>
    <m/>
    <n v="3125.4682201169721"/>
    <n v="5.8156321373229541E-2"/>
    <n v="0.21978887279414097"/>
    <n v="309.46618957519502"/>
    <n v="259.95206723279074"/>
    <x v="7"/>
    <n v="19.525354503836514"/>
    <n v="5.3287291164862003"/>
    <n v="0.4"/>
    <n v="0"/>
    <n v="0.5"/>
    <x v="0"/>
    <n v="0.99999999900000003"/>
    <n v="0.36"/>
    <n v="259.95206723279074"/>
    <n v="0.99999999900000003"/>
    <n v="27.142915120936966"/>
    <n v="203.62972264899267"/>
    <n v="90589.447516532222"/>
    <n v="35.213654539288491"/>
    <n v="336764.04785864078"/>
    <x v="3"/>
    <n v="7.8818368188934521E-6"/>
    <n v="2105894.4751653224"/>
    <n v="0.15991496811928493"/>
  </r>
  <r>
    <x v="2"/>
    <n v="1000"/>
    <n v="25"/>
    <x v="0"/>
    <n v="19.896210404361518"/>
    <n v="1.232216102568672"/>
    <n v="21.109711627480259"/>
    <n v="25.928300404466764"/>
    <m/>
    <n v="0.99999999919435545"/>
    <n v="0.36"/>
    <n v="132.21520223022998"/>
    <n v="48.767902461970074"/>
    <n v="5.7333934192586042"/>
    <m/>
    <m/>
    <m/>
    <m/>
    <m/>
    <m/>
    <m/>
    <m/>
    <m/>
    <m/>
    <m/>
    <n v="0.22112492256804042"/>
    <m/>
    <m/>
    <m/>
    <m/>
    <m/>
    <m/>
    <m/>
    <m/>
    <m/>
    <m/>
    <m/>
    <n v="3113.7661826400627"/>
    <n v="5.8372000731861932E-2"/>
    <n v="0.19237993551084182"/>
    <n v="296.5785576779121"/>
    <n v="247.06947301076022"/>
    <x v="7"/>
    <n v="19.525354503836514"/>
    <n v="5.3287291164862003"/>
    <n v="0.4"/>
    <n v="0"/>
    <n v="0.5"/>
    <x v="0"/>
    <n v="0.99999999900000003"/>
    <n v="0.36"/>
    <n v="247.06947301076022"/>
    <n v="0.99999999900000003"/>
    <n v="27.166006415812145"/>
    <n v="203.7368006038057"/>
    <n v="90640.215103629816"/>
    <n v="35.220468129955727"/>
    <n v="336851.68786562781"/>
    <x v="3"/>
    <n v="7.8789857507787854E-6"/>
    <n v="2106402.1510362979"/>
    <n v="0.15991803260355819"/>
  </r>
  <r>
    <x v="3"/>
    <n v="1000"/>
    <n v="25"/>
    <x v="0"/>
    <n v="19.893368145431314"/>
    <n v="1.2385625780748792"/>
    <n v="21.110445096312944"/>
    <n v="25.927857767295865"/>
    <m/>
    <n v="0.99999999919449267"/>
    <n v="0.36"/>
    <n v="132.27623258699677"/>
    <n v="48.790413659138146"/>
    <n v="5.7355917956806302"/>
    <m/>
    <m/>
    <m/>
    <m/>
    <m/>
    <m/>
    <m/>
    <m/>
    <m/>
    <m/>
    <m/>
    <n v="0.22121348578652053"/>
    <m/>
    <m/>
    <m/>
    <m/>
    <m/>
    <m/>
    <m/>
    <m/>
    <m/>
    <m/>
    <m/>
    <n v="3097.7138022420395"/>
    <n v="5.8670604642589989E-2"/>
    <n v="0.16498036381790637"/>
    <n v="279.41978254219271"/>
    <n v="229.91790440172755"/>
    <x v="7"/>
    <n v="19.525354503836514"/>
    <n v="5.3287291164862003"/>
    <n v="0.4"/>
    <n v="0"/>
    <n v="0.5"/>
    <x v="0"/>
    <n v="0.99999999899999992"/>
    <n v="0.36"/>
    <n v="229.91790440172755"/>
    <n v="0.99999999899999992"/>
    <n v="27.198096453742149"/>
    <n v="203.88689716271125"/>
    <n v="90712.278548166243"/>
    <n v="35.231367574965745"/>
    <n v="336979.16554139223"/>
    <x v="3"/>
    <n v="7.8749950685366592E-6"/>
    <n v="2107122.7854816625"/>
    <n v="0.15992383921014025"/>
  </r>
  <r>
    <x v="4"/>
    <n v="1000"/>
    <n v="25"/>
    <x v="0"/>
    <n v="19.889541651689022"/>
    <n v="1.2480290407771601"/>
    <n v="21.111980954147114"/>
    <n v="25.925169981278128"/>
    <m/>
    <n v="0.99999999919451577"/>
    <n v="0.36"/>
    <n v="132.37041237069499"/>
    <n v="48.825152103944887"/>
    <n v="5.7364159428052197"/>
    <m/>
    <m/>
    <m/>
    <m/>
    <m/>
    <m/>
    <m/>
    <m/>
    <m/>
    <m/>
    <m/>
    <n v="0.2212682095024941"/>
    <m/>
    <m/>
    <m/>
    <m/>
    <m/>
    <m/>
    <m/>
    <m/>
    <m/>
    <m/>
    <m/>
    <n v="3074.1705113811072"/>
    <n v="5.911472937985976E-2"/>
    <n v="0.13760090569856021"/>
    <n v="255.45486382727248"/>
    <n v="205.96253997849851"/>
    <x v="7"/>
    <n v="19.525354503836514"/>
    <n v="5.3287291164862003"/>
    <n v="0.4"/>
    <n v="0"/>
    <n v="0.5"/>
    <x v="0"/>
    <n v="0.99999999900000003"/>
    <n v="0.36"/>
    <n v="205.96253997849851"/>
    <n v="0.99999999900000003"/>
    <n v="27.246380494128722"/>
    <n v="204.11872734562564"/>
    <n v="90825.575873471549"/>
    <n v="35.251185482179324"/>
    <n v="337192.31044334889"/>
    <x v="3"/>
    <n v="7.8689447013205024E-6"/>
    <n v="2108255.7587347156"/>
    <n v="0.15993899651231935"/>
  </r>
  <r>
    <x v="5"/>
    <n v="1000"/>
    <n v="25"/>
    <x v="0"/>
    <n v="19.884536408488422"/>
    <n v="1.2640839692699812"/>
    <n v="21.116171264526603"/>
    <n v="25.91471221884348"/>
    <m/>
    <n v="0.99999999919398008"/>
    <n v="0.36"/>
    <n v="132.54169787060798"/>
    <n v="48.888331181781638"/>
    <n v="5.7303793781219099"/>
    <m/>
    <m/>
    <m/>
    <m/>
    <m/>
    <m/>
    <m/>
    <m/>
    <m/>
    <m/>
    <m/>
    <n v="0.22112456158996641"/>
    <m/>
    <m/>
    <m/>
    <m/>
    <m/>
    <m/>
    <m/>
    <m/>
    <m/>
    <m/>
    <m/>
    <n v="3035.392238114106"/>
    <n v="5.9863312976322386E-2"/>
    <n v="0.11027505432499173"/>
    <n v="219.68237032206136"/>
    <n v="170.20254905315235"/>
    <x v="7"/>
    <n v="19.525354503836514"/>
    <n v="5.3287291164862003"/>
    <n v="0.4"/>
    <n v="0"/>
    <n v="0.5"/>
    <x v="0"/>
    <n v="0.99999999900000003"/>
    <n v="0.36"/>
    <n v="170.20254905315235"/>
    <n v="0.99999999900000003"/>
    <n v="27.329765216589482"/>
    <n v="204.54100342667516"/>
    <n v="91037.870778181357"/>
    <n v="35.296145134600813"/>
    <n v="337634.77401574096"/>
    <x v="3"/>
    <n v="7.8583598336486293E-6"/>
    <n v="2110378.7077818136"/>
    <n v="0.15998776559427272"/>
  </r>
  <r>
    <x v="6"/>
    <n v="1000"/>
    <n v="25"/>
    <x v="0"/>
    <n v="19.879020686617309"/>
    <n v="1.3009701298782712"/>
    <n v="21.132325680766137"/>
    <n v="25.859784100911629"/>
    <m/>
    <n v="0.9999999991895262"/>
    <n v="0.36"/>
    <n v="133.00087056875614"/>
    <n v="49.057698160606783"/>
    <n v="5.6793534517083621"/>
    <m/>
    <m/>
    <m/>
    <m/>
    <m/>
    <m/>
    <m/>
    <m/>
    <m/>
    <m/>
    <m/>
    <n v="0.21962106990321506"/>
    <m/>
    <m/>
    <m/>
    <m/>
    <m/>
    <m/>
    <m/>
    <m/>
    <m/>
    <m/>
    <m/>
    <n v="2951.2981620165497"/>
    <n v="6.1563036152824685E-2"/>
    <n v="8.3206310348018273E-2"/>
    <n v="161.08758333987623"/>
    <n v="111.62143616237125"/>
    <x v="7"/>
    <n v="19.525354503836514"/>
    <n v="5.3287291164862003"/>
    <n v="0.4"/>
    <n v="0"/>
    <n v="0.5"/>
    <x v="0"/>
    <n v="0.99999999900000003"/>
    <n v="0.36"/>
    <n v="111.62143616237125"/>
    <n v="0.99999999900000003"/>
    <n v="27.527487731511606"/>
    <n v="205.67714596426941"/>
    <n v="91631.791920996198"/>
    <n v="35.450825719607067"/>
    <n v="339040.62160494726"/>
    <x v="3"/>
    <n v="7.8317401316563717E-6"/>
    <n v="2116317.9192099618"/>
    <n v="0.16020306709471788"/>
  </r>
  <r>
    <x v="7"/>
    <n v="1000"/>
    <n v="25"/>
    <x v="0"/>
    <n v="20.472975513197749"/>
    <n v="1.6642614484185796"/>
    <n v="22.006107713984314"/>
    <n v="25.6548090643326"/>
    <m/>
    <n v="0.99999999904989012"/>
    <n v="0.36"/>
    <n v="146.51127300402104"/>
    <n v="54.0410433211553"/>
    <n v="4.8313328119913379"/>
    <m/>
    <m/>
    <m/>
    <m/>
    <m/>
    <m/>
    <m/>
    <m/>
    <m/>
    <m/>
    <m/>
    <n v="0.1883207471891985"/>
    <m/>
    <m/>
    <m/>
    <m/>
    <m/>
    <m/>
    <m/>
    <m/>
    <m/>
    <m/>
    <m/>
    <n v="2441.1515834374991"/>
    <n v="7.5627251763426773E-2"/>
    <n v="6.3272030214481745E-2"/>
    <n v="76.429293578888803"/>
    <n v="25.485177441831585"/>
    <x v="7"/>
    <n v="19.525354503836514"/>
    <n v="5.3287291164862003"/>
    <n v="0.4"/>
    <n v="0"/>
    <n v="0.5"/>
    <x v="0"/>
    <n v="0.99999999900000003"/>
    <n v="0.36"/>
    <n v="25.485177441831585"/>
    <n v="0.99999999900000003"/>
    <n v="30.134292748245606"/>
    <n v="242.13294229069228"/>
    <n v="109522.01071625776"/>
    <n v="38.267648340218337"/>
    <n v="402622.56856868073"/>
    <x v="3"/>
    <n v="7.319002187813156E-6"/>
    <n v="2295220.1071625776"/>
    <n v="0.17541784655521134"/>
  </r>
  <r>
    <x v="8"/>
    <n v="1000"/>
    <n v="25"/>
    <x v="0"/>
    <n v="14.047554585776609"/>
    <n v="1.0774533067332821"/>
    <n v="14.980166932395145"/>
    <n v="18.434405105865064"/>
    <m/>
    <n v="0.99999999916418891"/>
    <n v="0.36"/>
    <n v="98.280773601175142"/>
    <n v="36.251105016826898"/>
    <n v="4.1899076737315113"/>
    <m/>
    <m/>
    <m/>
    <m/>
    <m/>
    <m/>
    <m/>
    <m/>
    <m/>
    <m/>
    <m/>
    <n v="0.22728738191819686"/>
    <m/>
    <m/>
    <m/>
    <m/>
    <m/>
    <m/>
    <m/>
    <m/>
    <m/>
    <m/>
    <m/>
    <n v="2150.4876182260437"/>
    <n v="7.192532043172703E-2"/>
    <n v="4.5386300714813289E-2"/>
    <n v="90.489104321477896"/>
    <n v="55.533781360289396"/>
    <x v="7"/>
    <n v="19.525354503836514"/>
    <n v="5.3287291164862003"/>
    <n v="0.4"/>
    <n v="0"/>
    <n v="0.5"/>
    <x v="0"/>
    <n v="0.99999999900000003"/>
    <n v="0.36"/>
    <n v="55.533781360289396"/>
    <n v="0.99999999900000003"/>
    <n v="20.653242678844016"/>
    <n v="133.15621381021194"/>
    <n v="54533.196892098618"/>
    <n v="24.398063490545503"/>
    <n v="629940.66743364767"/>
    <x v="3"/>
    <n v="5.5903173150747878E-6"/>
    <n v="1745331.9689209862"/>
    <n v="0.36092885402373903"/>
  </r>
  <r>
    <x v="9"/>
    <n v="1000"/>
    <n v="25"/>
    <x v="0"/>
    <n v="4.4305340237149338"/>
    <n v="0.49887105311331403"/>
    <n v="4.7919793700275219"/>
    <n v="6.0740729796901922"/>
    <m/>
    <n v="0.99999999929886141"/>
    <n v="0.36"/>
    <n v="31.266180589140731"/>
    <n v="11.53260759435519"/>
    <n v="1.5875340474664785"/>
    <m/>
    <m/>
    <m/>
    <m/>
    <m/>
    <m/>
    <m/>
    <m/>
    <m/>
    <m/>
    <m/>
    <n v="0.26136235978308092"/>
    <m/>
    <m/>
    <m/>
    <m/>
    <m/>
    <m/>
    <m/>
    <m/>
    <m/>
    <m/>
    <m/>
    <n v="1059.1461900169788"/>
    <n v="0.10410542587758445"/>
    <n v="3.5846930820925119E-2"/>
    <n v="276.40409032929887"/>
    <n v="265.37916628373983"/>
    <x v="7"/>
    <n v="19.525354503836514"/>
    <n v="5.3287291164862003"/>
    <n v="0.4"/>
    <n v="0"/>
    <n v="0.5"/>
    <x v="0"/>
    <n v="0.99999999900000003"/>
    <n v="0.36"/>
    <n v="265.37916628373983"/>
    <n v="0.99999999900000003"/>
    <n v="7.8910610849108807"/>
    <n v="35.941385940274614"/>
    <n v="12612.083910167441"/>
    <n v="8.8625419620979144"/>
    <n v="896892.84241263452"/>
    <x v="3"/>
    <n v="1.6047500399800006E-6"/>
    <n v="1326120.8391016745"/>
    <n v="0.67632814142352016"/>
  </r>
  <r>
    <x v="0"/>
    <n v="100"/>
    <n v="25"/>
    <x v="0"/>
    <n v="3.1671558523586443"/>
    <n v="0.75747327431082301"/>
    <n v="3.7627624001047435"/>
    <n v="1.8703188972204803"/>
    <m/>
    <n v="0.30365338257588964"/>
    <n v="0.18"/>
    <n v="18.818083291473126"/>
    <n v="9.3699999791567432"/>
    <n v="0.62210736459309479"/>
    <m/>
    <m/>
    <m/>
    <m/>
    <m/>
    <m/>
    <m/>
    <m/>
    <m/>
    <m/>
    <m/>
    <n v="0.33262101212666001"/>
    <m/>
    <m/>
    <m/>
    <m/>
    <m/>
    <m/>
    <m/>
    <m/>
    <m/>
    <m/>
    <m/>
    <n v="687.39770742595692"/>
    <n v="0.20130776109853157"/>
    <n v="0.20077368098647824"/>
    <n v="384.2252438825787"/>
    <n v="376.34402512940954"/>
    <x v="8"/>
    <n v="9.762677251918257"/>
    <n v="2.6643645582431001"/>
    <n v="0.2"/>
    <n v="0"/>
    <n v="0.3"/>
    <x v="0"/>
    <n v="0.19717943100717727"/>
    <n v="0.18"/>
    <n v="376.34402512940954"/>
    <n v="0.19717943100717727"/>
    <n v="8.9888869306971166"/>
    <n v="69.931494752320958"/>
    <n v="25544.992858235084"/>
    <n v="16.816469483954094"/>
    <n v="17838.637359913337"/>
    <x v="0"/>
    <n v="1.9440681940701409E-6"/>
    <n v="1455449.9285823507"/>
    <n v="1.2256441811975402E-2"/>
  </r>
  <r>
    <x v="0"/>
    <n v="200"/>
    <n v="25"/>
    <x v="0"/>
    <n v="5.8602368308585664"/>
    <n v="1.3567561721901404"/>
    <n v="6.8586300230396038"/>
    <n v="3.4566601315352568"/>
    <m/>
    <n v="0.3017405722660077"/>
    <n v="0.18"/>
    <n v="34.847824084210735"/>
    <n v="17.351613651889163"/>
    <n v="0.97431778159208804"/>
    <m/>
    <m/>
    <m/>
    <m/>
    <m/>
    <m/>
    <m/>
    <m/>
    <m/>
    <m/>
    <m/>
    <n v="0.28186681493599725"/>
    <m/>
    <m/>
    <m/>
    <m/>
    <m/>
    <m/>
    <m/>
    <m/>
    <m/>
    <m/>
    <m/>
    <n v="846.52741581251303"/>
    <n v="0.19781737280368042"/>
    <n v="0.22496977198553575"/>
    <n v="373.95100337642094"/>
    <n v="359.36852501646882"/>
    <x v="8"/>
    <n v="9.762677251918257"/>
    <n v="2.6643645582431001"/>
    <n v="0.2"/>
    <n v="0"/>
    <n v="0.3"/>
    <x v="0"/>
    <n v="0.20600593950371504"/>
    <n v="0.18"/>
    <n v="359.36852501646882"/>
    <n v="0.20600593950371504"/>
    <n v="16.155890810393206"/>
    <n v="101.8899524637793"/>
    <n v="41061.316602625528"/>
    <n v="26.116089970607547"/>
    <n v="49704.583195410174"/>
    <x v="0"/>
    <n v="3.3156170326053757E-6"/>
    <n v="1610613.1660262553"/>
    <n v="3.0860658688170638E-2"/>
  </r>
  <r>
    <x v="0"/>
    <n v="300"/>
    <n v="25"/>
    <x v="0"/>
    <n v="8.1737240522486569"/>
    <n v="1.8822081251121421"/>
    <n v="9.5108950858790937"/>
    <n v="4.853551395237349"/>
    <m/>
    <n v="0.30172233163820228"/>
    <n v="0.18"/>
    <n v="49.002929895908778"/>
    <n v="24.399799118294826"/>
    <n v="1.2299871009413006"/>
    <m/>
    <m/>
    <m/>
    <m/>
    <m/>
    <m/>
    <m/>
    <m/>
    <m/>
    <m/>
    <m/>
    <n v="0.25342002191390239"/>
    <m/>
    <m/>
    <m/>
    <m/>
    <m/>
    <m/>
    <m/>
    <m/>
    <m/>
    <m/>
    <m/>
    <n v="960.3614157165855"/>
    <n v="0.19790020898313476"/>
    <n v="0.23834992108232922"/>
    <n v="365.70704108005413"/>
    <n v="345.36786524593441"/>
    <x v="8"/>
    <n v="9.762677251918257"/>
    <n v="2.6643645582431001"/>
    <n v="0.2"/>
    <n v="0"/>
    <n v="0.3"/>
    <x v="0"/>
    <n v="0.21194172794786278"/>
    <n v="0.18"/>
    <n v="345.36786524593441"/>
    <n v="0.21194172794786278"/>
    <n v="22.338981783696678"/>
    <n v="124.88289904878378"/>
    <n v="53574.592615337337"/>
    <n v="33.543889380962071"/>
    <n v="86165.255356549635"/>
    <x v="0"/>
    <n v="4.2642755817592713E-6"/>
    <n v="1735745.9261533734"/>
    <n v="4.9641629030063431E-2"/>
  </r>
  <r>
    <x v="0"/>
    <n v="400"/>
    <n v="25"/>
    <x v="0"/>
    <n v="10.189120661987397"/>
    <n v="2.3557672665118452"/>
    <n v="11.824624490395777"/>
    <n v="6.1023596591588491"/>
    <m/>
    <n v="0.30221253694557948"/>
    <n v="0.18"/>
    <n v="61.685634706385258"/>
    <n v="30.714838857951168"/>
    <n v="1.4313012369945595"/>
    <m/>
    <m/>
    <m/>
    <m/>
    <m/>
    <m/>
    <m/>
    <m/>
    <m/>
    <m/>
    <m/>
    <n v="0.23454881667722785"/>
    <m/>
    <m/>
    <m/>
    <m/>
    <m/>
    <m/>
    <m/>
    <m/>
    <m/>
    <m/>
    <m/>
    <n v="1049.0867384205715"/>
    <n v="0.19922554567591147"/>
    <n v="0.24725045390656988"/>
    <n v="358.7902853119225"/>
    <n v="333.43611992329193"/>
    <x v="8"/>
    <n v="9.762677251918257"/>
    <n v="2.6643645582431001"/>
    <n v="0.2"/>
    <n v="0"/>
    <n v="0.3"/>
    <x v="0"/>
    <n v="0.21623124367520635"/>
    <n v="0.18"/>
    <n v="333.43611992329193"/>
    <n v="0.21623124367520635"/>
    <n v="27.808434989082251"/>
    <n v="143.18510588419019"/>
    <n v="64257.95847254312"/>
    <n v="39.862972176792908"/>
    <n v="124332.39596009129"/>
    <x v="0"/>
    <n v="4.9507637233848442E-6"/>
    <n v="1842579.5847254312"/>
    <n v="6.7477354568985126E-2"/>
  </r>
  <r>
    <x v="0"/>
    <n v="600"/>
    <n v="25"/>
    <x v="0"/>
    <n v="13.519533746661683"/>
    <n v="3.1802842014643247"/>
    <n v="15.662953313892999"/>
    <n v="8.2425096667428921"/>
    <m/>
    <n v="0.30397510454739252"/>
    <n v="0.18"/>
    <n v="83.480603044967623"/>
    <n v="41.567105250606289"/>
    <n v="1.7320553144595827"/>
    <m/>
    <m/>
    <m/>
    <m/>
    <m/>
    <m/>
    <m/>
    <m/>
    <m/>
    <m/>
    <m/>
    <n v="0.21013688603219088"/>
    <m/>
    <m/>
    <m/>
    <m/>
    <m/>
    <m/>
    <m/>
    <m/>
    <m/>
    <m/>
    <m/>
    <n v="1180.1623623531768"/>
    <n v="0.2030449901579813"/>
    <n v="0.25887648808639935"/>
    <n v="347.77612348422474"/>
    <n v="314.13470512338557"/>
    <x v="8"/>
    <n v="9.762677251918257"/>
    <n v="2.6643645582431001"/>
    <n v="0.2"/>
    <n v="0"/>
    <n v="0.3"/>
    <x v="0"/>
    <n v="0.22239481425313198"/>
    <n v="0.18"/>
    <n v="314.13470512338557"/>
    <n v="0.22239481425313198"/>
    <n v="37.088624151842069"/>
    <n v="171.12849052696487"/>
    <n v="81685.800272247652"/>
    <n v="50.18249607269648"/>
    <n v="200359.10117512126"/>
    <x v="0"/>
    <n v="5.8553532665694437E-6"/>
    <n v="2016858.0027224766"/>
    <n v="9.9342195089919302E-2"/>
  </r>
  <r>
    <x v="0"/>
    <n v="800"/>
    <n v="25"/>
    <x v="0"/>
    <n v="16.120684465510909"/>
    <n v="3.8668825350424267"/>
    <n v="18.677980503748671"/>
    <n v="9.9918129217178162"/>
    <m/>
    <n v="0.30641845687254193"/>
    <n v="0.18"/>
    <n v="101.35416475437411"/>
    <n v="50.466804027074247"/>
    <n v="1.9426849595821523"/>
    <m/>
    <m/>
    <m/>
    <m/>
    <m/>
    <m/>
    <m/>
    <m/>
    <m/>
    <m/>
    <m/>
    <n v="0.19442767541810232"/>
    <m/>
    <m/>
    <m/>
    <m/>
    <m/>
    <m/>
    <m/>
    <m/>
    <m/>
    <m/>
    <m/>
    <n v="1270.7132383190094"/>
    <n v="0.20702894160674079"/>
    <n v="0.26639107035503562"/>
    <n v="339.48489172694156"/>
    <n v="299.37075852793356"/>
    <x v="8"/>
    <n v="9.762677251918257"/>
    <n v="2.6643645582431001"/>
    <n v="0.2"/>
    <n v="0"/>
    <n v="0.3"/>
    <x v="0"/>
    <n v="0.22702309819043187"/>
    <n v="0.18"/>
    <n v="299.37075852793356"/>
    <n v="0.22702309819043187"/>
    <n v="44.586823799473365"/>
    <n v="191.34297673837654"/>
    <n v="95092.243454827782"/>
    <n v="58.198931548242435"/>
    <n v="271241.87058692687"/>
    <x v="0"/>
    <n v="6.4032287289490403E-6"/>
    <n v="2150922.4345482779"/>
    <n v="0.12610490561175966"/>
  </r>
  <r>
    <x v="0"/>
    <n v="1000"/>
    <n v="25"/>
    <x v="0"/>
    <n v="18.1646978740084"/>
    <n v="4.4307215342323438"/>
    <n v="21.056977315596761"/>
    <n v="11.41984608623353"/>
    <m/>
    <n v="0.30633596185663697"/>
    <n v="0.18"/>
    <n v="115.98951735794897"/>
    <n v="57.754116526779576"/>
    <n v="2.1276961332046387"/>
    <m/>
    <m/>
    <m/>
    <m/>
    <m/>
    <m/>
    <m/>
    <m/>
    <m/>
    <m/>
    <m/>
    <n v="0.18631565759625671"/>
    <m/>
    <m/>
    <m/>
    <m/>
    <m/>
    <m/>
    <m/>
    <m/>
    <m/>
    <m/>
    <m/>
    <n v="1351.8177288999489"/>
    <n v="0.21041583831457797"/>
    <n v="0.27180419588109217"/>
    <n v="333.1699136758175"/>
    <n v="287.96966229762899"/>
    <x v="8"/>
    <n v="9.762677251918257"/>
    <n v="2.6643645582431001"/>
    <n v="0.2"/>
    <n v="0"/>
    <n v="0.3"/>
    <x v="0"/>
    <n v="0.22930947362045961"/>
    <n v="0.18"/>
    <n v="287.96966229762899"/>
    <n v="0.22930947362045961"/>
    <n v="50.638410911784128"/>
    <n v="206.19163779257289"/>
    <n v="105464.87352254939"/>
    <n v="64.575831996302568"/>
    <n v="334379.03038977529"/>
    <x v="0"/>
    <n v="6.7557594420828871E-6"/>
    <n v="2254648.735225494"/>
    <n v="0.14830648569136562"/>
  </r>
  <r>
    <x v="0"/>
    <n v="1300"/>
    <n v="25"/>
    <x v="0"/>
    <n v="20.415524850153385"/>
    <n v="5.0817357108862371"/>
    <n v="23.688207091919317"/>
    <n v="13.076137967333652"/>
    <m/>
    <n v="0.31097064787017892"/>
    <n v="0.18"/>
    <n v="133.02355004191742"/>
    <n v="66.235792551992077"/>
    <n v="2.2827399818538421"/>
    <m/>
    <m/>
    <m/>
    <m/>
    <m/>
    <m/>
    <m/>
    <m/>
    <m/>
    <m/>
    <m/>
    <n v="0.17457295017508248"/>
    <m/>
    <m/>
    <m/>
    <m/>
    <m/>
    <m/>
    <m/>
    <m/>
    <m/>
    <m/>
    <m/>
    <n v="1417.0323470596034"/>
    <n v="0.2145259745141182"/>
    <n v="0.2776242323647134"/>
    <n v="326.46346222640386"/>
    <n v="275.66235613268236"/>
    <x v="8"/>
    <n v="9.762677251918257"/>
    <n v="2.6643645582431001"/>
    <n v="0.2"/>
    <n v="0"/>
    <n v="0.3"/>
    <x v="0"/>
    <n v="0.23444895870935778"/>
    <n v="0.18"/>
    <n v="275.66235613268236"/>
    <n v="0.23444895870935778"/>
    <n v="57.441004617062895"/>
    <n v="221.43482913532404"/>
    <n v="116378.94734011457"/>
    <n v="71.290925393801274"/>
    <n v="411220.98215701315"/>
    <x v="0"/>
    <n v="7.0877641540557919E-6"/>
    <n v="2363789.4734011455"/>
    <n v="0.17396683874952984"/>
  </r>
  <r>
    <x v="0"/>
    <n v="1600"/>
    <n v="25"/>
    <x v="0"/>
    <n v="21.987016537286312"/>
    <n v="5.5550046290523172"/>
    <n v="25.53203160952695"/>
    <n v="14.296765193627399"/>
    <m/>
    <n v="0.31734405277046318"/>
    <n v="0.18"/>
    <n v="145.62469660506821"/>
    <n v="72.510222375967572"/>
    <n v="2.3563155494624688"/>
    <m/>
    <m/>
    <m/>
    <m/>
    <m/>
    <m/>
    <m/>
    <m/>
    <m/>
    <m/>
    <m/>
    <n v="0.16481459389937847"/>
    <m/>
    <m/>
    <m/>
    <m/>
    <m/>
    <m/>
    <m/>
    <m/>
    <m/>
    <m/>
    <m/>
    <n v="1445.3962465330303"/>
    <n v="0.21757002004413697"/>
    <n v="0.28170458630449141"/>
    <n v="321.95009379960612"/>
    <n v="267.23847180179627"/>
    <x v="8"/>
    <n v="9.762677251918257"/>
    <n v="2.6643645582431001"/>
    <n v="0.2"/>
    <n v="0"/>
    <n v="0.3"/>
    <x v="0"/>
    <n v="0.23987086997634438"/>
    <n v="0.18"/>
    <n v="267.23847180179627"/>
    <n v="0.23987086997634438"/>
    <n v="62.255192831242844"/>
    <n v="231.29760342889239"/>
    <n v="123560.33515530512"/>
    <n v="75.707499656899103"/>
    <n v="469314.61551263067"/>
    <x v="0"/>
    <n v="7.2935000908254216E-6"/>
    <n v="2435603.3515530513"/>
    <n v="0.19268926330445979"/>
  </r>
  <r>
    <x v="0"/>
    <n v="1900"/>
    <n v="25"/>
    <x v="0"/>
    <n v="23.153776617445835"/>
    <n v="5.946960011877759"/>
    <n v="26.919519708291389"/>
    <n v="15.141118341021308"/>
    <m/>
    <n v="0.3158823111173274"/>
    <n v="0.18"/>
    <n v="154.38947030978611"/>
    <n v="76.87442505051591"/>
    <n v="2.4439777400576936"/>
    <m/>
    <m/>
    <m/>
    <m/>
    <m/>
    <m/>
    <m/>
    <m/>
    <m/>
    <m/>
    <m/>
    <n v="0.16141329094802129"/>
    <m/>
    <m/>
    <m/>
    <m/>
    <m/>
    <m/>
    <m/>
    <m/>
    <m/>
    <m/>
    <m/>
    <n v="1482.3813765511295"/>
    <n v="0.22091627474490402"/>
    <n v="0.2823884951739164"/>
    <n v="318.00736569247988"/>
    <n v="260.39250652228208"/>
    <x v="8"/>
    <n v="9.762677251918257"/>
    <n v="2.6643645582431001"/>
    <n v="0.2"/>
    <n v="0"/>
    <n v="0.3"/>
    <x v="0"/>
    <n v="0.23960711055557421"/>
    <n v="0.18"/>
    <n v="260.39250652228208"/>
    <n v="0.23960711055557421"/>
    <n v="66.172848887078501"/>
    <n v="236.52917191127796"/>
    <n v="129137.22475842734"/>
    <n v="80.376062051392395"/>
    <n v="516134.14052388782"/>
    <x v="0"/>
    <n v="7.4185753450544806E-6"/>
    <n v="2491372.2475842731"/>
    <n v="0.20716861602048856"/>
  </r>
  <r>
    <x v="0"/>
    <n v="1000"/>
    <n v="25"/>
    <x v="1"/>
    <n v="14.061607877456478"/>
    <n v="7.5377774880953723"/>
    <n v="18.590129450084717"/>
    <n v="11.89806167052858"/>
    <m/>
    <n v="0.36920770981025652"/>
    <n v="0.18"/>
    <n v="121.63203295204227"/>
    <n v="60.563667859938064"/>
    <n v="1.2093921966557364"/>
    <m/>
    <m/>
    <m/>
    <m/>
    <m/>
    <m/>
    <m/>
    <m/>
    <m/>
    <m/>
    <m/>
    <n v="0.10164615297392456"/>
    <m/>
    <m/>
    <m/>
    <m/>
    <m/>
    <m/>
    <m/>
    <m/>
    <m/>
    <m/>
    <m/>
    <n v="717.03022638652976"/>
    <n v="0.40547202795626697"/>
    <n v="0.26694739658694994"/>
    <n v="147.3244239979829"/>
    <n v="112.33412805866222"/>
    <x v="8"/>
    <n v="9.762677251918257"/>
    <n v="2.6643645582431001"/>
    <n v="0.2"/>
    <n v="0"/>
    <n v="0.3"/>
    <x v="0"/>
    <n v="0.23373765039566213"/>
    <n v="0.18"/>
    <n v="112.33412805866222"/>
    <n v="0.23373765039566213"/>
    <n v="67.748026703603742"/>
    <n v="222.94656715859406"/>
    <n v="123769.56184100975"/>
    <n v="80.906564273627609"/>
    <n v="272168.14913717844"/>
    <x v="1"/>
    <n v="4.9421758692829542E-6"/>
    <n v="2437695.6184100974"/>
    <n v="0.11164976754345184"/>
  </r>
  <r>
    <x v="0"/>
    <n v="1000"/>
    <n v="25"/>
    <x v="2"/>
    <n v="16.452145120040299"/>
    <n v="5.4659720303320256"/>
    <n v="19.886783811097743"/>
    <n v="11.6210052738305"/>
    <m/>
    <n v="0.32935166955136741"/>
    <n v="0.18"/>
    <n v="118.23312303223801"/>
    <n v="58.87126458036748"/>
    <n v="1.7263653358408249"/>
    <m/>
    <m/>
    <m/>
    <m/>
    <m/>
    <m/>
    <m/>
    <m/>
    <m/>
    <m/>
    <m/>
    <n v="0.14855559352756259"/>
    <m/>
    <m/>
    <m/>
    <m/>
    <m/>
    <m/>
    <m/>
    <m/>
    <m/>
    <m/>
    <m/>
    <n v="1062.6924389423532"/>
    <n v="0.27485450046888732"/>
    <n v="0.276268086573914"/>
    <n v="240.44862248090817"/>
    <n v="199.50977102194119"/>
    <x v="8"/>
    <n v="9.762677251918257"/>
    <n v="2.6643645582431001"/>
    <n v="0.2"/>
    <n v="0"/>
    <n v="0.3"/>
    <x v="0"/>
    <n v="0.23204794966811707"/>
    <n v="0.18"/>
    <n v="199.50977102194119"/>
    <n v="0.23204794966811707"/>
    <n v="56.088808144724425"/>
    <n v="212.69744122165994"/>
    <n v="110460.93192825282"/>
    <n v="67.963629134912154"/>
    <n v="305960.92055576964"/>
    <x v="1"/>
    <n v="6.0474332650495935E-6"/>
    <n v="2304609.319282528"/>
    <n v="0.13276042841440108"/>
  </r>
  <r>
    <x v="0"/>
    <n v="1000"/>
    <n v="25"/>
    <x v="0"/>
    <n v="18.162967028897302"/>
    <n v="4.4299831607136211"/>
    <n v="21.054781113774553"/>
    <n v="11.419096463647888"/>
    <m/>
    <n v="0.30635327539917817"/>
    <n v="0.18"/>
    <n v="115.98196566723362"/>
    <n v="57.750356348830017"/>
    <n v="2.1276635147280381"/>
    <m/>
    <m/>
    <m/>
    <m/>
    <m/>
    <m/>
    <m/>
    <m/>
    <m/>
    <m/>
    <m/>
    <n v="0.18632503206373172"/>
    <m/>
    <m/>
    <m/>
    <m/>
    <m/>
    <m/>
    <m/>
    <m/>
    <m/>
    <m/>
    <m/>
    <n v="1351.818059036224"/>
    <n v="0.21040271740537914"/>
    <n v="0.27182842832873422"/>
    <n v="333.18223873578074"/>
    <n v="287.98630167220529"/>
    <x v="8"/>
    <n v="9.762677251918257"/>
    <n v="2.6643645582431001"/>
    <n v="0.2"/>
    <n v="0"/>
    <n v="0.3"/>
    <x v="0"/>
    <n v="0.22932471341526092"/>
    <n v="0.18"/>
    <n v="287.98630167220529"/>
    <n v="0.22932471341526092"/>
    <n v="50.631273102485146"/>
    <n v="206.17007085808189"/>
    <n v="105444.52663537081"/>
    <n v="64.558930950094577"/>
    <n v="334298.61435881222"/>
    <x v="1"/>
    <n v="6.7558681115672936E-6"/>
    <n v="2254445.2663537082"/>
    <n v="0.14828420070694362"/>
  </r>
  <r>
    <x v="0"/>
    <n v="1000"/>
    <n v="25"/>
    <x v="3"/>
    <n v="19.244222733914345"/>
    <n v="3.6820237787274364"/>
    <n v="21.742217253862925"/>
    <n v="11.290138882114384"/>
    <m/>
    <n v="0.30441778900875871"/>
    <n v="0.18"/>
    <n v="114.5687910097148"/>
    <n v="57.046700917700313"/>
    <n v="2.3455970270113937"/>
    <m/>
    <m/>
    <m/>
    <m/>
    <m/>
    <m/>
    <m/>
    <m/>
    <m/>
    <m/>
    <m/>
    <n v="0.20775625982132448"/>
    <m/>
    <m/>
    <m/>
    <m/>
    <m/>
    <m/>
    <m/>
    <m/>
    <m/>
    <m/>
    <m/>
    <n v="1553.3690849990576"/>
    <n v="0.16934904732741798"/>
    <n v="0.26898843543614365"/>
    <n v="428.45706283725042"/>
    <n v="380.57057149335901"/>
    <x v="8"/>
    <n v="9.762677251918257"/>
    <n v="2.6643645582431001"/>
    <n v="0.2"/>
    <n v="0"/>
    <n v="0.3"/>
    <x v="0"/>
    <n v="0.235953238302021"/>
    <n v="0.18"/>
    <n v="380.57057149335901"/>
    <n v="0.235953238302021"/>
    <n v="46.363306284909257"/>
    <n v="202.17195865360301"/>
    <n v="101140.63490501"/>
    <n v="60.621093580342112"/>
    <n v="348674.62978161621"/>
    <x v="1"/>
    <n v="7.2534782549693786E-6"/>
    <n v="2211406.3490501"/>
    <n v="0.15767099064872808"/>
  </r>
  <r>
    <x v="0"/>
    <n v="1000"/>
    <n v="25"/>
    <x v="4"/>
    <n v="20.012272253393533"/>
    <n v="3.1455161190977887"/>
    <n v="22.228121727075454"/>
    <n v="11.203225278025695"/>
    <m/>
    <n v="0.30305540316539498"/>
    <n v="0.18"/>
    <n v="113.62436339600679"/>
    <n v="56.576446504235747"/>
    <n v="2.5334106479155523"/>
    <m/>
    <m/>
    <m/>
    <m/>
    <m/>
    <m/>
    <m/>
    <m/>
    <m/>
    <m/>
    <m/>
    <n v="0.2261322596881678"/>
    <m/>
    <m/>
    <m/>
    <m/>
    <m/>
    <m/>
    <m/>
    <m/>
    <m/>
    <m/>
    <m/>
    <n v="1741.9143130290352"/>
    <n v="0.14151065743293656"/>
    <n v="0.26685481282088658"/>
    <n v="525.00689029421471"/>
    <n v="475.20898907125968"/>
    <x v="8"/>
    <n v="9.762677251918257"/>
    <n v="2.6643645582431001"/>
    <n v="0.2"/>
    <n v="0"/>
    <n v="0.3"/>
    <x v="0"/>
    <n v="0.24116782817649882"/>
    <n v="0.18"/>
    <n v="475.20898907125968"/>
    <n v="0.24116782817649882"/>
    <n v="43.282484664874687"/>
    <n v="199.54103648304854"/>
    <n v="98098.885482040772"/>
    <n v="57.695529170161294"/>
    <n v="358106.11259085388"/>
    <x v="1"/>
    <n v="7.6158384472523136E-6"/>
    <n v="2180988.8548204079"/>
    <n v="0.16419437990220354"/>
  </r>
  <r>
    <x v="0"/>
    <n v="1000"/>
    <n v="25"/>
    <x v="5"/>
    <n v="20.578116967936253"/>
    <n v="2.7452014828393931"/>
    <n v="22.583394891555052"/>
    <n v="11.139819941555363"/>
    <m/>
    <n v="0.30266965199482349"/>
    <n v="0.18"/>
    <n v="112.93990968212601"/>
    <n v="56.235639675747393"/>
    <n v="2.6822001105652955"/>
    <m/>
    <m/>
    <m/>
    <m/>
    <m/>
    <m/>
    <m/>
    <m/>
    <m/>
    <m/>
    <m/>
    <n v="0.240775894461253"/>
    <m/>
    <m/>
    <m/>
    <m/>
    <m/>
    <m/>
    <m/>
    <m/>
    <m/>
    <m/>
    <m/>
    <n v="1912.3071659645857"/>
    <n v="0.12155840590052062"/>
    <n v="0.26522566834903621"/>
    <n v="622.41280002787846"/>
    <n v="571.20711068193759"/>
    <x v="8"/>
    <n v="9.762677251918257"/>
    <n v="2.6643645582431001"/>
    <n v="0.2"/>
    <n v="0"/>
    <n v="0.3"/>
    <x v="0"/>
    <n v="0.24573149933755722"/>
    <n v="0.18"/>
    <n v="571.20711068193759"/>
    <n v="0.24573149933755722"/>
    <n v="40.965793648054692"/>
    <n v="197.65432305745455"/>
    <n v="95805.391411083459"/>
    <n v="55.416549822186553"/>
    <n v="364455.57802407164"/>
    <x v="1"/>
    <n v="7.8903710221203185E-6"/>
    <n v="2158053.9141108347"/>
    <n v="0.16888159078928075"/>
  </r>
  <r>
    <x v="0"/>
    <n v="1000"/>
    <n v="25"/>
    <x v="6"/>
    <n v="21.011954816034816"/>
    <n v="2.4362118204306351"/>
    <n v="22.854707050868996"/>
    <n v="11.091688401187158"/>
    <m/>
    <n v="0.30245676435904301"/>
    <n v="0.18"/>
    <n v="112.42263687842492"/>
    <n v="55.978076453987519"/>
    <n v="2.8055326361297279"/>
    <m/>
    <m/>
    <m/>
    <m/>
    <m/>
    <m/>
    <m/>
    <m/>
    <m/>
    <m/>
    <m/>
    <n v="0.25294008762718651"/>
    <m/>
    <m/>
    <m/>
    <m/>
    <m/>
    <m/>
    <m/>
    <m/>
    <m/>
    <m/>
    <m/>
    <n v="2070.8704243558145"/>
    <n v="0.10659562666929935"/>
    <n v="0.26393410477524759"/>
    <n v="720.38939100376024"/>
    <n v="668.10410629095065"/>
    <x v="8"/>
    <n v="9.762677251918257"/>
    <n v="2.6643645582431001"/>
    <n v="0.2"/>
    <n v="0"/>
    <n v="0.3"/>
    <x v="0"/>
    <n v="0.2495130610457727"/>
    <n v="0.18"/>
    <n v="668.10410629095065"/>
    <n v="0.2495130610457727"/>
    <n v="39.170563929635321"/>
    <n v="196.23938431755511"/>
    <n v="94032.114784157675"/>
    <n v="53.619145529989886"/>
    <n v="368995.58444189682"/>
    <x v="1"/>
    <n v="8.1049527421213419E-6"/>
    <n v="2140321.1478415765"/>
    <n v="0.17240197099113527"/>
  </r>
  <r>
    <x v="0"/>
    <n v="1000"/>
    <n v="25"/>
    <x v="7"/>
    <n v="21.355878101207125"/>
    <n v="2.1909262327164143"/>
    <n v="23.069656246300909"/>
    <n v="11.054141651339776"/>
    <m/>
    <n v="0.30215958373035573"/>
    <n v="0.18"/>
    <n v="112.02029703003467"/>
    <n v="55.777741259768312"/>
    <n v="2.9111329951803135"/>
    <m/>
    <m/>
    <m/>
    <m/>
    <m/>
    <m/>
    <m/>
    <m/>
    <m/>
    <m/>
    <m/>
    <n v="0.26335224271596702"/>
    <m/>
    <m/>
    <m/>
    <m/>
    <m/>
    <m/>
    <m/>
    <m/>
    <m/>
    <m/>
    <m/>
    <n v="2221.1841243298377"/>
    <n v="9.4970042436922614E-2"/>
    <n v="0.26286978905774239"/>
    <n v="818.75872013380717"/>
    <n v="765.6176267396811"/>
    <x v="8"/>
    <n v="9.762677251918257"/>
    <n v="2.6643645582431001"/>
    <n v="0.2"/>
    <n v="0"/>
    <n v="0.3"/>
    <x v="0"/>
    <n v="0.25257679495703206"/>
    <n v="0.18"/>
    <n v="765.6176267396811"/>
    <n v="0.25257679495703206"/>
    <n v="37.743326652074124"/>
    <n v="195.14524934010564"/>
    <n v="92632.239340469459"/>
    <n v="52.180762154124878"/>
    <n v="372425.12724268867"/>
    <x v="1"/>
    <n v="8.2770788298795193E-6"/>
    <n v="2126322.3934046947"/>
    <n v="0.17514988714686711"/>
  </r>
  <r>
    <x v="0"/>
    <n v="1000"/>
    <n v="25"/>
    <x v="8"/>
    <n v="21.633544239294757"/>
    <n v="1.9913337558748916"/>
    <n v="23.242354596554982"/>
    <n v="11.023673305796159"/>
    <m/>
    <n v="0.30176498306863608"/>
    <n v="0.18"/>
    <n v="111.69477975825826"/>
    <n v="55.615657970916985"/>
    <n v="3.0030216938614362"/>
    <m/>
    <m/>
    <m/>
    <m/>
    <m/>
    <m/>
    <m/>
    <m/>
    <m/>
    <m/>
    <m/>
    <n v="0.27241570124202352"/>
    <m/>
    <m/>
    <m/>
    <m/>
    <m/>
    <m/>
    <m/>
    <m/>
    <m/>
    <m/>
    <m/>
    <n v="2365.1107894205397"/>
    <n v="8.5676937231223993E-2"/>
    <n v="0.26200853887656245"/>
    <n v="917.4319114481732"/>
    <n v="863.59994248982377"/>
    <x v="8"/>
    <n v="9.762677251918257"/>
    <n v="2.6643645582431001"/>
    <n v="0.2"/>
    <n v="0"/>
    <n v="0.3"/>
    <x v="0"/>
    <n v="0.2550742237028375"/>
    <n v="0.18"/>
    <n v="863.59994248982377"/>
    <n v="0.2550742237028375"/>
    <n v="36.578892785587797"/>
    <n v="194.26409331136267"/>
    <n v="91488.011290026392"/>
    <n v="50.993298417748719"/>
    <n v="375031.07848616771"/>
    <x v="1"/>
    <n v="8.4181908054530582E-6"/>
    <n v="2114880.1129002636"/>
    <n v="0.17732971065289596"/>
  </r>
  <r>
    <x v="0"/>
    <n v="1000"/>
    <n v="25"/>
    <x v="9"/>
    <n v="21.863962673416815"/>
    <n v="1.825941402327578"/>
    <n v="23.38582898828836"/>
    <n v="10.998784791155312"/>
    <m/>
    <n v="0.30122579852725223"/>
    <n v="0.18"/>
    <n v="111.42930160891072"/>
    <n v="55.483469680785433"/>
    <n v="3.0847569090978286"/>
    <m/>
    <m/>
    <m/>
    <m/>
    <m/>
    <m/>
    <m/>
    <m/>
    <m/>
    <m/>
    <m/>
    <n v="0.28046343006715069"/>
    <m/>
    <m/>
    <m/>
    <m/>
    <m/>
    <m/>
    <m/>
    <m/>
    <m/>
    <m/>
    <m/>
    <n v="2504.2895396383205"/>
    <n v="7.8078968389019301E-2"/>
    <n v="0.26127003440177188"/>
    <n v="1016.3166081273783"/>
    <n v="961.91108508940567"/>
    <x v="8"/>
    <n v="9.762677251918257"/>
    <n v="2.6643645582431001"/>
    <n v="0.2"/>
    <n v="0"/>
    <n v="0.3"/>
    <x v="0"/>
    <n v="0.25707665869716556"/>
    <n v="0.18"/>
    <n v="961.91108508940567"/>
    <n v="0.25707665869716556"/>
    <n v="35.614066178374799"/>
    <n v="193.54812847686532"/>
    <n v="90547.839249836994"/>
    <n v="50.010117006237259"/>
    <n v="377134.69146585988"/>
    <x v="1"/>
    <n v="8.5359430368564703E-6"/>
    <n v="2105478.3924983698"/>
    <n v="0.17912066578766939"/>
  </r>
  <r>
    <x v="0"/>
    <n v="1000"/>
    <n v="25"/>
    <x v="0"/>
    <n v="18.163631207410376"/>
    <n v="4.4302679192462513"/>
    <n v="21.055624613944772"/>
    <n v="11.419383840871596"/>
    <m/>
    <n v="0.30634676687599144"/>
    <n v="0.18"/>
    <n v="115.98486083007874"/>
    <n v="57.75179792369066"/>
    <n v="2.1276736553942008"/>
    <m/>
    <m/>
    <m/>
    <m/>
    <m/>
    <m/>
    <m/>
    <m/>
    <m/>
    <m/>
    <m/>
    <n v="0.18632123107894444"/>
    <m/>
    <m/>
    <m/>
    <m/>
    <m/>
    <m/>
    <m/>
    <m/>
    <m/>
    <m/>
    <m/>
    <n v="1351.8166771340263"/>
    <n v="0.21040781266171332"/>
    <n v="0.27181906258768479"/>
    <n v="333.17749301872067"/>
    <n v="287.97984943692677"/>
    <x v="8"/>
    <n v="9.762677251918257"/>
    <n v="2.6643645582431001"/>
    <n v="0.2"/>
    <n v="0"/>
    <n v="0.3"/>
    <x v="0"/>
    <n v="0.22931892097573039"/>
    <n v="0.18"/>
    <n v="287.97984943692677"/>
    <n v="0.22931892097573039"/>
    <n v="50.634020944771265"/>
    <n v="206.17833892006075"/>
    <n v="105452.3469280108"/>
    <n v="64.565439844447809"/>
    <n v="334329.49757467798"/>
    <x v="2"/>
    <n v="6.7558259992982222E-6"/>
    <n v="2254523.4692801079"/>
    <n v="0.14829275548922663"/>
  </r>
  <r>
    <x v="0"/>
    <n v="1000"/>
    <n v="25"/>
    <x v="0"/>
    <n v="17.559682313938573"/>
    <n v="4.2386404832895295"/>
    <n v="20.320946156280804"/>
    <n v="11.031289467550142"/>
    <m/>
    <n v="0.30981777534090132"/>
    <n v="0.18"/>
    <n v="112.08118566270659"/>
    <n v="55.808059251140222"/>
    <n v="2.0609918909354086"/>
    <m/>
    <m/>
    <m/>
    <m/>
    <m/>
    <m/>
    <m/>
    <m/>
    <m/>
    <m/>
    <m/>
    <n v="0.18683145764582307"/>
    <m/>
    <m/>
    <m/>
    <m/>
    <m/>
    <m/>
    <m/>
    <m/>
    <m/>
    <m/>
    <m/>
    <n v="1322.5273125560254"/>
    <n v="0.20858479967870242"/>
    <n v="0.27320187813061558"/>
    <n v="335.72634846403423"/>
    <n v="292.0313670883217"/>
    <x v="8"/>
    <n v="9.762677251918257"/>
    <n v="2.6643645582431001"/>
    <n v="0.2"/>
    <n v="0"/>
    <n v="0.3"/>
    <x v="1"/>
    <n v="0.23153908276162308"/>
    <n v="0.18"/>
    <n v="292.0313670883217"/>
    <n v="0.23153908276162308"/>
    <n v="48.62490853871082"/>
    <n v="195.31047376530469"/>
    <n v="98896.191901370039"/>
    <n v="61.466966513682344"/>
    <n v="381474.13624321605"/>
    <x v="2"/>
    <n v="6.5621448955364498E-6"/>
    <n v="2188961.9190137004"/>
    <n v="0.1742717097678429"/>
  </r>
  <r>
    <x v="0"/>
    <n v="1000"/>
    <n v="25"/>
    <x v="0"/>
    <n v="15.328921171167485"/>
    <n v="3.5802446988488899"/>
    <n v="17.645873230875637"/>
    <n v="9.6249075775659954"/>
    <m/>
    <n v="0.32663301806906625"/>
    <n v="0.18"/>
    <n v="97.905521833095506"/>
    <n v="48.749637427267473"/>
    <n v="1.7850883895842902"/>
    <m/>
    <m/>
    <m/>
    <m/>
    <m/>
    <m/>
    <m/>
    <m/>
    <m/>
    <m/>
    <m/>
    <n v="0.18546550968915529"/>
    <m/>
    <m/>
    <m/>
    <m/>
    <m/>
    <m/>
    <m/>
    <m/>
    <m/>
    <m/>
    <m/>
    <n v="1199.241653678348"/>
    <n v="0.20289416409182875"/>
    <n v="0.27790577968574948"/>
    <n v="344.84130129103062"/>
    <n v="306.69745888620298"/>
    <x v="8"/>
    <n v="9.762677251918257"/>
    <n v="2.6643645582431001"/>
    <n v="0.2"/>
    <n v="0"/>
    <n v="0.3"/>
    <x v="2"/>
    <n v="0.24190636966279397"/>
    <n v="0.18"/>
    <n v="306.69745888620298"/>
    <n v="0.24190636966279397"/>
    <n v="41.554276426213903"/>
    <n v="159.89970517375011"/>
    <n v="77670.297975587004"/>
    <n v="50.832178939732444"/>
    <n v="501431.93640582787"/>
    <x v="2"/>
    <n v="5.8912420475576011E-6"/>
    <n v="1976702.9797558701"/>
    <n v="0.25367085573359965"/>
  </r>
  <r>
    <x v="0"/>
    <n v="1000"/>
    <n v="25"/>
    <x v="0"/>
    <n v="13.29047161591199"/>
    <n v="3.0323526494862194"/>
    <n v="15.242045598637855"/>
    <n v="8.328444565748029"/>
    <m/>
    <n v="0.33806022533423458"/>
    <n v="0.18"/>
    <n v="84.801476454095763"/>
    <n v="42.224801553906616"/>
    <n v="1.5683973068775892"/>
    <m/>
    <m/>
    <m/>
    <m/>
    <m/>
    <m/>
    <m/>
    <m/>
    <m/>
    <m/>
    <m/>
    <n v="0.1883181540677904"/>
    <m/>
    <m/>
    <m/>
    <m/>
    <m/>
    <m/>
    <m/>
    <m/>
    <m/>
    <m/>
    <m/>
    <n v="1103.774447946246"/>
    <n v="0.19894656723486076"/>
    <n v="0.28067064376981959"/>
    <n v="352.64744671048811"/>
    <n v="319.57579450745186"/>
    <x v="8"/>
    <n v="9.762677251918257"/>
    <n v="2.6643645582431001"/>
    <n v="0.2"/>
    <n v="0"/>
    <n v="0.3"/>
    <x v="3"/>
    <n v="0.24872614890442155"/>
    <n v="0.18"/>
    <n v="319.57579450745186"/>
    <n v="0.24872614890442155"/>
    <n v="35.53016491647022"/>
    <n v="131.57572061877323"/>
    <n v="61574.294854841552"/>
    <n v="42.583342574328242"/>
    <n v="573211.72433280048"/>
    <x v="2"/>
    <n v="5.251326874911736E-6"/>
    <n v="1815742.9485484157"/>
    <n v="0.31568990797461227"/>
  </r>
  <r>
    <x v="0"/>
    <n v="1000"/>
    <n v="25"/>
    <x v="0"/>
    <n v="12.158327924129013"/>
    <n v="2.7474925848845868"/>
    <n v="13.920687721764498"/>
    <n v="7.5819358721270023"/>
    <m/>
    <n v="0.33943375968369677"/>
    <n v="0.18"/>
    <n v="77.24218091265719"/>
    <n v="38.460836968957942"/>
    <n v="1.4707079008859862"/>
    <m/>
    <m/>
    <m/>
    <m/>
    <m/>
    <m/>
    <m/>
    <m/>
    <m/>
    <m/>
    <m/>
    <n v="0.19397524928859633"/>
    <m/>
    <m/>
    <m/>
    <m/>
    <m/>
    <m/>
    <m/>
    <m/>
    <m/>
    <m/>
    <m/>
    <n v="1061.7637870633623"/>
    <n v="0.1973675898633212"/>
    <n v="0.2805602916994091"/>
    <n v="356.66411718321353"/>
    <n v="326.40983662036911"/>
    <x v="8"/>
    <n v="9.762677251918257"/>
    <n v="2.6643645582431001"/>
    <n v="0.2"/>
    <n v="0"/>
    <n v="0.3"/>
    <x v="4"/>
    <n v="0.24917059477905831"/>
    <n v="0.18"/>
    <n v="326.40983662036911"/>
    <n v="0.24917059477905831"/>
    <n v="32.348969669273878"/>
    <n v="116.71342660052991"/>
    <n v="53696.014940396206"/>
    <n v="38.731975476746747"/>
    <n v="601750.7488424402"/>
    <x v="2"/>
    <n v="4.8786571854214484E-6"/>
    <n v="1736960.1494039621"/>
    <n v="0.34643900670313649"/>
  </r>
  <r>
    <x v="0"/>
    <n v="1000"/>
    <n v="25"/>
    <x v="0"/>
    <n v="10.759180270087713"/>
    <n v="2.4084057190067516"/>
    <n v="12.298056316320004"/>
    <n v="6.6781758989486661"/>
    <m/>
    <n v="0.34346611764280832"/>
    <n v="0.18"/>
    <n v="68.077118088651815"/>
    <n v="33.897320210117094"/>
    <n v="1.3336541125467436"/>
    <m/>
    <m/>
    <m/>
    <m/>
    <m/>
    <m/>
    <m/>
    <m/>
    <m/>
    <m/>
    <m/>
    <n v="0.19970335204208958"/>
    <m/>
    <m/>
    <m/>
    <m/>
    <m/>
    <m/>
    <m/>
    <m/>
    <m/>
    <m/>
    <m/>
    <n v="1001.7046422589713"/>
    <n v="0.19583628965909861"/>
    <n v="0.28055463796206798"/>
    <n v="361.65032113444374"/>
    <n v="334.87758598559941"/>
    <x v="8"/>
    <n v="9.762677251918257"/>
    <n v="2.6643645582431001"/>
    <n v="0.2"/>
    <n v="0"/>
    <n v="0.3"/>
    <x v="5"/>
    <n v="0.25107336338310715"/>
    <n v="0.18"/>
    <n v="334.87758598559941"/>
    <n v="0.25107336338310715"/>
    <n v="28.497260929318585"/>
    <n v="99.870290961838535"/>
    <n v="44861.545991157873"/>
    <n v="33.998983729727783"/>
    <n v="630188.7666562337"/>
    <x v="2"/>
    <n v="4.3923612291799711E-6"/>
    <n v="1648615.4599115788"/>
    <n v="0.38225334044242981"/>
  </r>
  <r>
    <x v="0"/>
    <n v="1000"/>
    <n v="25"/>
    <x v="0"/>
    <n v="8.917179465155332"/>
    <n v="1.9783772027990758"/>
    <n v="10.175217897996927"/>
    <n v="5.5052656871055161"/>
    <m/>
    <n v="0.34843883966237826"/>
    <n v="0.18"/>
    <n v="56.162704000431127"/>
    <n v="27.964831867434583"/>
    <n v="1.1533733992779656"/>
    <m/>
    <m/>
    <m/>
    <m/>
    <m/>
    <m/>
    <m/>
    <m/>
    <m/>
    <m/>
    <m/>
    <n v="0.20950367608586218"/>
    <m/>
    <m/>
    <m/>
    <m/>
    <m/>
    <m/>
    <m/>
    <m/>
    <m/>
    <m/>
    <m/>
    <n v="922.70796570164975"/>
    <n v="0.19443094218046528"/>
    <n v="0.28050695680860954"/>
    <n v="368.21048730267484"/>
    <n v="346.02126606266711"/>
    <x v="8"/>
    <n v="9.762677251918257"/>
    <n v="2.6643645582431001"/>
    <n v="0.2"/>
    <n v="0"/>
    <n v="0.3"/>
    <x v="6"/>
    <n v="0.25337666548704529"/>
    <n v="0.18"/>
    <n v="346.02126606266711"/>
    <n v="0.25337666548704529"/>
    <n v="23.538731026103108"/>
    <n v="79.577612563378139"/>
    <n v="34525.07797999966"/>
    <n v="27.962320013444529"/>
    <n v="650006.43401496683"/>
    <x v="2"/>
    <n v="3.7238423065297049E-6"/>
    <n v="1545250.7797999966"/>
    <n v="0.42064786021275963"/>
  </r>
  <r>
    <x v="0"/>
    <n v="1000"/>
    <n v="25"/>
    <x v="0"/>
    <n v="7.7366254825853051"/>
    <n v="1.7128404040447205"/>
    <n v="8.8222787390288282"/>
    <n v="4.7630669585021153"/>
    <m/>
    <n v="0.3532197053187357"/>
    <n v="0.18"/>
    <n v="48.612822568415922"/>
    <n v="24.205554805850255"/>
    <n v="1.0266746554916004"/>
    <m/>
    <m/>
    <m/>
    <m/>
    <m/>
    <m/>
    <m/>
    <m/>
    <m/>
    <m/>
    <m/>
    <n v="0.21554907047002086"/>
    <m/>
    <m/>
    <m/>
    <m/>
    <m/>
    <m/>
    <m/>
    <m/>
    <m/>
    <m/>
    <m/>
    <n v="866.48402792833906"/>
    <n v="0.19414943176384755"/>
    <n v="0.28029476164269612"/>
    <n v="372.39825162181404"/>
    <n v="353.14670018253867"/>
    <x v="8"/>
    <n v="9.762677251918257"/>
    <n v="2.6643645582431001"/>
    <n v="0.2"/>
    <n v="0"/>
    <n v="0.3"/>
    <x v="7"/>
    <n v="0.25585148596956453"/>
    <n v="0.18"/>
    <n v="353.14670018253867"/>
    <n v="0.25585148596956453"/>
    <n v="20.424508967274299"/>
    <n v="67.505589856376773"/>
    <n v="28582.228825365157"/>
    <n v="24.187631912088069"/>
    <n v="652666.50238938478"/>
    <x v="2"/>
    <n v="3.2753737377484535E-6"/>
    <n v="1485822.2882536515"/>
    <n v="0.43926282944408568"/>
  </r>
  <r>
    <x v="0"/>
    <n v="1000"/>
    <n v="25"/>
    <x v="0"/>
    <n v="6.2831537458190114"/>
    <n v="1.393101864036459"/>
    <n v="7.1624521475729921"/>
    <n v="3.8588723335124744"/>
    <m/>
    <n v="0.36003228419780625"/>
    <n v="0.18"/>
    <n v="39.404831184696747"/>
    <n v="19.620662830554402"/>
    <n v="0.8656303095500566"/>
    <m/>
    <m/>
    <m/>
    <m/>
    <m/>
    <m/>
    <m/>
    <m/>
    <m/>
    <m/>
    <m/>
    <n v="0.22432209068760017"/>
    <m/>
    <m/>
    <m/>
    <m/>
    <m/>
    <m/>
    <m/>
    <m/>
    <m/>
    <m/>
    <m/>
    <n v="794.74405201328545"/>
    <n v="0.19450068710176496"/>
    <n v="0.28004317585310134"/>
    <n v="377.56362487077746"/>
    <n v="361.92889723825698"/>
    <x v="8"/>
    <n v="9.762677251918257"/>
    <n v="2.6643645582431001"/>
    <n v="0.2"/>
    <n v="0"/>
    <n v="0.3"/>
    <x v="8"/>
    <n v="0.25976738545765993"/>
    <n v="0.18"/>
    <n v="361.92889723825698"/>
    <n v="0.25976738545765993"/>
    <n v="16.634669810192577"/>
    <n v="53.481949803748435"/>
    <n v="21919.813723630454"/>
    <n v="19.617038090552018"/>
    <n v="647990.85435477982"/>
    <x v="2"/>
    <n v="2.6931839508217786E-6"/>
    <n v="1419198.1372363046"/>
    <n v="0.45658942000632408"/>
  </r>
  <r>
    <x v="0"/>
    <n v="1000"/>
    <n v="25"/>
    <x v="0"/>
    <n v="4.29916830563959"/>
    <n v="0.96629260395139327"/>
    <n v="4.9049633943538868"/>
    <n v="2.6389218941311312"/>
    <m/>
    <n v="0.37441727048410289"/>
    <n v="0.18"/>
    <n v="26.964966372634226"/>
    <n v="13.426539272680943"/>
    <n v="0.6248573371549262"/>
    <m/>
    <m/>
    <m/>
    <m/>
    <m/>
    <m/>
    <m/>
    <m/>
    <m/>
    <m/>
    <m/>
    <n v="0.23678508202330156"/>
    <m/>
    <m/>
    <m/>
    <m/>
    <m/>
    <m/>
    <m/>
    <m/>
    <m/>
    <m/>
    <m/>
    <n v="686.35547254171468"/>
    <n v="0.19700302046365822"/>
    <n v="0.27961521250633747"/>
    <n v="384.62469810886222"/>
    <n v="373.92680396425169"/>
    <x v="8"/>
    <n v="9.762677251918257"/>
    <n v="2.6643645582431001"/>
    <n v="0.2"/>
    <n v="0"/>
    <n v="0.3"/>
    <x v="9"/>
    <n v="0.26988581173411436"/>
    <n v="0.18"/>
    <n v="373.92680396425169"/>
    <n v="0.26988581173411436"/>
    <n v="11.512564951913934"/>
    <n v="35.578493138841779"/>
    <n v="13883.524124346235"/>
    <n v="13.48102155659854"/>
    <n v="615443.22504725703"/>
    <x v="2"/>
    <n v="1.852911873351923E-6"/>
    <n v="1338835.2412434623"/>
    <n v="0.45968555807931627"/>
  </r>
  <r>
    <x v="0"/>
    <n v="1000"/>
    <n v="25"/>
    <x v="0"/>
    <n v="18.161806533361453"/>
    <n v="4.4294882136334159"/>
    <n v="21.053308774144213"/>
    <n v="11.418596953460995"/>
    <m/>
    <n v="0.30636534224049583"/>
    <n v="0.18"/>
    <n v="115.97693349939671"/>
    <n v="57.747850705093803"/>
    <n v="2.1276375930611486"/>
    <m/>
    <m/>
    <m/>
    <m/>
    <m/>
    <m/>
    <m/>
    <m/>
    <m/>
    <m/>
    <m/>
    <n v="0.18633091278488978"/>
    <m/>
    <m/>
    <m/>
    <m/>
    <m/>
    <m/>
    <m/>
    <m/>
    <m/>
    <m/>
    <m/>
    <n v="1351.8162444150437"/>
    <n v="0.21039392245428501"/>
    <n v="0.27184475844067596"/>
    <n v="333.19052154053264"/>
    <n v="287.99744788446941"/>
    <x v="8"/>
    <n v="9.762677251918257"/>
    <n v="2.6643645582431001"/>
    <n v="0.2"/>
    <n v="0"/>
    <n v="0.3"/>
    <x v="0"/>
    <n v="0.22933520773592037"/>
    <n v="0.18"/>
    <n v="287.99744788446941"/>
    <n v="0.22933520773592037"/>
    <n v="50.626484378196977"/>
    <n v="206.15570065625158"/>
    <n v="105430.89065913028"/>
    <n v="64.547552930167811"/>
    <n v="334244.71415733721"/>
    <x v="3"/>
    <n v="6.7559407703315036E-6"/>
    <n v="2254308.9065913027"/>
    <n v="0.14826926033963209"/>
  </r>
  <r>
    <x v="1"/>
    <n v="1000"/>
    <n v="25"/>
    <x v="0"/>
    <n v="18.046751725349061"/>
    <n v="4.5023427276754138"/>
    <n v="20.976566495094978"/>
    <n v="11.432062724013008"/>
    <m/>
    <n v="0.30711307362001433"/>
    <n v="0.18"/>
    <n v="116.12535812873116"/>
    <n v="57.8217550848454"/>
    <n v="2.1034423616346967"/>
    <m/>
    <m/>
    <m/>
    <m/>
    <m/>
    <m/>
    <m/>
    <m/>
    <m/>
    <m/>
    <m/>
    <n v="0.18399499831438323"/>
    <m/>
    <m/>
    <m/>
    <m/>
    <m/>
    <m/>
    <m/>
    <m/>
    <m/>
    <m/>
    <m/>
    <n v="1332.2067739880627"/>
    <n v="0.21463678189317645"/>
    <n v="0.24188874664497956"/>
    <n v="325.39234678892979"/>
    <n v="280.48559317071505"/>
    <x v="8"/>
    <n v="9.762677251918257"/>
    <n v="2.6643645582431001"/>
    <n v="0.2"/>
    <n v="0"/>
    <n v="0.3"/>
    <x v="0"/>
    <n v="0.22905180119631244"/>
    <n v="0.18"/>
    <n v="280.48559317071505"/>
    <n v="0.22905180119631244"/>
    <n v="51.026885649794821"/>
    <n v="206.57995829837989"/>
    <n v="105829.46639443193"/>
    <n v="64.877404064904113"/>
    <n v="332518.8806218906"/>
    <x v="3"/>
    <n v="6.7057753249939763E-6"/>
    <n v="2258294.6639443194"/>
    <n v="0.14724335399221808"/>
  </r>
  <r>
    <x v="2"/>
    <n v="1000"/>
    <n v="25"/>
    <x v="0"/>
    <n v="17.896199415049306"/>
    <n v="4.5977423183854738"/>
    <n v="20.876200869342473"/>
    <n v="11.450093841843566"/>
    <m/>
    <n v="0.30819312925856618"/>
    <n v="0.18"/>
    <n v="116.32415275600013"/>
    <n v="57.920739961493844"/>
    <n v="2.0715381623796318"/>
    <m/>
    <m/>
    <m/>
    <m/>
    <m/>
    <m/>
    <m/>
    <m/>
    <m/>
    <m/>
    <m/>
    <n v="0.18091888075269225"/>
    <m/>
    <m/>
    <m/>
    <m/>
    <m/>
    <m/>
    <m/>
    <m/>
    <m/>
    <m/>
    <m/>
    <n v="1306.793645297882"/>
    <n v="0.22023845943815573"/>
    <n v="0.21193158110794894"/>
    <n v="315.55671258860781"/>
    <n v="271.02456410806593"/>
    <x v="8"/>
    <n v="9.762677251918257"/>
    <n v="2.6643645582431001"/>
    <n v="0.2"/>
    <n v="0"/>
    <n v="0.3"/>
    <x v="0"/>
    <n v="0.22874235881017707"/>
    <n v="0.18"/>
    <n v="271.02456410806593"/>
    <n v="0.22874235881017707"/>
    <n v="51.549917284910833"/>
    <n v="207.14951507941848"/>
    <n v="106352.93426316718"/>
    <n v="65.302602960754498"/>
    <n v="330247.80463584792"/>
    <x v="3"/>
    <n v="6.640249861703332E-6"/>
    <n v="2263529.3426316716"/>
    <n v="0.14589950234614071"/>
  </r>
  <r>
    <x v="3"/>
    <n v="1000"/>
    <n v="25"/>
    <x v="0"/>
    <n v="17.697429700672345"/>
    <n v="4.7339059023421086"/>
    <n v="20.749355899861936"/>
    <n v="11.480791190044679"/>
    <m/>
    <n v="0.31129885662928591"/>
    <n v="0.18"/>
    <n v="116.65760828391768"/>
    <n v="58.086775909004665"/>
    <n v="2.0109650396503653"/>
    <m/>
    <m/>
    <m/>
    <m/>
    <m/>
    <m/>
    <m/>
    <m/>
    <m/>
    <m/>
    <m/>
    <n v="0.17515909891246262"/>
    <m/>
    <m/>
    <m/>
    <m/>
    <m/>
    <m/>
    <m/>
    <m/>
    <m/>
    <m/>
    <m/>
    <n v="1264.1436849363624"/>
    <n v="0.22814712539455778"/>
    <n v="0.18188273537230432"/>
    <n v="302.69868294840273"/>
    <n v="258.66116511118014"/>
    <x v="8"/>
    <n v="9.762677251918257"/>
    <n v="2.6643645582431001"/>
    <n v="0.2"/>
    <n v="0"/>
    <n v="0.3"/>
    <x v="0"/>
    <n v="0.22917103029960742"/>
    <n v="0.18"/>
    <n v="258.66116511118014"/>
    <n v="0.22917103029960742"/>
    <n v="52.296336673222555"/>
    <n v="208.10830071666746"/>
    <n v="107141.74603520153"/>
    <n v="65.880998490746563"/>
    <n v="327413.74222818401"/>
    <x v="3"/>
    <n v="6.5509719767667135E-6"/>
    <n v="2271417.4603520152"/>
    <n v="0.14414511992764323"/>
  </r>
  <r>
    <x v="4"/>
    <n v="1000"/>
    <n v="25"/>
    <x v="0"/>
    <n v="17.387718484681788"/>
    <n v="4.9135060445832313"/>
    <n v="20.533344785325689"/>
    <n v="11.510584218329535"/>
    <m/>
    <n v="0.31458727947063392"/>
    <n v="0.18"/>
    <n v="116.99420268597065"/>
    <n v="58.25437478139618"/>
    <n v="1.943888291420901"/>
    <m/>
    <m/>
    <m/>
    <m/>
    <m/>
    <m/>
    <m/>
    <m/>
    <m/>
    <m/>
    <m/>
    <n v="0.16887833445720676"/>
    <m/>
    <m/>
    <m/>
    <m/>
    <m/>
    <m/>
    <m/>
    <m/>
    <m/>
    <m/>
    <m/>
    <n v="1214.3421949667725"/>
    <n v="0.23929399208718816"/>
    <n v="0.15207721765589396"/>
    <n v="285.66519855705747"/>
    <n v="242.398049256322"/>
    <x v="8"/>
    <n v="9.762677251918257"/>
    <n v="2.6643645582431001"/>
    <n v="0.2"/>
    <n v="0"/>
    <n v="0.3"/>
    <x v="0"/>
    <n v="0.22925940049435459"/>
    <n v="0.18"/>
    <n v="242.398049256322"/>
    <n v="0.22925940049435459"/>
    <n v="53.239132390281469"/>
    <n v="209.08049010267524"/>
    <n v="107943.309097046"/>
    <n v="66.468821238239826"/>
    <n v="322100.06763378094"/>
    <x v="3"/>
    <n v="6.4258640843286915E-6"/>
    <n v="2279433.0909704603"/>
    <n v="0.14130709469372843"/>
  </r>
  <r>
    <x v="5"/>
    <n v="1000"/>
    <n v="25"/>
    <x v="0"/>
    <n v="16.913987672017164"/>
    <n v="5.1926241914893918"/>
    <n v="20.205533400951698"/>
    <n v="11.562521889021456"/>
    <m/>
    <n v="0.32090507674112562"/>
    <n v="0.18"/>
    <n v="117.57832962074849"/>
    <n v="58.545226367177669"/>
    <n v="1.8374688408077056"/>
    <m/>
    <m/>
    <m/>
    <m/>
    <m/>
    <m/>
    <m/>
    <m/>
    <m/>
    <m/>
    <m/>
    <n v="0.15891592322539697"/>
    <m/>
    <m/>
    <m/>
    <m/>
    <m/>
    <m/>
    <m/>
    <m/>
    <m/>
    <m/>
    <m/>
    <n v="1138.2802039775668"/>
    <n v="0.25699020602172346"/>
    <n v="0.12224076448549917"/>
    <n v="261.63381959196113"/>
    <n v="219.54578357371375"/>
    <x v="8"/>
    <n v="9.762677251918257"/>
    <n v="2.6643645582431001"/>
    <n v="0.2"/>
    <n v="0"/>
    <n v="0.3"/>
    <x v="0"/>
    <n v="0.23005961720189455"/>
    <n v="0.18"/>
    <n v="219.54578357371375"/>
    <n v="0.23005961720189455"/>
    <n v="54.693986160668196"/>
    <n v="210.77819199463593"/>
    <n v="109222.52580917218"/>
    <n v="67.315261281298149"/>
    <n v="313986.64188599039"/>
    <x v="3"/>
    <n v="6.2336520651347513E-6"/>
    <n v="2292225.2580917217"/>
    <n v="0.136978964339388"/>
  </r>
  <r>
    <x v="6"/>
    <n v="1000"/>
    <n v="25"/>
    <x v="0"/>
    <n v="16.093868854881002"/>
    <n v="5.6746307882666702"/>
    <n v="19.636881800922176"/>
    <n v="11.645893983509396"/>
    <m/>
    <n v="0.33379984306782085"/>
    <n v="0.18"/>
    <n v="118.53987069531283"/>
    <n v="59.024002005964903"/>
    <n v="1.6597769149907862"/>
    <m/>
    <m/>
    <m/>
    <m/>
    <m/>
    <m/>
    <m/>
    <m/>
    <m/>
    <m/>
    <m/>
    <n v="0.14252035243846739"/>
    <m/>
    <m/>
    <m/>
    <m/>
    <m/>
    <m/>
    <m/>
    <m/>
    <m/>
    <m/>
    <m/>
    <n v="1015.397673217574"/>
    <n v="0.28897820162059445"/>
    <n v="9.2258351006477751E-2"/>
    <n v="225.55650865956838"/>
    <n v="185.50921572218047"/>
    <x v="8"/>
    <n v="9.762677251918257"/>
    <n v="2.6643645582431001"/>
    <n v="0.2"/>
    <n v="0"/>
    <n v="0.3"/>
    <x v="0"/>
    <n v="0.23239113944684658"/>
    <n v="0.18"/>
    <n v="185.50921572218047"/>
    <n v="0.23239113944684658"/>
    <n v="57.162817745582871"/>
    <n v="213.60250263190153"/>
    <n v="111805.21149668736"/>
    <n v="68.676518131233451"/>
    <n v="300316.44273009762"/>
    <x v="3"/>
    <n v="5.8930005956225327E-6"/>
    <n v="2318052.1149668735"/>
    <n v="0.12955551809687824"/>
  </r>
  <r>
    <x v="7"/>
    <n v="1000"/>
    <n v="25"/>
    <x v="0"/>
    <n v="14.414870551720998"/>
    <n v="7.0731384140983291"/>
    <n v="18.694640225108294"/>
    <n v="11.806947865746576"/>
    <m/>
    <n v="0.35565325068370363"/>
    <n v="0.18"/>
    <n v="120.57259654237068"/>
    <n v="60.036147655952213"/>
    <n v="1.3237437913611707"/>
    <m/>
    <m/>
    <m/>
    <m/>
    <m/>
    <m/>
    <m/>
    <m/>
    <m/>
    <m/>
    <m/>
    <n v="0.11211566328682759"/>
    <m/>
    <m/>
    <m/>
    <m/>
    <m/>
    <m/>
    <m/>
    <m/>
    <m/>
    <m/>
    <m/>
    <n v="786.45196378230662"/>
    <n v="0.37835113855780855"/>
    <n v="6.0174692657100577E-2"/>
    <n v="160.44961901404821"/>
    <n v="124.5800681017201"/>
    <x v="8"/>
    <n v="9.762677251918257"/>
    <n v="2.6643645582431001"/>
    <n v="0.2"/>
    <n v="0"/>
    <n v="0.3"/>
    <x v="0"/>
    <n v="0.23072188839858848"/>
    <n v="0.18"/>
    <n v="124.5800681017201"/>
    <n v="0.23072188839858848"/>
    <n v="65.055160044365721"/>
    <n v="219.69890014686197"/>
    <n v="120608.42922038259"/>
    <n v="77.581286388390339"/>
    <n v="281939.76169086836"/>
    <x v="3"/>
    <n v="5.1136796310422773E-6"/>
    <n v="2406084.2922038259"/>
    <n v="0.1171778406119882"/>
  </r>
  <r>
    <x v="8"/>
    <n v="1000"/>
    <n v="25"/>
    <x v="0"/>
    <n v="10.066790951333171"/>
    <n v="4.4470276572504615"/>
    <n v="12.718700393608362"/>
    <n v="7.7324479430350834"/>
    <m/>
    <n v="0.35864422203330171"/>
    <n v="0.18"/>
    <n v="79.239292354291891"/>
    <n v="39.455249305041612"/>
    <n v="1.0703325049116295"/>
    <m/>
    <m/>
    <m/>
    <m/>
    <m/>
    <m/>
    <m/>
    <m/>
    <m/>
    <m/>
    <m/>
    <n v="0.13842091311791108"/>
    <m/>
    <m/>
    <m/>
    <m/>
    <m/>
    <m/>
    <m/>
    <m/>
    <m/>
    <m/>
    <m/>
    <n v="685.97311480358553"/>
    <n v="0.34964481587169588"/>
    <n v="4.4912288601053764E-2"/>
    <n v="175.8566471471913"/>
    <n v="150.80686234777042"/>
    <x v="8"/>
    <n v="9.762677251918257"/>
    <n v="2.6643645582431001"/>
    <n v="0.2"/>
    <n v="0"/>
    <n v="0.3"/>
    <x v="0"/>
    <n v="0.23412240006380031"/>
    <n v="0.18"/>
    <n v="150.80686234777042"/>
    <n v="0.23412240006380031"/>
    <n v="42.346254525898459"/>
    <n v="120.54822878131777"/>
    <n v="62479.743519597068"/>
    <n v="50.810016678665981"/>
    <n v="662200.14994678763"/>
    <x v="3"/>
    <n v="3.7235117367961663E-6"/>
    <n v="1824797.4351959708"/>
    <n v="0.36288967595774368"/>
  </r>
  <r>
    <x v="9"/>
    <n v="1000"/>
    <n v="25"/>
    <x v="0"/>
    <n v="3.5607082474964917"/>
    <n v="0.98508143472020371"/>
    <n v="4.162364196030949"/>
    <n v="2.3093319522893645"/>
    <m/>
    <n v="0.37736044320764811"/>
    <n v="0.18"/>
    <n v="23.632210457034304"/>
    <n v="11.767075746241145"/>
    <n v="0.55858619095885964"/>
    <m/>
    <m/>
    <m/>
    <m/>
    <m/>
    <m/>
    <m/>
    <m/>
    <m/>
    <m/>
    <m/>
    <n v="0.24188215574859354"/>
    <m/>
    <m/>
    <m/>
    <m/>
    <m/>
    <m/>
    <m/>
    <m/>
    <m/>
    <m/>
    <m/>
    <n v="581.86606579513352"/>
    <n v="0.23666392183065935"/>
    <n v="4.0203702204236157E-2"/>
    <n v="311.43332448817836"/>
    <n v="302.5729703157034"/>
    <x v="8"/>
    <n v="9.762677251918257"/>
    <n v="2.6643645582431001"/>
    <n v="0.2"/>
    <n v="0"/>
    <n v="0.3"/>
    <x v="0"/>
    <n v="0.26380385419634039"/>
    <n v="0.18"/>
    <n v="302.5729703157034"/>
    <n v="0.26380385419634039"/>
    <n v="10.912324183191647"/>
    <n v="30.960378494940965"/>
    <n v="12311.230358155963"/>
    <n v="12.685713974801139"/>
    <n v="848802.57072133094"/>
    <x v="3"/>
    <n v="1.2570554392356643E-6"/>
    <n v="1323112.3035815596"/>
    <n v="0.64151967177970459"/>
  </r>
  <r>
    <x v="0"/>
    <n v="100"/>
    <n v="25"/>
    <x v="0"/>
    <n v="3.124017773067274"/>
    <n v="0.59359093743142322"/>
    <n v="3.6309194605951078"/>
    <n v="2.9827574366135363"/>
    <m/>
    <n v="0.53405057818399826"/>
    <n v="0.27"/>
    <n v="20.015495241928647"/>
    <n v="8.720443985072647"/>
    <n v="0.91206505719230924"/>
    <m/>
    <m/>
    <m/>
    <m/>
    <m/>
    <m/>
    <m/>
    <m/>
    <m/>
    <m/>
    <m/>
    <n v="0.30577915790156213"/>
    <m/>
    <m/>
    <m/>
    <m/>
    <m/>
    <m/>
    <m/>
    <m/>
    <m/>
    <m/>
    <m/>
    <n v="831.90963900409167"/>
    <n v="0.16348226499470017"/>
    <n v="0.19108249621068787"/>
    <n v="383.6509474440677"/>
    <n v="375.87711040793681"/>
    <x v="9"/>
    <n v="14.644015877877388"/>
    <n v="3.9965468373646496"/>
    <n v="0.3"/>
    <n v="0"/>
    <n v="0.4"/>
    <x v="0"/>
    <n v="0.40618982641765106"/>
    <n v="0.27"/>
    <n v="375.87711040793681"/>
    <n v="0.40618982641765106"/>
    <n v="7.6582791255176001"/>
    <n v="70.15711779746826"/>
    <n v="24888.319661715239"/>
    <n v="13.885369727380597"/>
    <n v="17208.811732734073"/>
    <x v="0"/>
    <n v="1.925369333242438E-6"/>
    <n v="1448883.1966171523"/>
    <n v="1.187729402405463E-2"/>
  </r>
  <r>
    <x v="0"/>
    <n v="200"/>
    <n v="25"/>
    <x v="0"/>
    <n v="5.8608109848345"/>
    <n v="1.0120037295786806"/>
    <n v="6.6749223571800762"/>
    <n v="5.5124732779548156"/>
    <m/>
    <n v="0.54548429309296798"/>
    <n v="0.27"/>
    <n v="37.070183956032224"/>
    <n v="16.15091002233769"/>
    <n v="1.406853600819205"/>
    <m/>
    <m/>
    <m/>
    <m/>
    <m/>
    <m/>
    <m/>
    <m/>
    <m/>
    <m/>
    <m/>
    <n v="0.25521277471682585"/>
    <m/>
    <m/>
    <m/>
    <m/>
    <m/>
    <m/>
    <m/>
    <m/>
    <m/>
    <m/>
    <m/>
    <n v="1061.615124684804"/>
    <n v="0.15161280917224287"/>
    <n v="0.21525040544545504"/>
    <n v="372.77212568912142"/>
    <n v="358.18832427520221"/>
    <x v="9"/>
    <n v="14.644015877877388"/>
    <n v="3.9965468373646496"/>
    <n v="0.3"/>
    <n v="0"/>
    <n v="0.4"/>
    <x v="0"/>
    <n v="0.43455041527878929"/>
    <n v="0.27"/>
    <n v="358.18832427520221"/>
    <n v="0.43455041527878929"/>
    <n v="13.402733417926811"/>
    <n v="102.16971888188843"/>
    <n v="39547.231301493608"/>
    <n v="21.074084140605866"/>
    <n v="48315.123474419321"/>
    <x v="0"/>
    <n v="3.3517146545917834E-6"/>
    <n v="1595472.3130149362"/>
    <n v="3.0282646135750907E-2"/>
  </r>
  <r>
    <x v="0"/>
    <n v="300"/>
    <n v="25"/>
    <x v="0"/>
    <n v="8.2412255652715523"/>
    <n v="1.3649446855223393"/>
    <n v="9.3032239697256482"/>
    <n v="7.7399885725544619"/>
    <m/>
    <n v="0.55626222860153929"/>
    <n v="0.27"/>
    <n v="52.133767829191271"/>
    <n v="22.713882249232711"/>
    <n v="1.7630526370311079"/>
    <m/>
    <m/>
    <m/>
    <m/>
    <m/>
    <m/>
    <m/>
    <m/>
    <m/>
    <m/>
    <m/>
    <n v="0.22778491473266349"/>
    <m/>
    <m/>
    <m/>
    <m/>
    <m/>
    <m/>
    <m/>
    <m/>
    <m/>
    <m/>
    <m/>
    <n v="1224.9807922903863"/>
    <n v="0.1467173842061755"/>
    <n v="0.22867892672118825"/>
    <n v="363.96158717624434"/>
    <n v="343.45447377483356"/>
    <x v="9"/>
    <n v="14.644015877877388"/>
    <n v="3.9965468373646496"/>
    <n v="0.3"/>
    <n v="0"/>
    <n v="0.4"/>
    <x v="0"/>
    <n v="0.45403089029188898"/>
    <n v="0.27"/>
    <n v="343.45447377483356"/>
    <n v="0.45403089029188898"/>
    <n v="18.227120492171217"/>
    <n v="125.20030264375914"/>
    <n v="51151.300957584805"/>
    <n v="26.610122033411766"/>
    <n v="84077.418932581742"/>
    <x v="0"/>
    <n v="4.3678509454127672E-6"/>
    <n v="1711513.009575848"/>
    <n v="4.9124615741844721E-2"/>
  </r>
  <r>
    <x v="0"/>
    <n v="400"/>
    <n v="25"/>
    <x v="0"/>
    <n v="10.334545389698581"/>
    <n v="1.6755059227493003"/>
    <n v="11.609078117760717"/>
    <n v="9.731706140610056"/>
    <m/>
    <n v="0.56666692751639292"/>
    <n v="0.27"/>
    <n v="65.635829149464101"/>
    <n v="28.596523073417966"/>
    <n v="2.0377798187807912"/>
    <m/>
    <m/>
    <m/>
    <m/>
    <m/>
    <m/>
    <m/>
    <m/>
    <m/>
    <m/>
    <m/>
    <n v="0.20939594654191315"/>
    <m/>
    <m/>
    <m/>
    <m/>
    <m/>
    <m/>
    <m/>
    <m/>
    <m/>
    <m/>
    <m/>
    <n v="1349.6793173878668"/>
    <n v="0.14432721580070562"/>
    <n v="0.23760547161845427"/>
    <n v="356.50544021859167"/>
    <n v="330.78940799747193"/>
    <x v="9"/>
    <n v="14.644015877877388"/>
    <n v="3.9965468373646496"/>
    <n v="0.3"/>
    <n v="0"/>
    <n v="0.4"/>
    <x v="0"/>
    <n v="0.46967160933242935"/>
    <n v="0.27"/>
    <n v="330.78940799747193"/>
    <n v="0.46967160933242935"/>
    <n v="22.407145903202704"/>
    <n v="143.5482225292065"/>
    <n v="60912.084847829792"/>
    <n v="31.163684145787588"/>
    <n v="121646.50773068886"/>
    <x v="0"/>
    <n v="5.1231566125110057E-6"/>
    <n v="1809120.8484782979"/>
    <n v="6.7240675399329528E-2"/>
  </r>
  <r>
    <x v="0"/>
    <n v="600"/>
    <n v="25"/>
    <x v="0"/>
    <n v="13.830643598098277"/>
    <n v="2.20193621319107"/>
    <n v="15.456100881301328"/>
    <n v="13.145421048424637"/>
    <m/>
    <n v="0.58678319760848008"/>
    <n v="0.27"/>
    <n v="88.849035023029415"/>
    <n v="38.710160487211986"/>
    <n v="2.4324844935728933"/>
    <m/>
    <m/>
    <m/>
    <m/>
    <m/>
    <m/>
    <m/>
    <m/>
    <m/>
    <m/>
    <m/>
    <n v="0.18504424351355447"/>
    <m/>
    <m/>
    <m/>
    <m/>
    <m/>
    <m/>
    <m/>
    <m/>
    <m/>
    <m/>
    <m/>
    <n v="1526.3415325269791"/>
    <n v="0.14246388724435383"/>
    <n v="0.24926768380441805"/>
    <n v="344.51489504371466"/>
    <n v="310.09928574053339"/>
    <x v="9"/>
    <n v="14.644015877877388"/>
    <n v="3.9965468373646496"/>
    <n v="0.3"/>
    <n v="0"/>
    <n v="0.4"/>
    <x v="0"/>
    <n v="0.49559699311426675"/>
    <n v="0.27"/>
    <n v="310.09928574053339"/>
    <n v="0.49559699311426675"/>
    <n v="29.306005678024775"/>
    <n v="171.57274302859844"/>
    <n v="76500.556921858821"/>
    <n v="38.222927614408079"/>
    <n v="196693.75514785369"/>
    <x v="0"/>
    <n v="6.1555800865395125E-6"/>
    <n v="1965005.5692185881"/>
    <n v="0.10009831942922773"/>
  </r>
  <r>
    <x v="0"/>
    <n v="800"/>
    <n v="25"/>
    <x v="0"/>
    <n v="16.588774897846477"/>
    <n v="2.627056892778544"/>
    <n v="18.490108860131855"/>
    <n v="15.937081267670161"/>
    <m/>
    <n v="0.60737040570645628"/>
    <n v="0.27"/>
    <n v="107.90313193035847"/>
    <n v="47.011737977957011"/>
    <n v="2.6846088978929785"/>
    <m/>
    <m/>
    <m/>
    <m/>
    <m/>
    <m/>
    <m/>
    <m/>
    <m/>
    <m/>
    <m/>
    <n v="0.16845047426211945"/>
    <m/>
    <m/>
    <m/>
    <m/>
    <m/>
    <m/>
    <m/>
    <m/>
    <m/>
    <m/>
    <m/>
    <n v="1636.4362808667113"/>
    <n v="0.14207903872556271"/>
    <n v="0.2568345423298185"/>
    <n v="335.41065486221197"/>
    <n v="294.1318319202212"/>
    <x v="9"/>
    <n v="14.644015877877388"/>
    <n v="3.9965468373646496"/>
    <n v="0.3"/>
    <n v="0"/>
    <n v="0.4"/>
    <x v="0"/>
    <n v="0.5190270696214816"/>
    <n v="0.27"/>
    <n v="294.1318319202212"/>
    <n v="0.5190270696214816"/>
    <n v="34.670135007466797"/>
    <n v="191.87684020878652"/>
    <n v="88117.240978231159"/>
    <n v="43.245366149656135"/>
    <n v="266607.3032738925"/>
    <x v="0"/>
    <n v="6.8127355069808962E-6"/>
    <n v="2081172.4097823116"/>
    <n v="0.12810438098291882"/>
  </r>
  <r>
    <x v="0"/>
    <n v="1000"/>
    <n v="25"/>
    <x v="0"/>
    <n v="18.763927249473777"/>
    <n v="2.9684970355340079"/>
    <n v="20.882216447103609"/>
    <n v="18.221422282804756"/>
    <m/>
    <n v="0.62869700783124383"/>
    <n v="0.27"/>
    <n v="123.54800922514386"/>
    <n v="53.827970824232807"/>
    <n v="2.8396380464655557"/>
    <m/>
    <m/>
    <m/>
    <m/>
    <m/>
    <m/>
    <m/>
    <m/>
    <m/>
    <m/>
    <m/>
    <n v="0.15584063649879151"/>
    <m/>
    <m/>
    <m/>
    <m/>
    <m/>
    <m/>
    <m/>
    <m/>
    <m/>
    <m/>
    <m/>
    <n v="1701.5835918032012"/>
    <n v="0.14215430833472384"/>
    <n v="0.26227080937071678"/>
    <n v="328.45590672292019"/>
    <n v="281.7645685704241"/>
    <x v="9"/>
    <n v="14.644015877877388"/>
    <n v="3.9965468373646496"/>
    <n v="0.3"/>
    <n v="0"/>
    <n v="0.4"/>
    <x v="0"/>
    <n v="0.54189603319758983"/>
    <n v="0.27"/>
    <n v="281.7645685704241"/>
    <n v="0.54189603319758983"/>
    <n v="38.816155579897654"/>
    <n v="206.88721412389384"/>
    <n v="96720.436975613178"/>
    <n v="46.729057821237824"/>
    <n v="328266.01357079617"/>
    <x v="0"/>
    <n v="7.2578069799927457E-6"/>
    <n v="2167204.3697561319"/>
    <n v="0.15146980051896758"/>
  </r>
  <r>
    <x v="0"/>
    <n v="1300"/>
    <n v="25"/>
    <x v="0"/>
    <n v="21.325034199494223"/>
    <n v="3.4232484098667633"/>
    <n v="23.721567913735651"/>
    <n v="20.782704455433457"/>
    <m/>
    <n v="0.6325129504522492"/>
    <n v="0.27"/>
    <n v="141.18193981037655"/>
    <n v="61.510803651823799"/>
    <n v="3.0674223949855097"/>
    <m/>
    <m/>
    <m/>
    <m/>
    <m/>
    <m/>
    <m/>
    <m/>
    <m/>
    <m/>
    <m/>
    <n v="0.14759495818089061"/>
    <m/>
    <m/>
    <m/>
    <m/>
    <m/>
    <m/>
    <m/>
    <m/>
    <m/>
    <m/>
    <m/>
    <n v="1799.6384938558992"/>
    <n v="0.14430953393618548"/>
    <n v="0.26324469375360454"/>
    <n v="318.99158955335173"/>
    <n v="265.92729636314414"/>
    <x v="9"/>
    <n v="14.644015877877388"/>
    <n v="3.9965468373646496"/>
    <n v="0.3"/>
    <n v="0"/>
    <n v="0.4"/>
    <x v="0"/>
    <n v="0.54791341336767552"/>
    <n v="0.27"/>
    <n v="265.92729636314414"/>
    <n v="0.54791341336767552"/>
    <n v="44.129070774443647"/>
    <n v="220.94906687198448"/>
    <n v="106957.22669851346"/>
    <n v="53.014736851234034"/>
    <n v="410334.12200258428"/>
    <x v="0"/>
    <n v="7.685926549301022E-6"/>
    <n v="2269572.2669851347"/>
    <n v="0.18079799791864123"/>
  </r>
  <r>
    <x v="0"/>
    <n v="1600"/>
    <n v="25"/>
    <x v="0"/>
    <n v="23.258576145096793"/>
    <n v="3.7930601755338835"/>
    <n v="25.877457283157884"/>
    <n v="22.718972350154257"/>
    <m/>
    <n v="0.63397137263457815"/>
    <n v="0.27"/>
    <n v="154.56999347771833"/>
    <n v="67.343773091951974"/>
    <n v="3.2261099565295481"/>
    <m/>
    <m/>
    <m/>
    <m/>
    <m/>
    <m/>
    <m/>
    <m/>
    <m/>
    <m/>
    <m/>
    <n v="0.14200069909885882"/>
    <m/>
    <m/>
    <m/>
    <m/>
    <m/>
    <m/>
    <m/>
    <m/>
    <m/>
    <m/>
    <m/>
    <n v="1866.8758389533452"/>
    <n v="0.14657777748521542"/>
    <n v="0.26339355486163457"/>
    <n v="311.69648719265376"/>
    <n v="253.8208606885722"/>
    <x v="9"/>
    <n v="14.644015877877388"/>
    <n v="3.9965468373646496"/>
    <n v="0.3"/>
    <n v="0"/>
    <n v="0.4"/>
    <x v="0"/>
    <n v="0.5506429663058251"/>
    <n v="0.27"/>
    <n v="253.8208606885722"/>
    <n v="0.5506429663058251"/>
    <n v="48.287736269172299"/>
    <n v="230.85286699403426"/>
    <n v="114708.67829503941"/>
    <n v="58.087553123626115"/>
    <n v="479539.57643477555"/>
    <x v="0"/>
    <n v="7.9492167979490639E-6"/>
    <n v="2347086.7829503939"/>
    <n v="0.20431267387223437"/>
  </r>
  <r>
    <x v="0"/>
    <n v="1900"/>
    <n v="25"/>
    <x v="0"/>
    <n v="24.507045170399341"/>
    <n v="4.0420061277655792"/>
    <n v="27.269184895196254"/>
    <n v="23.968196495891096"/>
    <m/>
    <n v="0.633800501523895"/>
    <n v="0.27"/>
    <n v="163.27770752412741"/>
    <n v="71.137590415076247"/>
    <n v="3.3291546695327625"/>
    <m/>
    <m/>
    <m/>
    <m/>
    <m/>
    <m/>
    <m/>
    <m/>
    <m/>
    <m/>
    <m/>
    <n v="0.13889883913891829"/>
    <m/>
    <m/>
    <m/>
    <m/>
    <m/>
    <m/>
    <m/>
    <m/>
    <m/>
    <m/>
    <m/>
    <n v="1910.6200407936374"/>
    <n v="0.14822614402668194"/>
    <n v="0.26358770008346938"/>
    <n v="307.02508059883377"/>
    <n v="246.04270602725481"/>
    <x v="9"/>
    <n v="14.644015877877388"/>
    <n v="3.9965468373646496"/>
    <n v="0.3"/>
    <n v="0"/>
    <n v="0.4"/>
    <x v="0"/>
    <n v="0.55138022636601891"/>
    <n v="0.27"/>
    <n v="246.04270602725481"/>
    <n v="0.55138022636601891"/>
    <n v="51.032116757674117"/>
    <n v="234.99679695939153"/>
    <n v="118804.78233487325"/>
    <n v="61.457867406257144"/>
    <n v="525021.1607610404"/>
    <x v="0"/>
    <n v="8.1286854611827663E-6"/>
    <n v="2388047.8233487327"/>
    <n v="0.21985370461501441"/>
  </r>
  <r>
    <x v="0"/>
    <n v="1000"/>
    <n v="25"/>
    <x v="1"/>
    <n v="17.264830263477808"/>
    <n v="5.6505136231422934"/>
    <n v="20.781448496499337"/>
    <n v="18.78157351202222"/>
    <m/>
    <n v="0.99976345764905539"/>
    <n v="0.27"/>
    <n v="129.23279584258552"/>
    <n v="56.304745076645133"/>
    <n v="1.1024315533546662"/>
    <m/>
    <m/>
    <m/>
    <m/>
    <m/>
    <m/>
    <m/>
    <m/>
    <m/>
    <m/>
    <m/>
    <n v="5.8697507567669553E-2"/>
    <m/>
    <m/>
    <m/>
    <m/>
    <m/>
    <m/>
    <m/>
    <m/>
    <m/>
    <m/>
    <m/>
    <n v="626.48171156756644"/>
    <n v="0.27190181782054945"/>
    <n v="0.21113115479152209"/>
    <n v="118.22698890400294"/>
    <n v="75.265934890233353"/>
    <x v="9"/>
    <n v="14.644015877877388"/>
    <n v="3.9965468373646496"/>
    <n v="0.3"/>
    <n v="0"/>
    <n v="0.4"/>
    <x v="0"/>
    <n v="0.99956380894703578"/>
    <n v="0.27"/>
    <n v="75.265934890233353"/>
    <n v="0.99956380894703578"/>
    <n v="49.316413693963305"/>
    <n v="222.78854050848497"/>
    <n v="108225.67405182066"/>
    <n v="53.756028071667153"/>
    <n v="319912.02582775598"/>
    <x v="1"/>
    <n v="6.3774127359127054E-6"/>
    <n v="2282256.7405182067"/>
    <n v="0.14017354846550573"/>
  </r>
  <r>
    <x v="0"/>
    <n v="1000"/>
    <n v="25"/>
    <x v="2"/>
    <n v="18.090451137868545"/>
    <n v="3.6888044296050779"/>
    <n v="20.586842217188273"/>
    <n v="18.37106602670918"/>
    <m/>
    <n v="0.66873669850428819"/>
    <n v="0.27"/>
    <n v="124.87696518552359"/>
    <n v="54.406976533111937"/>
    <n v="2.296936301291769"/>
    <m/>
    <m/>
    <m/>
    <m/>
    <m/>
    <m/>
    <m/>
    <m/>
    <m/>
    <m/>
    <m/>
    <n v="0.12503010429293093"/>
    <m/>
    <m/>
    <m/>
    <m/>
    <m/>
    <m/>
    <m/>
    <m/>
    <m/>
    <m/>
    <m/>
    <n v="1332.0713311343386"/>
    <n v="0.1791826250324704"/>
    <n v="0.25343434147042937"/>
    <n v="228.61878531177933"/>
    <n v="183.60318048845474"/>
    <x v="9"/>
    <n v="14.644015877877388"/>
    <n v="3.9965468373646496"/>
    <n v="0.3"/>
    <n v="0"/>
    <n v="0.4"/>
    <x v="0"/>
    <n v="0.56544284334150929"/>
    <n v="0.27"/>
    <n v="183.60318048845474"/>
    <n v="0.56544284334150929"/>
    <n v="42.39961594372113"/>
    <n v="210.50001344270726"/>
    <n v="100764.21047266043"/>
    <n v="50.29553236416799"/>
    <n v="322927.02665919141"/>
    <x v="1"/>
    <n v="6.8892162700715124E-6"/>
    <n v="2207642.1047266042"/>
    <n v="0.14627689242191858"/>
  </r>
  <r>
    <x v="0"/>
    <n v="1000"/>
    <n v="25"/>
    <x v="0"/>
    <n v="18.763169469205241"/>
    <n v="2.9675819825967347"/>
    <n v="20.880926340737997"/>
    <n v="18.218595748262242"/>
    <m/>
    <n v="0.62800256637937524"/>
    <n v="0.27"/>
    <n v="123.52907967624527"/>
    <n v="53.819723510397317"/>
    <n v="2.8446962905991811"/>
    <m/>
    <m/>
    <m/>
    <m/>
    <m/>
    <m/>
    <m/>
    <m/>
    <m/>
    <m/>
    <m/>
    <n v="0.15614245630706849"/>
    <m/>
    <m/>
    <m/>
    <m/>
    <m/>
    <m/>
    <m/>
    <m/>
    <m/>
    <m/>
    <m/>
    <n v="1704.1213624277239"/>
    <n v="0.14211926876094"/>
    <n v="0.26228527493617226"/>
    <n v="328.46274167022415"/>
    <n v="281.77321712813398"/>
    <x v="9"/>
    <n v="14.644015877877388"/>
    <n v="3.9965468373646496"/>
    <n v="0.3"/>
    <n v="0"/>
    <n v="0.4"/>
    <x v="0"/>
    <n v="0.54128729284701782"/>
    <n v="0.27"/>
    <n v="281.77321712813398"/>
    <n v="0.54128729284701782"/>
    <n v="38.815572164524426"/>
    <n v="206.83619193777611"/>
    <n v="96713.001400907975"/>
    <n v="46.750160155979422"/>
    <n v="328233.19112697255"/>
    <x v="1"/>
    <n v="7.2578297627010176E-6"/>
    <n v="2167130.0140090799"/>
    <n v="0.15145985197249789"/>
  </r>
  <r>
    <x v="0"/>
    <n v="1000"/>
    <n v="25"/>
    <x v="3"/>
    <n v="19.417794568112885"/>
    <n v="2.5634615668005365"/>
    <n v="21.325946674289042"/>
    <n v="18.041232770891256"/>
    <m/>
    <n v="0.58365721063024489"/>
    <n v="0.27"/>
    <n v="122.19472968159779"/>
    <n v="53.238367703600694"/>
    <n v="3.3707223420716499"/>
    <m/>
    <m/>
    <m/>
    <m/>
    <m/>
    <m/>
    <m/>
    <m/>
    <m/>
    <m/>
    <m/>
    <n v="0.18683436907427767"/>
    <m/>
    <m/>
    <m/>
    <m/>
    <m/>
    <m/>
    <m/>
    <m/>
    <m/>
    <m/>
    <m/>
    <n v="2062.4459804484381"/>
    <n v="0.12020388149479401"/>
    <n v="0.26030370734388092"/>
    <n v="425.40331151541955"/>
    <n v="377.08480941261183"/>
    <x v="9"/>
    <n v="14.644015877877388"/>
    <n v="3.9965468373646496"/>
    <n v="0.3"/>
    <n v="0"/>
    <n v="0.4"/>
    <x v="0"/>
    <n v="0.50948035349367338"/>
    <n v="0.27"/>
    <n v="377.08480941261183"/>
    <n v="0.50948035349367338"/>
    <n v="37.139780522402113"/>
    <n v="203.26993581327645"/>
    <n v="95575.06760902956"/>
    <n v="47.298593297079449"/>
    <n v="339272.61346099142"/>
    <x v="1"/>
    <n v="7.5191533358237469E-6"/>
    <n v="2155750.6760902954"/>
    <n v="0.15738026536366523"/>
  </r>
  <r>
    <x v="0"/>
    <n v="1000"/>
    <n v="25"/>
    <x v="4"/>
    <n v="19.892548335600384"/>
    <n v="2.256715145403593"/>
    <n v="21.64099131036545"/>
    <n v="17.934381995833153"/>
    <m/>
    <n v="0.56411694718837069"/>
    <n v="0.27"/>
    <n v="121.39297610228211"/>
    <n v="52.889055978172699"/>
    <n v="3.7365204564171055"/>
    <m/>
    <m/>
    <m/>
    <m/>
    <m/>
    <m/>
    <m/>
    <m/>
    <m/>
    <m/>
    <m/>
    <n v="0.20834397623989737"/>
    <m/>
    <m/>
    <m/>
    <m/>
    <m/>
    <m/>
    <m/>
    <m/>
    <m/>
    <m/>
    <m/>
    <n v="2341.8794101431267"/>
    <n v="0.10427965674209606"/>
    <n v="0.2587459670241285"/>
    <n v="523.11938785215784"/>
    <n v="473.61918193457274"/>
    <x v="9"/>
    <n v="14.644015877877388"/>
    <n v="3.9965468373646496"/>
    <n v="0.3"/>
    <n v="0"/>
    <n v="0.4"/>
    <x v="0"/>
    <n v="0.49811803223929391"/>
    <n v="0.27"/>
    <n v="473.61918193457274"/>
    <n v="0.49811803223929391"/>
    <n v="35.683313232227356"/>
    <n v="201.15535718823708"/>
    <n v="94405.060329372776"/>
    <n v="46.878803637071393"/>
    <n v="346340.09228693787"/>
    <x v="1"/>
    <n v="7.7228223082480257E-6"/>
    <n v="2144050.6032937276"/>
    <n v="0.16153540954438492"/>
  </r>
  <r>
    <x v="0"/>
    <n v="1000"/>
    <n v="25"/>
    <x v="5"/>
    <n v="20.242993247576308"/>
    <n v="2.0152098570292152"/>
    <n v="21.865120442069045"/>
    <n v="17.850629830344474"/>
    <m/>
    <n v="0.5515389804946792"/>
    <n v="0.27"/>
    <n v="120.77558599364897"/>
    <n v="52.620068586444575"/>
    <n v="4.0364483425596802"/>
    <m/>
    <m/>
    <m/>
    <m/>
    <m/>
    <m/>
    <m/>
    <m/>
    <m/>
    <m/>
    <m/>
    <n v="0.22612358112418415"/>
    <m/>
    <m/>
    <m/>
    <m/>
    <m/>
    <m/>
    <m/>
    <m/>
    <m/>
    <m/>
    <m/>
    <n v="2589.2797853626912"/>
    <n v="9.2165504524361105E-2"/>
    <n v="0.25763424112736988"/>
    <n v="621.42739583451362"/>
    <n v="571.05561408285098"/>
    <x v="9"/>
    <n v="14.644015877877388"/>
    <n v="3.9965468373646496"/>
    <n v="0.3"/>
    <n v="0"/>
    <n v="0.4"/>
    <x v="0"/>
    <n v="0.49163075047219446"/>
    <n v="0.27"/>
    <n v="571.05561408285098"/>
    <n v="0.49163075047219446"/>
    <n v="34.470685469101355"/>
    <n v="199.54113777537964"/>
    <n v="93320.244569626506"/>
    <n v="46.267768615872157"/>
    <n v="350898.37004306668"/>
    <x v="1"/>
    <n v="7.8831021622258317E-6"/>
    <n v="2133202.445696265"/>
    <n v="0.16449370323524801"/>
  </r>
  <r>
    <x v="0"/>
    <n v="1000"/>
    <n v="25"/>
    <x v="6"/>
    <n v="20.515062897794799"/>
    <n v="1.8221806650399159"/>
    <n v="22.036065760364242"/>
    <n v="17.78551981512048"/>
    <m/>
    <n v="0.54246436328191217"/>
    <n v="0.27"/>
    <n v="120.29976032932311"/>
    <n v="52.412758649705097"/>
    <n v="4.288604050983519"/>
    <m/>
    <m/>
    <m/>
    <m/>
    <m/>
    <m/>
    <m/>
    <m/>
    <m/>
    <m/>
    <m/>
    <n v="0.24112896870956413"/>
    <m/>
    <m/>
    <m/>
    <m/>
    <m/>
    <m/>
    <m/>
    <m/>
    <m/>
    <m/>
    <m/>
    <n v="2813.3562297614485"/>
    <n v="8.2690834419156159E-2"/>
    <n v="0.25676894869200961"/>
    <n v="720.10302257224134"/>
    <n v="669.05420426969056"/>
    <x v="9"/>
    <n v="14.644015877877388"/>
    <n v="3.9965468373646496"/>
    <n v="0.3"/>
    <n v="0"/>
    <n v="0.4"/>
    <x v="0"/>
    <n v="0.48729384356998801"/>
    <n v="0.27"/>
    <n v="669.05420426969056"/>
    <n v="0.48729384356998801"/>
    <n v="33.47371778650507"/>
    <n v="198.30529670423255"/>
    <n v="92397.965013685898"/>
    <n v="45.65971531556179"/>
    <n v="354148.82788700482"/>
    <x v="1"/>
    <n v="8.011758843515821E-6"/>
    <n v="2123979.6501368592"/>
    <n v="0.16673833379909508"/>
  </r>
  <r>
    <x v="0"/>
    <n v="1000"/>
    <n v="25"/>
    <x v="7"/>
    <n v="20.734228281182208"/>
    <n v="1.6648187151567697"/>
    <n v="22.172764361053289"/>
    <n v="17.734082685324022"/>
    <m/>
    <n v="0.53527633449151513"/>
    <n v="0.27"/>
    <n v="119.92580663484497"/>
    <n v="52.249832766218766"/>
    <n v="4.5063070696093668"/>
    <m/>
    <m/>
    <m/>
    <m/>
    <m/>
    <m/>
    <m/>
    <m/>
    <m/>
    <m/>
    <m/>
    <n v="0.25410432270841932"/>
    <m/>
    <m/>
    <m/>
    <m/>
    <m/>
    <m/>
    <m/>
    <m/>
    <m/>
    <m/>
    <m/>
    <n v="3020.5822998087287"/>
    <n v="7.508394930137996E-2"/>
    <n v="0.25605130454224534"/>
    <n v="819.0231492151554"/>
    <n v="767.42876500404486"/>
    <x v="9"/>
    <n v="14.644015877877388"/>
    <n v="3.9965468373646496"/>
    <n v="0.3"/>
    <n v="0"/>
    <n v="0.4"/>
    <x v="0"/>
    <n v="0.48394024427491433"/>
    <n v="0.27"/>
    <n v="767.42876500404486"/>
    <n v="0.48394024427491433"/>
    <n v="32.64847324715943"/>
    <n v="197.33901946173009"/>
    <n v="91629.732776486097"/>
    <n v="45.11166945534876"/>
    <n v="356642.08051801421"/>
    <x v="1"/>
    <n v="8.1171448687274458E-6"/>
    <n v="2116297.3277648608"/>
    <n v="0.1685217269988635"/>
  </r>
  <r>
    <x v="0"/>
    <n v="1000"/>
    <n v="25"/>
    <x v="8"/>
    <n v="20.914091856640599"/>
    <n v="1.5338868060569948"/>
    <n v="22.283976401846726"/>
    <n v="17.691847247693911"/>
    <m/>
    <n v="0.52914772500721297"/>
    <n v="0.27"/>
    <n v="119.62025774879501"/>
    <n v="52.116709807566288"/>
    <n v="4.6993324237507217"/>
    <m/>
    <m/>
    <m/>
    <m/>
    <m/>
    <m/>
    <m/>
    <m/>
    <m/>
    <m/>
    <m/>
    <n v="0.26562135417279664"/>
    <m/>
    <m/>
    <m/>
    <m/>
    <m/>
    <m/>
    <m/>
    <m/>
    <m/>
    <m/>
    <m/>
    <n v="3215.7560366494063"/>
    <n v="6.8833621899270989E-2"/>
    <n v="0.25545973903002733"/>
    <n v="918.13155397382479"/>
    <n v="866.08982477404493"/>
    <x v="9"/>
    <n v="14.644015877877388"/>
    <n v="3.9965468373646496"/>
    <n v="0.3"/>
    <n v="0"/>
    <n v="0.4"/>
    <x v="0"/>
    <n v="0.48102012928186372"/>
    <n v="0.27"/>
    <n v="866.08982477404493"/>
    <n v="0.48102012928186372"/>
    <n v="31.954202757297537"/>
    <n v="196.55271695901237"/>
    <n v="90977.564587427143"/>
    <n v="44.623739912038459"/>
    <n v="358588.13338896818"/>
    <x v="1"/>
    <n v="8.2050620504236475E-6"/>
    <n v="2109775.6458742712"/>
    <n v="0.16996505485794089"/>
  </r>
  <r>
    <x v="0"/>
    <n v="1000"/>
    <n v="25"/>
    <x v="9"/>
    <n v="21.065246179821422"/>
    <n v="1.4232711201974608"/>
    <n v="22.377135099798771"/>
    <n v="17.656836693116784"/>
    <m/>
    <n v="0.52372700539041384"/>
    <n v="0.27"/>
    <n v="119.36778958521182"/>
    <n v="52.006713304760346"/>
    <n v="4.8726790515932699"/>
    <m/>
    <m/>
    <m/>
    <m/>
    <m/>
    <m/>
    <m/>
    <m/>
    <m/>
    <m/>
    <m/>
    <n v="0.275965572785345"/>
    <m/>
    <m/>
    <m/>
    <m/>
    <m/>
    <m/>
    <m/>
    <m/>
    <m/>
    <m/>
    <m/>
    <n v="3401.2969805011144"/>
    <n v="6.3603813171341117E-2"/>
    <n v="0.25495125032084526"/>
    <n v="1017.3753956754018"/>
    <n v="964.95745470447957"/>
    <x v="9"/>
    <n v="14.644015877877388"/>
    <n v="3.9965468373646496"/>
    <n v="0.3"/>
    <n v="0"/>
    <n v="0.4"/>
    <x v="0"/>
    <n v="0.47834072941421807"/>
    <n v="0.27"/>
    <n v="964.95745470447957"/>
    <n v="0.47834072941421807"/>
    <n v="31.363742626786973"/>
    <n v="195.90518119471511"/>
    <n v="90424.016955168714"/>
    <n v="44.196162756732612"/>
    <n v="360178.26026259206"/>
    <x v="1"/>
    <n v="8.2795514994073888E-6"/>
    <n v="2104240.1695516873"/>
    <n v="0.1711678474132203"/>
  </r>
  <r>
    <x v="0"/>
    <n v="1000"/>
    <n v="25"/>
    <x v="0"/>
    <n v="18.763341482433376"/>
    <n v="2.9677808686506317"/>
    <n v="20.881214308097512"/>
    <n v="18.219208578586517"/>
    <m/>
    <n v="0.6281512098079195"/>
    <n v="0.27"/>
    <n v="123.53318426031431"/>
    <n v="53.821511814659758"/>
    <n v="2.843611622581907"/>
    <m/>
    <m/>
    <m/>
    <m/>
    <m/>
    <m/>
    <m/>
    <m/>
    <m/>
    <m/>
    <m/>
    <n v="0.15607766991174762"/>
    <m/>
    <m/>
    <m/>
    <m/>
    <m/>
    <m/>
    <m/>
    <m/>
    <m/>
    <m/>
    <m/>
    <n v="1703.5769643400449"/>
    <n v="0.14212683347154567"/>
    <n v="0.2622820717214504"/>
    <n v="328.46121216260457"/>
    <n v="281.77115304909154"/>
    <x v="9"/>
    <n v="14.644015877877388"/>
    <n v="3.9965468373646496"/>
    <n v="0.3"/>
    <n v="0"/>
    <n v="0.4"/>
    <x v="0"/>
    <n v="0.54141751487313983"/>
    <n v="0.27"/>
    <n v="281.77115304909154"/>
    <n v="0.54141751487313983"/>
    <n v="38.815726373859555"/>
    <n v="206.84725428772103"/>
    <n v="96714.691986622434"/>
    <n v="46.74570224780706"/>
    <n v="328240.64782602788"/>
    <x v="2"/>
    <n v="7.2578244896277459E-6"/>
    <n v="2167146.9198662243"/>
    <n v="0.15146211122884545"/>
  </r>
  <r>
    <x v="0"/>
    <n v="1000"/>
    <n v="25"/>
    <x v="0"/>
    <n v="18.147138826395949"/>
    <n v="2.8563632161777699"/>
    <n v="20.178021162947573"/>
    <n v="17.619746701747463"/>
    <m/>
    <n v="0.63075253297909994"/>
    <n v="0.27"/>
    <n v="119.51165070927938"/>
    <n v="52.069391387860314"/>
    <n v="2.7694594070518548"/>
    <m/>
    <m/>
    <m/>
    <m/>
    <m/>
    <m/>
    <m/>
    <m/>
    <m/>
    <m/>
    <m/>
    <n v="0.15717929740597178"/>
    <m/>
    <m/>
    <m/>
    <m/>
    <m/>
    <m/>
    <m/>
    <m/>
    <m/>
    <m/>
    <m/>
    <n v="1670.6398548092582"/>
    <n v="0.14155814354198631"/>
    <n v="0.26325649542850887"/>
    <n v="331.06670056950571"/>
    <n v="285.9101512833314"/>
    <x v="9"/>
    <n v="14.644015877877388"/>
    <n v="3.9965468373646496"/>
    <n v="0.3"/>
    <n v="0"/>
    <n v="0.4"/>
    <x v="1"/>
    <n v="0.54366262002441756"/>
    <n v="0.27"/>
    <n v="285.9101512833314"/>
    <n v="0.54366262002441756"/>
    <n v="37.469936543035779"/>
    <n v="196.27391964356994"/>
    <n v="91020.642137231407"/>
    <n v="44.806371741526441"/>
    <n v="374940.17737658834"/>
    <x v="2"/>
    <n v="7.0318336281118945E-6"/>
    <n v="2110206.421372314"/>
    <n v="0.17767938414894807"/>
  </r>
  <r>
    <x v="0"/>
    <n v="1000"/>
    <n v="25"/>
    <x v="0"/>
    <n v="15.933958399454632"/>
    <n v="2.487592970972921"/>
    <n v="17.677897715070642"/>
    <n v="15.382449332829131"/>
    <m/>
    <n v="0.62619268943609541"/>
    <n v="0.27"/>
    <n v="104.47122307125206"/>
    <n v="45.516507977101519"/>
    <n v="2.541123881495567"/>
    <m/>
    <m/>
    <m/>
    <m/>
    <m/>
    <m/>
    <m/>
    <m/>
    <m/>
    <m/>
    <m/>
    <n v="0.16519631084188366"/>
    <m/>
    <m/>
    <m/>
    <m/>
    <m/>
    <m/>
    <m/>
    <m/>
    <m/>
    <m/>
    <m/>
    <n v="1570.5123613547464"/>
    <n v="0.1407176922882756"/>
    <n v="0.26380634017491139"/>
    <n v="339.5997897969778"/>
    <n v="299.95042060696312"/>
    <x v="9"/>
    <n v="14.644015877877388"/>
    <n v="3.9965468373646496"/>
    <n v="0.3"/>
    <n v="0"/>
    <n v="0.4"/>
    <x v="2"/>
    <n v="0.53811039894613066"/>
    <n v="0.27"/>
    <n v="299.95042060696312"/>
    <n v="0.53811039894613066"/>
    <n v="32.934229255575417"/>
    <n v="160.77724783967068"/>
    <n v="72813.815402248059"/>
    <n v="39.279884212149909"/>
    <n v="500972.7569496248"/>
    <x v="2"/>
    <n v="6.2633405753363036E-6"/>
    <n v="1928138.1540224806"/>
    <n v="0.25982202359540252"/>
  </r>
  <r>
    <x v="0"/>
    <n v="1000"/>
    <n v="25"/>
    <x v="0"/>
    <n v="13.818767951768308"/>
    <n v="2.1479432761330557"/>
    <n v="15.307707844648899"/>
    <n v="13.291482788233459"/>
    <m/>
    <n v="0.62358085882493064"/>
    <n v="0.27"/>
    <n v="90.36953733685435"/>
    <n v="39.372620001534052"/>
    <n v="2.3071636268373261"/>
    <m/>
    <m/>
    <m/>
    <m/>
    <m/>
    <m/>
    <m/>
    <m/>
    <m/>
    <m/>
    <m/>
    <n v="0.17358210995689563"/>
    <m/>
    <m/>
    <m/>
    <m/>
    <m/>
    <m/>
    <m/>
    <m/>
    <m/>
    <m/>
    <m/>
    <n v="1466.9729385276521"/>
    <n v="0.14031776004164531"/>
    <n v="0.2646130725082429"/>
    <n v="347.77745550973168"/>
    <n v="313.39112510898894"/>
    <x v="9"/>
    <n v="14.644015877877388"/>
    <n v="3.9965468373646496"/>
    <n v="0.3"/>
    <n v="0"/>
    <n v="0.4"/>
    <x v="3"/>
    <n v="0.53410726663625574"/>
    <n v="0.27"/>
    <n v="313.39112510898894"/>
    <n v="0.53410726663625574"/>
    <n v="28.646158349995545"/>
    <n v="132.01733827632765"/>
    <n v="58188.67741918088"/>
    <n v="33.96996364929727"/>
    <n v="575278.55873570312"/>
    <x v="2"/>
    <n v="5.5485592695058592E-6"/>
    <n v="1781886.7741918089"/>
    <n v="0.32284798735128722"/>
  </r>
  <r>
    <x v="0"/>
    <n v="1000"/>
    <n v="25"/>
    <x v="0"/>
    <n v="12.629024423714823"/>
    <n v="1.9631624699243679"/>
    <n v="13.981765285500405"/>
    <n v="12.123924393784261"/>
    <m/>
    <n v="0.6214280721297547"/>
    <n v="0.27"/>
    <n v="82.478660300007959"/>
    <n v="35.934686022825048"/>
    <n v="2.1719360490610349"/>
    <m/>
    <m/>
    <m/>
    <m/>
    <m/>
    <m/>
    <m/>
    <m/>
    <m/>
    <m/>
    <m/>
    <n v="0.17914463819772344"/>
    <m/>
    <m/>
    <m/>
    <m/>
    <m/>
    <m/>
    <m/>
    <m/>
    <m/>
    <m/>
    <m/>
    <n v="1406.8641478620989"/>
    <n v="0.14040877026881851"/>
    <n v="0.26487958003648054"/>
    <n v="352.32163830078753"/>
    <n v="320.89612333158215"/>
    <x v="9"/>
    <n v="14.644015877877388"/>
    <n v="3.9965468373646496"/>
    <n v="0.3"/>
    <n v="0"/>
    <n v="0.4"/>
    <x v="4"/>
    <n v="0.53101236540105312"/>
    <n v="0.27"/>
    <n v="320.89612333158215"/>
    <n v="0.53101236540105312"/>
    <n v="26.266204048576061"/>
    <n v="117.38644898748285"/>
    <n v="50877.621854813413"/>
    <n v="31.077401741876631"/>
    <n v="603977.84669523651"/>
    <x v="2"/>
    <n v="5.1387293879679135E-6"/>
    <n v="1708776.2185481342"/>
    <n v="0.35345637429833132"/>
  </r>
  <r>
    <x v="0"/>
    <n v="1000"/>
    <n v="25"/>
    <x v="0"/>
    <n v="11.163177526399286"/>
    <n v="1.7426954193425286"/>
    <n v="12.354983884992571"/>
    <n v="10.695883373052448"/>
    <m/>
    <n v="0.62029737183786704"/>
    <n v="0.27"/>
    <n v="72.812403193798644"/>
    <n v="31.723246204767047"/>
    <n v="1.9875579686949685"/>
    <m/>
    <m/>
    <m/>
    <m/>
    <m/>
    <m/>
    <m/>
    <m/>
    <m/>
    <m/>
    <m/>
    <n v="0.18582457375166281"/>
    <m/>
    <m/>
    <m/>
    <m/>
    <m/>
    <m/>
    <m/>
    <m/>
    <m/>
    <m/>
    <m/>
    <n v="1323.8571482234179"/>
    <n v="0.14105201880994411"/>
    <n v="0.26488413393595589"/>
    <n v="357.85637531201348"/>
    <n v="330.07816387593277"/>
    <x v="9"/>
    <n v="14.644015877877388"/>
    <n v="3.9965468373646496"/>
    <n v="0.3"/>
    <n v="0"/>
    <n v="0.4"/>
    <x v="5"/>
    <n v="0.52823896753648514"/>
    <n v="0.27"/>
    <n v="330.07816387593277"/>
    <n v="0.52823896753648514"/>
    <n v="23.36136124618557"/>
    <n v="100.62403711443454"/>
    <n v="42664.910511185015"/>
    <n v="27.559422454373784"/>
    <n v="633222.97392035753"/>
    <x v="2"/>
    <n v="4.608977274747874E-6"/>
    <n v="1626649.1051118502"/>
    <n v="0.38928062108196126"/>
  </r>
  <r>
    <x v="0"/>
    <n v="1000"/>
    <n v="25"/>
    <x v="0"/>
    <n v="9.2327197679238484"/>
    <n v="1.4573276011337428"/>
    <n v="10.219592834172159"/>
    <n v="8.8367272349229022"/>
    <m/>
    <n v="0.61940772784100684"/>
    <n v="0.27"/>
    <n v="60.2051817407119"/>
    <n v="26.230473372509337"/>
    <n v="1.7341731658738135"/>
    <m/>
    <m/>
    <m/>
    <m/>
    <m/>
    <m/>
    <m/>
    <m/>
    <m/>
    <m/>
    <m/>
    <n v="0.19624608973108626"/>
    <m/>
    <m/>
    <m/>
    <m/>
    <m/>
    <m/>
    <m/>
    <m/>
    <m/>
    <m/>
    <m/>
    <n v="1209.2780851842283"/>
    <n v="0.14260133693983845"/>
    <n v="0.26504775436391942"/>
    <n v="365.16582534313039"/>
    <n v="342.19150224732226"/>
    <x v="9"/>
    <n v="14.644015877877388"/>
    <n v="3.9965468373646496"/>
    <n v="0.3"/>
    <n v="0"/>
    <n v="0.4"/>
    <x v="6"/>
    <n v="0.52478138130747021"/>
    <n v="0.27"/>
    <n v="342.19150224732226"/>
    <n v="0.52478138130747021"/>
    <n v="19.544017619110935"/>
    <n v="80.360587946919097"/>
    <n v="32984.890066916807"/>
    <n v="22.923118325657274"/>
    <n v="653859.10905189195"/>
    <x v="2"/>
    <n v="3.8882688881895638E-6"/>
    <n v="1529848.9006691682"/>
    <n v="0.42740110396908393"/>
  </r>
  <r>
    <x v="0"/>
    <n v="1000"/>
    <n v="25"/>
    <x v="0"/>
    <n v="8.0013755308515062"/>
    <n v="1.2784995328705682"/>
    <n v="8.8613408085089063"/>
    <n v="7.6587350202271116"/>
    <m/>
    <n v="0.61931931699885379"/>
    <n v="0.27"/>
    <n v="52.204850957417342"/>
    <n v="22.744852076883078"/>
    <n v="1.5620156696109504"/>
    <m/>
    <m/>
    <m/>
    <m/>
    <m/>
    <m/>
    <m/>
    <m/>
    <m/>
    <m/>
    <m/>
    <n v="0.20395217558586201"/>
    <m/>
    <m/>
    <m/>
    <m/>
    <m/>
    <m/>
    <m/>
    <m/>
    <m/>
    <m/>
    <m/>
    <n v="1130.9024172674547"/>
    <n v="0.1442783389668206"/>
    <n v="0.2649898823487043"/>
    <n v="369.80497723183873"/>
    <n v="349.89458246198024"/>
    <x v="9"/>
    <n v="14.644015877877388"/>
    <n v="3.9965468373646496"/>
    <n v="0.3"/>
    <n v="0"/>
    <n v="0.4"/>
    <x v="7"/>
    <n v="0.5227144252724818"/>
    <n v="0.27"/>
    <n v="349.89458246198024"/>
    <n v="0.5227144252724818"/>
    <n v="17.114010220751311"/>
    <n v="68.289708202494069"/>
    <n v="27411.876857595293"/>
    <n v="19.996496286352198"/>
    <n v="658046.17429665057"/>
    <x v="2"/>
    <n v="3.4086735887390811E-6"/>
    <n v="1474118.7685759529"/>
    <n v="0.4463996988060499"/>
  </r>
  <r>
    <x v="0"/>
    <n v="1000"/>
    <n v="25"/>
    <x v="0"/>
    <n v="6.4809784874650633"/>
    <n v="1.0591269756836237"/>
    <n v="7.1869155908976401"/>
    <n v="6.2125016536736544"/>
    <m/>
    <n v="0.62010334848014836"/>
    <n v="0.27"/>
    <n v="42.370851806648929"/>
    <n v="18.460329625303473"/>
    <n v="1.3364727717692544"/>
    <m/>
    <m/>
    <m/>
    <m/>
    <m/>
    <m/>
    <m/>
    <m/>
    <m/>
    <m/>
    <m/>
    <n v="0.21512634463106414"/>
    <m/>
    <m/>
    <m/>
    <m/>
    <m/>
    <m/>
    <m/>
    <m/>
    <m/>
    <m/>
    <m/>
    <n v="1027.6382183800263"/>
    <n v="0.14736877903853879"/>
    <n v="0.26484124792326863"/>
    <n v="375.52881759059386"/>
    <n v="359.40183249539916"/>
    <x v="9"/>
    <n v="14.644015877877388"/>
    <n v="3.9965468373646496"/>
    <n v="0.3"/>
    <n v="0"/>
    <n v="0.4"/>
    <x v="8"/>
    <n v="0.52070545837491122"/>
    <n v="0.27"/>
    <n v="359.40183249539916"/>
    <n v="0.52070545837491122"/>
    <n v="14.102992119623078"/>
    <n v="54.161733547246691"/>
    <n v="21107.408059561643"/>
    <n v="16.387712689059384"/>
    <n v="654057.07182498078"/>
    <x v="2"/>
    <n v="2.790488931760082E-6"/>
    <n v="1411074.0805956165"/>
    <n v="0.46351717519246211"/>
  </r>
  <r>
    <x v="0"/>
    <n v="1000"/>
    <n v="25"/>
    <x v="0"/>
    <n v="4.4071292437314895"/>
    <n v="0.75793207520885408"/>
    <n v="4.9047883197409963"/>
    <n v="4.2500886922074121"/>
    <m/>
    <n v="0.62389202046875381"/>
    <n v="0.27"/>
    <n v="29.00768256819892"/>
    <n v="12.63820194880036"/>
    <n v="0.99859966611480822"/>
    <m/>
    <m/>
    <m/>
    <m/>
    <m/>
    <m/>
    <m/>
    <m/>
    <m/>
    <m/>
    <m/>
    <n v="0.23495972400429019"/>
    <m/>
    <m/>
    <m/>
    <m/>
    <m/>
    <m/>
    <m/>
    <m/>
    <m/>
    <m/>
    <m/>
    <n v="871.67406973320726"/>
    <n v="0.15452900834849437"/>
    <n v="0.26454583275618115"/>
    <n v="383.340772380288"/>
    <n v="372.37423667580373"/>
    <x v="9"/>
    <n v="14.644015877877388"/>
    <n v="3.9965468373646496"/>
    <n v="0.3"/>
    <n v="0"/>
    <n v="0.4"/>
    <x v="9"/>
    <n v="0.52037277105083946"/>
    <n v="0.27"/>
    <n v="372.37423667580373"/>
    <n v="0.52037277105083946"/>
    <n v="9.9401543673936086"/>
    <n v="36.032844293915147"/>
    <n v="13441.288706017853"/>
    <n v="11.444371068116826"/>
    <n v="620483.12267709291"/>
    <x v="2"/>
    <n v="1.9062861823029802E-6"/>
    <n v="1334412.8870601784"/>
    <n v="0.46498585909498247"/>
  </r>
  <r>
    <x v="0"/>
    <n v="1000"/>
    <n v="25"/>
    <x v="0"/>
    <n v="18.763754372778823"/>
    <n v="2.9682915149261238"/>
    <n v="20.881923811205397"/>
    <n v="18.220782650278128"/>
    <m/>
    <n v="0.62854119406984743"/>
    <n v="0.27"/>
    <n v="123.54372558462956"/>
    <n v="53.826104507826152"/>
    <n v="2.8407701775696275"/>
    <m/>
    <m/>
    <m/>
    <m/>
    <m/>
    <m/>
    <m/>
    <m/>
    <m/>
    <m/>
    <m/>
    <n v="0.15590824127010072"/>
    <m/>
    <m/>
    <m/>
    <m/>
    <m/>
    <m/>
    <m/>
    <m/>
    <m/>
    <m/>
    <m/>
    <n v="1702.1516021321459"/>
    <n v="0.14214645842799772"/>
    <n v="0.26227397999884555"/>
    <n v="328.45743076434263"/>
    <n v="281.76651334733128"/>
    <x v="9"/>
    <n v="14.644015877877388"/>
    <n v="3.9965468373646496"/>
    <n v="0.3"/>
    <n v="0"/>
    <n v="0.4"/>
    <x v="0"/>
    <n v="0.54175938318570016"/>
    <n v="0.27"/>
    <n v="281.76651334733128"/>
    <n v="0.54175938318570016"/>
    <n v="38.816020726983986"/>
    <n v="206.87566705157184"/>
    <n v="96718.735302733854"/>
    <n v="46.733805333832457"/>
    <n v="328258.51326176582"/>
    <x v="3"/>
    <n v="7.2578123765374096E-6"/>
    <n v="2167187.3530273386"/>
    <n v="0.15146752900861216"/>
  </r>
  <r>
    <x v="1"/>
    <n v="1000"/>
    <n v="25"/>
    <x v="0"/>
    <n v="18.703331933892642"/>
    <n v="3.0131140040525146"/>
    <n v="20.845013005499219"/>
    <n v="18.244639775297884"/>
    <m/>
    <n v="0.63383546932994261"/>
    <n v="0.27"/>
    <n v="123.72189133569898"/>
    <n v="53.903728590242295"/>
    <n v="2.7885060033270292"/>
    <m/>
    <m/>
    <m/>
    <m/>
    <m/>
    <m/>
    <m/>
    <m/>
    <m/>
    <m/>
    <m/>
    <n v="0.15283974020152999"/>
    <m/>
    <m/>
    <m/>
    <m/>
    <m/>
    <m/>
    <m/>
    <m/>
    <m/>
    <m/>
    <m/>
    <n v="1667.488882679776"/>
    <n v="0.14454843483463461"/>
    <n v="0.23314016112464145"/>
    <n v="319.77644759414289"/>
    <n v="273.23588101626189"/>
    <x v="9"/>
    <n v="14.644015877877388"/>
    <n v="3.9965468373646496"/>
    <n v="0.3"/>
    <n v="0"/>
    <n v="0.4"/>
    <x v="0"/>
    <n v="0.54573177946292095"/>
    <n v="0.27"/>
    <n v="273.23588101626189"/>
    <n v="0.54573177946292095"/>
    <n v="39.003690631977172"/>
    <n v="207.35646136805735"/>
    <n v="96918.279569797654"/>
    <n v="46.693166464070551"/>
    <n v="327448.3781569791"/>
    <x v="3"/>
    <n v="7.2302215261173473E-6"/>
    <n v="2169182.7956979768"/>
    <n v="0.150954718434237"/>
  </r>
  <r>
    <x v="2"/>
    <n v="1000"/>
    <n v="25"/>
    <x v="0"/>
    <n v="18.643209244992079"/>
    <n v="3.0832155649978024"/>
    <n v="20.821999479689396"/>
    <n v="18.262944039030298"/>
    <m/>
    <n v="0.63662430548363291"/>
    <n v="0.27"/>
    <n v="123.8709689561359"/>
    <n v="53.968679420723106"/>
    <n v="2.7360178818627823"/>
    <m/>
    <m/>
    <m/>
    <m/>
    <m/>
    <m/>
    <m/>
    <m/>
    <m/>
    <m/>
    <m/>
    <n v="0.14981253164963734"/>
    <m/>
    <m/>
    <m/>
    <m/>
    <m/>
    <m/>
    <m/>
    <m/>
    <m/>
    <m/>
    <m/>
    <n v="1629.9204864616477"/>
    <n v="0.14807490356559144"/>
    <n v="0.20331231537478633"/>
    <n v="308.30260719511682"/>
    <n v="261.9115455302553"/>
    <x v="9"/>
    <n v="14.644015877877388"/>
    <n v="3.9965468373646496"/>
    <n v="0.3"/>
    <n v="0"/>
    <n v="0.4"/>
    <x v="0"/>
    <n v="0.54692883545524351"/>
    <n v="0.27"/>
    <n v="261.9115455302553"/>
    <n v="0.54692883545524351"/>
    <n v="39.37366148139332"/>
    <n v="207.7595911435377"/>
    <n v="97373.09818527897"/>
    <n v="47.113389735829294"/>
    <n v="327216.85370352771"/>
    <x v="3"/>
    <n v="7.1934001276296214E-6"/>
    <n v="2173730.9818527894"/>
    <n v="0.15053235954001215"/>
  </r>
  <r>
    <x v="3"/>
    <n v="1000"/>
    <n v="25"/>
    <x v="0"/>
    <n v="18.54804395168026"/>
    <n v="3.1776546837712845"/>
    <n v="20.776373459934526"/>
    <n v="18.279164372422514"/>
    <m/>
    <n v="0.64019560372904483"/>
    <n v="0.27"/>
    <n v="124.01860127787228"/>
    <n v="54.033000556749329"/>
    <n v="2.6687566059009917"/>
    <m/>
    <m/>
    <m/>
    <m/>
    <m/>
    <m/>
    <m/>
    <m/>
    <m/>
    <m/>
    <m/>
    <n v="0.14599992382186258"/>
    <m/>
    <m/>
    <m/>
    <m/>
    <m/>
    <m/>
    <m/>
    <m/>
    <m/>
    <m/>
    <m/>
    <n v="1581.350113393858"/>
    <n v="0.15294558936857397"/>
    <n v="0.17355049824986318"/>
    <n v="293.12595389397057"/>
    <n v="246.97181044336173"/>
    <x v="9"/>
    <n v="14.644015877877388"/>
    <n v="3.9965468373646496"/>
    <n v="0.3"/>
    <n v="0"/>
    <n v="0.4"/>
    <x v="0"/>
    <n v="0.54838474987197394"/>
    <n v="0.27"/>
    <n v="246.97181044336173"/>
    <n v="0.54838474987197394"/>
    <n v="39.858521804959011"/>
    <n v="208.1595627620633"/>
    <n v="97919.066904007719"/>
    <n v="47.641303785385851"/>
    <n v="326440.95837566763"/>
    <x v="3"/>
    <n v="7.14174354940776E-6"/>
    <n v="2179190.6690400774"/>
    <n v="0.14979917224015246"/>
  </r>
  <r>
    <x v="4"/>
    <n v="1000"/>
    <n v="25"/>
    <x v="0"/>
    <n v="18.421180472817362"/>
    <n v="3.3283980760486296"/>
    <n v="20.729306672648036"/>
    <n v="18.319704359213059"/>
    <m/>
    <n v="0.64687051609585622"/>
    <n v="0.27"/>
    <n v="124.35454428209404"/>
    <n v="54.179365766057572"/>
    <n v="2.5626725340360466"/>
    <m/>
    <m/>
    <m/>
    <m/>
    <m/>
    <m/>
    <m/>
    <m/>
    <m/>
    <m/>
    <m/>
    <n v="0.13988612937125633"/>
    <m/>
    <m/>
    <m/>
    <m/>
    <m/>
    <m/>
    <m/>
    <m/>
    <m/>
    <m/>
    <m/>
    <n v="1507.2110298073667"/>
    <n v="0.16056485287278777"/>
    <n v="0.14359376079787695"/>
    <n v="271.71322507008449"/>
    <n v="225.87476278934454"/>
    <x v="9"/>
    <n v="14.644015877877388"/>
    <n v="3.9965468373646496"/>
    <n v="0.3"/>
    <n v="0"/>
    <n v="0.4"/>
    <x v="0"/>
    <n v="0.55171305916194124"/>
    <n v="0.27"/>
    <n v="225.87476278934454"/>
    <n v="0.55171305916194124"/>
    <n v="40.641942955754047"/>
    <n v="209.07251072854854"/>
    <n v="98899.297809485113"/>
    <n v="48.498353993994961"/>
    <n v="325933.17664294777"/>
    <x v="3"/>
    <n v="7.0642603399311396E-6"/>
    <n v="2188992.9780948511"/>
    <n v="0.1488964011783252"/>
  </r>
  <r>
    <x v="5"/>
    <n v="1000"/>
    <n v="25"/>
    <x v="0"/>
    <n v="18.173376731785215"/>
    <n v="3.5830979146050561"/>
    <n v="20.614307757651723"/>
    <n v="18.351077442283003"/>
    <m/>
    <n v="0.66136260758613119"/>
    <n v="0.27"/>
    <n v="124.68916392098301"/>
    <n v="54.325154405407538"/>
    <n v="2.3751796504497129"/>
    <m/>
    <m/>
    <m/>
    <m/>
    <m/>
    <m/>
    <m/>
    <m/>
    <m/>
    <m/>
    <m/>
    <n v="0.12942998349388601"/>
    <m/>
    <m/>
    <m/>
    <m/>
    <m/>
    <m/>
    <m/>
    <m/>
    <m/>
    <m/>
    <m/>
    <n v="1382.0647694126255"/>
    <n v="0.17381606778792091"/>
    <n v="0.11336876796011114"/>
    <n v="239.69679605074717"/>
    <n v="194.47494418776839"/>
    <x v="9"/>
    <n v="14.644015877877388"/>
    <n v="3.9965468373646496"/>
    <n v="0.3"/>
    <n v="0"/>
    <n v="0.4"/>
    <x v="0"/>
    <n v="0.56041127197574803"/>
    <n v="0.27"/>
    <n v="194.47494418776839"/>
    <n v="0.56041127197574803"/>
    <n v="41.885678371616926"/>
    <n v="209.98575318384883"/>
    <n v="100196.52950827357"/>
    <n v="49.767074241743806"/>
    <n v="323486.26338744926"/>
    <x v="3"/>
    <n v="6.9363144603157547E-6"/>
    <n v="2201965.2950827358"/>
    <n v="0.14690797539354258"/>
  </r>
  <r>
    <x v="6"/>
    <n v="1000"/>
    <n v="25"/>
    <x v="0"/>
    <n v="17.713533850908394"/>
    <n v="4.1924920444489597"/>
    <n v="20.474144690417994"/>
    <n v="18.479047626978971"/>
    <m/>
    <n v="0.712248539730444"/>
    <n v="0.27"/>
    <n v="125.91863658016118"/>
    <n v="54.860816767290132"/>
    <n v="1.9541370645184095"/>
    <m/>
    <m/>
    <m/>
    <m/>
    <m/>
    <m/>
    <m/>
    <m/>
    <m/>
    <m/>
    <m/>
    <n v="0.10574879744697534"/>
    <m/>
    <m/>
    <m/>
    <m/>
    <m/>
    <m/>
    <m/>
    <m/>
    <m/>
    <m/>
    <m/>
    <n v="1116.3209497300159"/>
    <n v="0.20477007014662096"/>
    <n v="8.175352131359695E-2"/>
    <n v="183.33001971913419"/>
    <n v="139.25241747080958"/>
    <x v="9"/>
    <n v="14.644015877877388"/>
    <n v="3.9965468373646496"/>
    <n v="0.3"/>
    <n v="0"/>
    <n v="0.4"/>
    <x v="0"/>
    <n v="0.59992880147992789"/>
    <n v="0.27"/>
    <n v="139.25241747080958"/>
    <n v="0.59992880147992789"/>
    <n v="44.717032521781441"/>
    <n v="213.37512185000213"/>
    <n v="103432.07444592648"/>
    <n v="52.370805064046003"/>
    <n v="320352.70686052617"/>
    <x v="3"/>
    <n v="6.6752567620594523E-6"/>
    <n v="2234320.7444592649"/>
    <n v="0.14337811957166238"/>
  </r>
  <r>
    <x v="7"/>
    <n v="1000"/>
    <n v="25"/>
    <x v="0"/>
    <n v="17.229127614889467"/>
    <n v="5.6724527675742271"/>
    <n v="20.788844471319877"/>
    <n v="18.831279325641034"/>
    <m/>
    <n v="0.99999999931673478"/>
    <n v="0.27"/>
    <n v="133.03190612533163"/>
    <n v="57.95995910024822"/>
    <n v="1.1680574269085575"/>
    <m/>
    <m/>
    <m/>
    <m/>
    <m/>
    <m/>
    <m/>
    <m/>
    <m/>
    <m/>
    <m/>
    <n v="6.202751319811331E-2"/>
    <m/>
    <m/>
    <m/>
    <m/>
    <m/>
    <m/>
    <m/>
    <m/>
    <m/>
    <m/>
    <m/>
    <n v="623.887630008614"/>
    <n v="0.27286041681633133"/>
    <n v="5.4304501840189298E-2"/>
    <n v="82.731135890125131"/>
    <n v="39.858916554336311"/>
    <x v="9"/>
    <n v="14.644015877877388"/>
    <n v="3.9965468373646496"/>
    <n v="0.3"/>
    <n v="0"/>
    <n v="0.4"/>
    <x v="0"/>
    <n v="0.99999999900000003"/>
    <n v="0.27"/>
    <n v="39.858916554336311"/>
    <n v="0.99999999900000003"/>
    <n v="49.436885795998307"/>
    <n v="234.1151502848665"/>
    <n v="114142.0323458847"/>
    <n v="55.281038772450884"/>
    <n v="336078.82242693566"/>
    <x v="3"/>
    <n v="6.1762077598879312E-6"/>
    <n v="2341420.3234588467"/>
    <n v="0.14353630531850239"/>
  </r>
  <r>
    <x v="8"/>
    <n v="1000"/>
    <n v="25"/>
    <x v="0"/>
    <n v="11.662676087884947"/>
    <n v="3.9644435282534554"/>
    <n v="14.068072203137646"/>
    <n v="12.80410513350709"/>
    <m/>
    <n v="0.99999999938059492"/>
    <n v="0.27"/>
    <n v="89.359487029660855"/>
    <n v="38.932556589686264"/>
    <n v="0.88752443566596106"/>
    <m/>
    <m/>
    <m/>
    <m/>
    <m/>
    <m/>
    <m/>
    <m/>
    <m/>
    <m/>
    <m/>
    <n v="6.9315616078736847E-2"/>
    <m/>
    <m/>
    <m/>
    <m/>
    <m/>
    <m/>
    <m/>
    <m/>
    <m/>
    <m/>
    <m/>
    <n v="511.27464500491232"/>
    <n v="0.2818043205215604"/>
    <n v="3.8431488768350938E-2"/>
    <n v="96.533325623092139"/>
    <n v="67.512427171932657"/>
    <x v="9"/>
    <n v="14.644015877877388"/>
    <n v="3.9965468373646496"/>
    <n v="0.3"/>
    <n v="0"/>
    <n v="0.4"/>
    <x v="0"/>
    <n v="0.99999999900000003"/>
    <n v="0.27"/>
    <n v="67.512427171932657"/>
    <n v="0.99999999900000003"/>
    <n v="35.627297076299044"/>
    <n v="130.09183808895224"/>
    <n v="60625.15709578721"/>
    <n v="39.177902361436445"/>
    <n v="671801.30324198725"/>
    <x v="3"/>
    <n v="4.3798735495921284E-6"/>
    <n v="1806251.5709578721"/>
    <n v="0.37193119388442925"/>
  </r>
  <r>
    <x v="9"/>
    <n v="1000"/>
    <n v="25"/>
    <x v="0"/>
    <n v="3.8912417111247759"/>
    <n v="0.81755098516220492"/>
    <n v="4.410480890214318"/>
    <n v="3.8960803243214692"/>
    <m/>
    <n v="0.6356349666796054"/>
    <n v="0.27"/>
    <n v="26.643645582430999"/>
    <n v="11.608227328445041"/>
    <n v="0.89067396331778914"/>
    <m/>
    <m/>
    <m/>
    <m/>
    <m/>
    <m/>
    <m/>
    <m/>
    <m/>
    <m/>
    <m/>
    <n v="0.22860770034891581"/>
    <m/>
    <m/>
    <m/>
    <m/>
    <m/>
    <m/>
    <m/>
    <m/>
    <m/>
    <m/>
    <m/>
    <n v="732.18744639902548"/>
    <n v="0.18536549766628233"/>
    <n v="3.7608672681998891E-2"/>
    <n v="296.5333941980013"/>
    <n v="286.85046474013137"/>
    <x v="9"/>
    <n v="14.644015877877388"/>
    <n v="3.9965468373646496"/>
    <n v="0.3"/>
    <n v="0"/>
    <n v="0.4"/>
    <x v="0"/>
    <n v="0.52116484399363505"/>
    <n v="0.27"/>
    <n v="286.85046474013137"/>
    <n v="0.52116484399363505"/>
    <n v="9.8539280307985706"/>
    <n v="32.938647067806393"/>
    <n v="12503.823351359888"/>
    <n v="11.246827535569533"/>
    <n v="876857.29880507325"/>
    <x v="3"/>
    <n v="1.3813836702245201E-6"/>
    <n v="1325038.2335135988"/>
    <n v="0.661759998034105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800-000000000000}" name="PivotTable2" cacheId="0"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12">
  <location ref="A4:M17" firstHeaderRow="1" firstDataRow="3" firstDataCol="1" rowPageCount="1" colPageCount="1"/>
  <pivotFields count="62">
    <pivotField axis="axisRow" showAll="0" defaultSubtotal="0">
      <items count="10">
        <item x="9"/>
        <item x="8"/>
        <item x="7"/>
        <item x="6"/>
        <item x="5"/>
        <item x="4"/>
        <item x="3"/>
        <item x="2"/>
        <item x="1"/>
        <item x="0"/>
      </items>
    </pivotField>
    <pivotField showAll="0"/>
    <pivotField showAll="0"/>
    <pivotField showAll="0">
      <items count="11">
        <item x="1"/>
        <item x="2"/>
        <item x="0"/>
        <item x="3"/>
        <item x="4"/>
        <item x="5"/>
        <item x="6"/>
        <item x="7"/>
        <item x="8"/>
        <item x="9"/>
        <item t="default"/>
      </items>
    </pivotField>
    <pivotField showAl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1">
        <item x="0"/>
        <item h="1" x="1"/>
        <item h="1" x="2"/>
        <item h="1" x="6"/>
        <item h="1" x="4"/>
        <item h="1" x="8"/>
        <item h="1" x="9"/>
        <item h="1" x="5"/>
        <item h="1" x="7"/>
        <item x="3"/>
        <item t="default"/>
      </items>
    </pivotField>
    <pivotField showAll="0"/>
    <pivotField showAll="0"/>
    <pivotField showAll="0"/>
    <pivotField showAll="0"/>
    <pivotField showAll="0"/>
    <pivotField showAll="0" defaultSubtotal="0">
      <items count="10">
        <item x="9"/>
        <item x="8"/>
        <item x="7"/>
        <item x="6"/>
        <item x="5"/>
        <item x="4"/>
        <item x="3"/>
        <item x="2"/>
        <item x="1"/>
        <item x="0"/>
      </items>
    </pivotField>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 dataField="1" showAll="0" defaultSubtotal="0"/>
    <pivotField showAll="0" defaultSubtotal="0"/>
    <pivotField axis="axisPage" showAll="0" defaultSubtotal="0">
      <items count="4">
        <item x="1"/>
        <item x="2"/>
        <item x="0"/>
        <item x="3"/>
      </items>
    </pivotField>
    <pivotField showAll="0" defaultSubtotal="0"/>
    <pivotField showAll="0" defaultSubtotal="0"/>
    <pivotField dataField="1" showAll="0" defaultSubtotal="0"/>
  </pivotFields>
  <rowFields count="1">
    <field x="0"/>
  </rowFields>
  <rowItems count="11">
    <i>
      <x/>
    </i>
    <i>
      <x v="1"/>
    </i>
    <i>
      <x v="2"/>
    </i>
    <i>
      <x v="3"/>
    </i>
    <i>
      <x v="4"/>
    </i>
    <i>
      <x v="5"/>
    </i>
    <i>
      <x v="6"/>
    </i>
    <i>
      <x v="7"/>
    </i>
    <i>
      <x v="8"/>
    </i>
    <i>
      <x v="9"/>
    </i>
    <i t="grand">
      <x/>
    </i>
  </rowItems>
  <colFields count="2">
    <field x="42"/>
    <field x="-2"/>
  </colFields>
  <colItems count="12">
    <i>
      <x/>
      <x/>
    </i>
    <i r="1" i="1">
      <x v="1"/>
    </i>
    <i r="1" i="2">
      <x v="2"/>
    </i>
    <i r="1" i="3">
      <x v="3"/>
    </i>
    <i>
      <x v="9"/>
      <x/>
    </i>
    <i r="1" i="1">
      <x v="1"/>
    </i>
    <i r="1" i="2">
      <x v="2"/>
    </i>
    <i r="1" i="3">
      <x v="3"/>
    </i>
    <i t="grand">
      <x/>
    </i>
    <i t="grand" i="1">
      <x/>
    </i>
    <i t="grand" i="2">
      <x/>
    </i>
    <i t="grand" i="3">
      <x/>
    </i>
  </colItems>
  <pageFields count="1">
    <pageField fld="58" item="3" hier="-1"/>
  </pageFields>
  <dataFields count="4">
    <dataField name="Average of JSAT" fld="54" subtotal="average" baseField="0" baseItem="2551304"/>
    <dataField name="Average of Vcmax" fld="56" subtotal="average" baseField="0" baseItem="2551304"/>
    <dataField name="Average of Cr/Cl" fld="61" subtotal="average" baseField="1" baseItem="0"/>
    <dataField name="Average of N tot leaf" fld="55" subtotal="average" baseField="0" baseItem="2551304"/>
  </dataFields>
  <formats count="1">
    <format dxfId="0">
      <pivotArea outline="0" collapsedLevelsAreSubtotals="1" fieldPosition="0"/>
    </format>
  </formats>
  <chartFormats count="15">
    <chartFormat chart="0" format="150" series="1">
      <pivotArea type="data" outline="0" fieldPosition="0">
        <references count="1">
          <reference field="42" count="1" selected="0">
            <x v="1"/>
          </reference>
        </references>
      </pivotArea>
    </chartFormat>
    <chartFormat chart="0" format="151" series="1">
      <pivotArea type="data" outline="0" fieldPosition="0">
        <references count="1">
          <reference field="42" count="1" selected="0">
            <x v="0"/>
          </reference>
        </references>
      </pivotArea>
    </chartFormat>
    <chartFormat chart="0" format="152" series="1">
      <pivotArea type="data" outline="0" fieldPosition="0">
        <references count="1">
          <reference field="42" count="1" selected="0">
            <x v="9"/>
          </reference>
        </references>
      </pivotArea>
    </chartFormat>
    <chartFormat chart="0" format="153" series="1">
      <pivotArea type="data" outline="0" fieldPosition="0">
        <references count="1">
          <reference field="42" count="1" selected="0">
            <x v="2"/>
          </reference>
        </references>
      </pivotArea>
    </chartFormat>
    <chartFormat chart="0" format="154" series="1">
      <pivotArea type="data" outline="0" fieldPosition="0">
        <references count="1">
          <reference field="42" count="1" selected="0">
            <x v="4"/>
          </reference>
        </references>
      </pivotArea>
    </chartFormat>
    <chartFormat chart="0" format="155" series="1">
      <pivotArea type="data" outline="0" fieldPosition="0">
        <references count="1">
          <reference field="42" count="1" selected="0">
            <x v="7"/>
          </reference>
        </references>
      </pivotArea>
    </chartFormat>
    <chartFormat chart="0" format="156" series="1">
      <pivotArea type="data" outline="0" fieldPosition="0">
        <references count="1">
          <reference field="42" count="1" selected="0">
            <x v="3"/>
          </reference>
        </references>
      </pivotArea>
    </chartFormat>
    <chartFormat chart="0" format="157" series="1">
      <pivotArea type="data" outline="0" fieldPosition="0">
        <references count="1">
          <reference field="42" count="1" selected="0">
            <x v="8"/>
          </reference>
        </references>
      </pivotArea>
    </chartFormat>
    <chartFormat chart="0" format="158" series="1">
      <pivotArea type="data" outline="0" fieldPosition="0">
        <references count="1">
          <reference field="42" count="1" selected="0">
            <x v="5"/>
          </reference>
        </references>
      </pivotArea>
    </chartFormat>
    <chartFormat chart="0" format="159" series="1">
      <pivotArea type="data" outline="0" fieldPosition="0">
        <references count="1">
          <reference field="42" count="1" selected="0">
            <x v="6"/>
          </reference>
        </references>
      </pivotArea>
    </chartFormat>
    <chartFormat chart="0" format="185" series="1">
      <pivotArea type="data" outline="0" fieldPosition="0"/>
    </chartFormat>
    <chartFormat chart="0" format="335" series="1">
      <pivotArea type="data" outline="0" fieldPosition="0">
        <references count="2">
          <reference field="4294967294" count="1" selected="0">
            <x v="2"/>
          </reference>
          <reference field="42" count="1" selected="0">
            <x v="9"/>
          </reference>
        </references>
      </pivotArea>
    </chartFormat>
    <chartFormat chart="0" format="342" series="1">
      <pivotArea type="data" outline="0" fieldPosition="0">
        <references count="2">
          <reference field="4294967294" count="1" selected="0">
            <x v="1"/>
          </reference>
          <reference field="42" count="1" selected="0">
            <x v="9"/>
          </reference>
        </references>
      </pivotArea>
    </chartFormat>
    <chartFormat chart="0" format="343" series="1">
      <pivotArea type="data" outline="0" fieldPosition="0">
        <references count="2">
          <reference field="4294967294" count="1" selected="0">
            <x v="0"/>
          </reference>
          <reference field="42" count="1" selected="0">
            <x v="9"/>
          </reference>
        </references>
      </pivotArea>
    </chartFormat>
    <chartFormat chart="0" format="344" series="1">
      <pivotArea type="data" outline="0" fieldPosition="0">
        <references count="2">
          <reference field="4294967294" count="1" selected="0">
            <x v="3"/>
          </reference>
          <reference field="42"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1.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6.bin"/><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BI39"/>
  <sheetViews>
    <sheetView workbookViewId="0">
      <selection activeCell="B7" sqref="B7"/>
    </sheetView>
  </sheetViews>
  <sheetFormatPr defaultColWidth="12.88671875" defaultRowHeight="13.8" x14ac:dyDescent="0.25"/>
  <cols>
    <col min="1" max="2" width="12.88671875" style="1"/>
    <col min="3" max="3" width="25.5546875" style="1" customWidth="1"/>
    <col min="4" max="16384" width="12.88671875" style="1"/>
  </cols>
  <sheetData>
    <row r="1" spans="1:61" x14ac:dyDescent="0.25">
      <c r="A1" s="1" t="s">
        <v>119</v>
      </c>
      <c r="B1" s="106">
        <v>25</v>
      </c>
    </row>
    <row r="2" spans="1:61" x14ac:dyDescent="0.25">
      <c r="Q2" s="1" t="s">
        <v>120</v>
      </c>
      <c r="U2" s="1" t="s">
        <v>121</v>
      </c>
      <c r="Y2" s="1" t="s">
        <v>122</v>
      </c>
    </row>
    <row r="3" spans="1:61" s="104" customFormat="1" x14ac:dyDescent="0.25">
      <c r="A3" s="107" t="s">
        <v>123</v>
      </c>
      <c r="B3" s="107" t="s">
        <v>124</v>
      </c>
      <c r="C3" s="107" t="s">
        <v>125</v>
      </c>
      <c r="D3" s="107" t="s">
        <v>126</v>
      </c>
      <c r="E3" s="107" t="s">
        <v>127</v>
      </c>
      <c r="G3" s="104" t="s">
        <v>79</v>
      </c>
      <c r="H3" s="107" t="s">
        <v>128</v>
      </c>
      <c r="I3" s="107" t="s">
        <v>129</v>
      </c>
      <c r="J3" s="107" t="s">
        <v>130</v>
      </c>
      <c r="K3" s="107" t="s">
        <v>131</v>
      </c>
      <c r="L3" s="107" t="s">
        <v>132</v>
      </c>
      <c r="M3" s="104" t="s">
        <v>133</v>
      </c>
      <c r="P3" s="104" t="s">
        <v>104</v>
      </c>
      <c r="Q3" s="104">
        <f>D4</f>
        <v>0.11046368650843981</v>
      </c>
      <c r="T3" s="104" t="s">
        <v>104</v>
      </c>
      <c r="U3" s="104">
        <f>D5</f>
        <v>85</v>
      </c>
      <c r="X3" s="104" t="s">
        <v>104</v>
      </c>
      <c r="Y3" s="104">
        <f>D6</f>
        <v>12</v>
      </c>
      <c r="AC3" s="104" t="s">
        <v>134</v>
      </c>
      <c r="AG3" s="104" t="s">
        <v>135</v>
      </c>
      <c r="AK3" s="104" t="s">
        <v>136</v>
      </c>
      <c r="AO3" s="104" t="s">
        <v>137</v>
      </c>
      <c r="AS3" s="104" t="s">
        <v>138</v>
      </c>
      <c r="AW3" s="104" t="s">
        <v>139</v>
      </c>
      <c r="BA3" s="104" t="s">
        <v>140</v>
      </c>
      <c r="BE3" s="104" t="s">
        <v>141</v>
      </c>
      <c r="BI3" s="104" t="s">
        <v>142</v>
      </c>
    </row>
    <row r="4" spans="1:61" x14ac:dyDescent="0.25">
      <c r="A4" s="108" t="s">
        <v>120</v>
      </c>
      <c r="B4" s="105">
        <f>R_light</f>
        <v>0.11046368650843981</v>
      </c>
      <c r="C4" s="155" t="s">
        <v>299</v>
      </c>
      <c r="D4" s="103">
        <f t="shared" ref="D4:D9" si="0">B4*EXP(H4/I4*(1/298.15-1/J4))</f>
        <v>0.11046368650843981</v>
      </c>
      <c r="E4" s="108" t="s">
        <v>180</v>
      </c>
      <c r="G4" s="144"/>
      <c r="H4" s="106">
        <v>41.85</v>
      </c>
      <c r="I4" s="108">
        <v>8.3140000000000002E-3</v>
      </c>
      <c r="J4" s="108">
        <f t="shared" ref="J4:J21" si="1">273.15+$B$1</f>
        <v>298.14999999999998</v>
      </c>
      <c r="K4" s="106"/>
      <c r="L4" s="106"/>
      <c r="M4" s="1" t="s">
        <v>144</v>
      </c>
      <c r="P4" s="1">
        <v>15</v>
      </c>
      <c r="Q4" s="1">
        <v>0.55659830444258751</v>
      </c>
      <c r="T4" s="1">
        <v>15</v>
      </c>
      <c r="U4" s="1">
        <v>120.63347272058341</v>
      </c>
      <c r="X4" s="1">
        <v>15</v>
      </c>
      <c r="Y4" s="1">
        <v>6.5647605286794004</v>
      </c>
      <c r="AB4" s="1" t="s">
        <v>104</v>
      </c>
      <c r="AC4" s="1">
        <f>D7</f>
        <v>350</v>
      </c>
      <c r="AF4" s="1" t="s">
        <v>104</v>
      </c>
      <c r="AG4" s="1">
        <f>D9</f>
        <v>80</v>
      </c>
      <c r="AJ4" s="1" t="s">
        <v>104</v>
      </c>
      <c r="AK4" s="1">
        <f>D10</f>
        <v>14.644015877877388</v>
      </c>
      <c r="AN4" s="1" t="s">
        <v>104</v>
      </c>
      <c r="AO4" s="1">
        <f>D11</f>
        <v>2E-3</v>
      </c>
      <c r="AR4" s="1" t="s">
        <v>104</v>
      </c>
      <c r="AS4" s="1">
        <f>D12</f>
        <v>833.3</v>
      </c>
      <c r="AV4" s="1" t="s">
        <v>104</v>
      </c>
      <c r="AW4" s="1">
        <f>D13</f>
        <v>30.303030303030301</v>
      </c>
      <c r="AZ4" s="1" t="s">
        <v>104</v>
      </c>
      <c r="BA4" s="1">
        <f>D17</f>
        <v>363.63636363636363</v>
      </c>
      <c r="BD4" s="1" t="s">
        <v>104</v>
      </c>
      <c r="BE4" s="1">
        <f>D18</f>
        <v>291655</v>
      </c>
      <c r="BH4" s="1" t="s">
        <v>104</v>
      </c>
      <c r="BI4" s="1">
        <f>D19</f>
        <v>2337.4065000000001</v>
      </c>
    </row>
    <row r="5" spans="1:61" x14ac:dyDescent="0.25">
      <c r="A5" s="108" t="s">
        <v>145</v>
      </c>
      <c r="B5" s="105">
        <v>85</v>
      </c>
      <c r="C5" s="155" t="s">
        <v>299</v>
      </c>
      <c r="D5" s="103">
        <f t="shared" si="0"/>
        <v>85</v>
      </c>
      <c r="E5" s="108" t="s">
        <v>146</v>
      </c>
      <c r="G5" s="144"/>
      <c r="H5" s="106">
        <v>-23.1</v>
      </c>
      <c r="I5" s="108">
        <v>8.3140000000000002E-3</v>
      </c>
      <c r="J5" s="108">
        <f t="shared" si="1"/>
        <v>298.14999999999998</v>
      </c>
      <c r="K5" s="106"/>
      <c r="L5" s="106"/>
      <c r="M5" s="1" t="s">
        <v>147</v>
      </c>
      <c r="P5" s="1">
        <v>25</v>
      </c>
      <c r="Q5" s="1">
        <v>1</v>
      </c>
      <c r="T5" s="1">
        <v>25</v>
      </c>
      <c r="U5" s="1">
        <v>87.3</v>
      </c>
      <c r="X5" s="1">
        <v>25</v>
      </c>
      <c r="Y5" s="1">
        <v>12.5</v>
      </c>
      <c r="AB5" s="1">
        <v>15</v>
      </c>
      <c r="AC5" s="1">
        <v>197.50503635505962</v>
      </c>
      <c r="AF5" s="1">
        <v>15</v>
      </c>
      <c r="AG5" s="1">
        <v>30.833691135798112</v>
      </c>
      <c r="AJ5" s="1">
        <v>15</v>
      </c>
      <c r="AK5" s="1">
        <v>47.718806172440246</v>
      </c>
      <c r="AN5" s="1">
        <v>15</v>
      </c>
      <c r="AO5" s="1">
        <v>5.7964455721306739E-4</v>
      </c>
      <c r="AR5" s="1">
        <v>15</v>
      </c>
      <c r="AS5" s="1">
        <v>683.06486613631489</v>
      </c>
      <c r="AV5" s="1">
        <v>15</v>
      </c>
      <c r="AW5" s="1">
        <v>23.095606337975287</v>
      </c>
      <c r="AZ5" s="1">
        <v>15</v>
      </c>
      <c r="BA5" s="1">
        <v>151.61712487345795</v>
      </c>
      <c r="BD5" s="1">
        <v>15</v>
      </c>
      <c r="BE5" s="1">
        <v>134908.75121911679</v>
      </c>
      <c r="BH5" s="1">
        <v>15</v>
      </c>
      <c r="BI5" s="1">
        <v>3567.7992467318732</v>
      </c>
    </row>
    <row r="6" spans="1:61" x14ac:dyDescent="0.25">
      <c r="A6" s="108" t="s">
        <v>148</v>
      </c>
      <c r="B6" s="105">
        <v>12</v>
      </c>
      <c r="C6" s="155"/>
      <c r="D6" s="103">
        <f t="shared" si="0"/>
        <v>12</v>
      </c>
      <c r="E6" s="108" t="s">
        <v>149</v>
      </c>
      <c r="G6" s="144"/>
      <c r="H6" s="106">
        <v>46</v>
      </c>
      <c r="I6" s="108">
        <v>8.3140000000000002E-3</v>
      </c>
      <c r="J6" s="108">
        <f t="shared" si="1"/>
        <v>298.14999999999998</v>
      </c>
      <c r="K6" s="106"/>
      <c r="L6" s="106"/>
      <c r="M6" s="1" t="s">
        <v>147</v>
      </c>
      <c r="P6" s="1">
        <v>35</v>
      </c>
      <c r="Q6" s="1">
        <v>1.7295889798732365</v>
      </c>
      <c r="T6" s="1">
        <v>35</v>
      </c>
      <c r="U6" s="1">
        <v>64.517358857454028</v>
      </c>
      <c r="X6" s="1">
        <v>35</v>
      </c>
      <c r="Y6" s="1">
        <v>22.826967316271734</v>
      </c>
      <c r="AB6" s="1">
        <v>25</v>
      </c>
      <c r="AC6" s="1">
        <v>244</v>
      </c>
      <c r="AF6" s="1">
        <v>25</v>
      </c>
      <c r="AG6" s="1">
        <v>80</v>
      </c>
      <c r="AJ6" s="1">
        <v>25</v>
      </c>
      <c r="AK6" s="1">
        <v>80</v>
      </c>
      <c r="AN6" s="1">
        <v>25</v>
      </c>
      <c r="AO6" s="1">
        <v>2.8700000000000002E-3</v>
      </c>
      <c r="AR6" s="1">
        <v>25</v>
      </c>
      <c r="AS6" s="1">
        <v>833.3</v>
      </c>
      <c r="AV6" s="1">
        <v>25</v>
      </c>
      <c r="AW6" s="1">
        <v>30.303030303030301</v>
      </c>
      <c r="AZ6" s="1">
        <v>25</v>
      </c>
      <c r="BA6" s="1">
        <v>378.78787878787875</v>
      </c>
      <c r="BD6" s="1">
        <v>25</v>
      </c>
      <c r="BE6" s="1">
        <v>203325.19999999998</v>
      </c>
      <c r="BH6" s="1">
        <v>25</v>
      </c>
      <c r="BI6" s="1">
        <v>2400.6539699999998</v>
      </c>
    </row>
    <row r="7" spans="1:61" x14ac:dyDescent="0.25">
      <c r="A7" s="108" t="s">
        <v>150</v>
      </c>
      <c r="B7" s="105">
        <v>350</v>
      </c>
      <c r="C7" s="108" t="s">
        <v>151</v>
      </c>
      <c r="D7" s="103">
        <f t="shared" si="0"/>
        <v>350</v>
      </c>
      <c r="E7" s="108" t="s">
        <v>149</v>
      </c>
      <c r="G7" s="144"/>
      <c r="H7" s="106">
        <v>15.1</v>
      </c>
      <c r="I7" s="108">
        <v>8.3140000000000002E-3</v>
      </c>
      <c r="J7" s="108">
        <f t="shared" si="1"/>
        <v>298.14999999999998</v>
      </c>
      <c r="K7" s="106"/>
      <c r="L7" s="106"/>
      <c r="M7" s="1" t="s">
        <v>152</v>
      </c>
      <c r="P7" s="1">
        <v>45</v>
      </c>
      <c r="Q7" s="1">
        <v>2.8902001001776991</v>
      </c>
      <c r="T7" s="1">
        <v>45</v>
      </c>
      <c r="U7" s="1">
        <v>48.595410264702764</v>
      </c>
      <c r="X7" s="1">
        <v>45</v>
      </c>
      <c r="Y7" s="1">
        <v>40.137029958336477</v>
      </c>
      <c r="AB7" s="1">
        <v>35</v>
      </c>
      <c r="AC7" s="1">
        <v>297.33263839371131</v>
      </c>
      <c r="AF7" s="1">
        <v>35</v>
      </c>
      <c r="AG7" s="1">
        <v>195.11031997786657</v>
      </c>
      <c r="AJ7" s="1">
        <v>35</v>
      </c>
      <c r="AK7" s="1">
        <v>127.14590171523307</v>
      </c>
      <c r="AN7" s="1">
        <v>35</v>
      </c>
      <c r="AO7" s="1">
        <v>6.3150207004156666E-3</v>
      </c>
      <c r="AR7" s="1">
        <v>35</v>
      </c>
      <c r="AS7" s="1">
        <v>1003.5455471817247</v>
      </c>
      <c r="AV7" s="1">
        <v>35</v>
      </c>
      <c r="AW7" s="1">
        <v>39.064921401525652</v>
      </c>
      <c r="AZ7" s="1">
        <v>35</v>
      </c>
      <c r="BA7" s="1">
        <v>891.73368404535029</v>
      </c>
      <c r="BD7" s="1">
        <v>35</v>
      </c>
      <c r="BE7" s="1">
        <v>298386.84529180289</v>
      </c>
      <c r="BH7" s="1">
        <v>35</v>
      </c>
      <c r="BI7" s="1">
        <v>1657.3976312875618</v>
      </c>
    </row>
    <row r="8" spans="1:61" x14ac:dyDescent="0.25">
      <c r="A8" s="108" t="s">
        <v>153</v>
      </c>
      <c r="B8" s="105">
        <f>fitting!$B$8</f>
        <v>11.246827535569533</v>
      </c>
      <c r="C8" s="155" t="s">
        <v>299</v>
      </c>
      <c r="D8" s="103">
        <f t="shared" si="0"/>
        <v>11.246827535569533</v>
      </c>
      <c r="E8" s="108" t="s">
        <v>180</v>
      </c>
      <c r="G8" s="144"/>
      <c r="H8" s="106">
        <v>51.7</v>
      </c>
      <c r="I8" s="108">
        <v>8.3140000000000002E-3</v>
      </c>
      <c r="J8" s="108">
        <f t="shared" si="1"/>
        <v>298.14999999999998</v>
      </c>
      <c r="K8" s="106"/>
      <c r="L8" s="106"/>
      <c r="M8" s="1" t="s">
        <v>147</v>
      </c>
      <c r="AB8" s="1">
        <v>45</v>
      </c>
      <c r="AC8" s="1">
        <v>357.84779382433686</v>
      </c>
      <c r="AF8" s="1">
        <v>45</v>
      </c>
      <c r="AG8" s="1">
        <v>449.91491253144147</v>
      </c>
      <c r="AJ8" s="1">
        <v>45</v>
      </c>
      <c r="AK8" s="1">
        <v>155.84924430976682</v>
      </c>
      <c r="AN8" s="1">
        <v>45</v>
      </c>
      <c r="AO8" s="1">
        <v>1.8462015306641598E-3</v>
      </c>
      <c r="AR8" s="1">
        <v>45</v>
      </c>
      <c r="AS8" s="1">
        <v>1194.5311278556007</v>
      </c>
      <c r="AV8" s="1">
        <v>45</v>
      </c>
      <c r="AW8" s="1">
        <v>49.562585868243602</v>
      </c>
      <c r="AZ8" s="1">
        <v>45</v>
      </c>
      <c r="BA8" s="1">
        <v>1989.2949938063175</v>
      </c>
      <c r="BD8" s="1">
        <v>45</v>
      </c>
      <c r="BE8" s="1">
        <v>427460.32875762362</v>
      </c>
      <c r="BH8" s="1">
        <v>45</v>
      </c>
      <c r="BI8" s="1">
        <v>1171.2207750099412</v>
      </c>
    </row>
    <row r="9" spans="1:61" x14ac:dyDescent="0.25">
      <c r="A9" s="108" t="s">
        <v>135</v>
      </c>
      <c r="B9" s="105">
        <v>80</v>
      </c>
      <c r="C9" s="108" t="s">
        <v>154</v>
      </c>
      <c r="D9" s="103">
        <f t="shared" si="0"/>
        <v>80</v>
      </c>
      <c r="E9" s="108" t="s">
        <v>155</v>
      </c>
      <c r="G9" s="144"/>
      <c r="H9" s="106">
        <v>68.099999999999994</v>
      </c>
      <c r="I9" s="108">
        <v>8.3140000000000002E-3</v>
      </c>
      <c r="J9" s="108">
        <f t="shared" si="1"/>
        <v>298.14999999999998</v>
      </c>
      <c r="K9" s="106"/>
      <c r="L9" s="106"/>
      <c r="M9" s="1" t="s">
        <v>156</v>
      </c>
    </row>
    <row r="10" spans="1:61" x14ac:dyDescent="0.25">
      <c r="A10" s="108" t="s">
        <v>136</v>
      </c>
      <c r="B10" s="105">
        <f>0.45*Jsat_t</f>
        <v>14.644015877877388</v>
      </c>
      <c r="C10" s="155" t="s">
        <v>143</v>
      </c>
      <c r="D10" s="103">
        <f>B10*EXP(H10/I10*(1/298.15-1/J10))*(1+EXP((K10-L10/298.15)/I10))/(1+EXP((K10-L10/J10)/I10))</f>
        <v>14.644015877877388</v>
      </c>
      <c r="E10" s="108" t="s">
        <v>180</v>
      </c>
      <c r="G10" s="144"/>
      <c r="H10" s="106">
        <v>37</v>
      </c>
      <c r="I10" s="108">
        <v>8.3140000000000002E-3</v>
      </c>
      <c r="J10" s="108">
        <f t="shared" si="1"/>
        <v>298.14999999999998</v>
      </c>
      <c r="K10" s="106">
        <v>0.66300000000000003</v>
      </c>
      <c r="L10" s="106">
        <v>214</v>
      </c>
      <c r="M10" s="1" t="s">
        <v>156</v>
      </c>
    </row>
    <row r="11" spans="1:61" x14ac:dyDescent="0.25">
      <c r="A11" s="108" t="s">
        <v>137</v>
      </c>
      <c r="B11" s="136">
        <v>2E-3</v>
      </c>
      <c r="C11" s="108" t="s">
        <v>157</v>
      </c>
      <c r="D11" s="103">
        <f>B11*EXP(H11/I11*(1/298.15-1/J11))*(1+EXP((K11-L11/298.15)/I11))/(1+EXP((K11-L11/J11)/I11))</f>
        <v>2E-3</v>
      </c>
      <c r="E11" s="108" t="s">
        <v>158</v>
      </c>
      <c r="G11" s="144"/>
      <c r="H11" s="106">
        <v>116.77</v>
      </c>
      <c r="I11" s="108">
        <v>8.3140000000000002E-3</v>
      </c>
      <c r="J11" s="108">
        <f t="shared" si="1"/>
        <v>298.14999999999998</v>
      </c>
      <c r="K11" s="106">
        <v>0.86</v>
      </c>
      <c r="L11" s="106">
        <v>264.60000000000002</v>
      </c>
      <c r="M11" s="1" t="s">
        <v>156</v>
      </c>
    </row>
    <row r="12" spans="1:61" x14ac:dyDescent="0.25">
      <c r="A12" s="108" t="s">
        <v>159</v>
      </c>
      <c r="B12" s="105">
        <v>833.3</v>
      </c>
      <c r="C12" s="108" t="s">
        <v>160</v>
      </c>
      <c r="D12" s="103">
        <f>B12*EXP(H12/I12*(1/298.15-1/J12))</f>
        <v>833.3</v>
      </c>
      <c r="E12" s="108" t="s">
        <v>161</v>
      </c>
      <c r="G12" s="144"/>
      <c r="H12" s="106">
        <v>14.2</v>
      </c>
      <c r="I12" s="108">
        <v>8.3140000000000002E-3</v>
      </c>
      <c r="J12" s="108">
        <f t="shared" si="1"/>
        <v>298.14999999999998</v>
      </c>
      <c r="K12" s="106"/>
      <c r="L12" s="106"/>
      <c r="M12" s="1" t="s">
        <v>160</v>
      </c>
    </row>
    <row r="13" spans="1:61" x14ac:dyDescent="0.25">
      <c r="A13" s="108" t="s">
        <v>162</v>
      </c>
      <c r="B13" s="105">
        <v>30.303030303030301</v>
      </c>
      <c r="C13" s="108" t="s">
        <v>163</v>
      </c>
      <c r="D13" s="103">
        <f>B13*EXP(H13/I13*(1/298.15-1/J13))</f>
        <v>30.303030303030301</v>
      </c>
      <c r="E13" s="108" t="s">
        <v>161</v>
      </c>
      <c r="G13" s="144"/>
      <c r="H13" s="106">
        <v>19.399999999999999</v>
      </c>
      <c r="I13" s="108">
        <v>8.3140000000000002E-3</v>
      </c>
      <c r="J13" s="108">
        <f t="shared" si="1"/>
        <v>298.14999999999998</v>
      </c>
      <c r="K13" s="106"/>
      <c r="L13" s="106"/>
      <c r="M13" s="1" t="s">
        <v>163</v>
      </c>
    </row>
    <row r="14" spans="1:61" x14ac:dyDescent="0.25">
      <c r="A14" s="108" t="s">
        <v>259</v>
      </c>
      <c r="B14" s="142">
        <v>0.4</v>
      </c>
      <c r="C14" s="155" t="s">
        <v>299</v>
      </c>
      <c r="D14" s="143">
        <f>B14*(EXP((G14-H14/(I14*J14))))/(1+EXP((K14*J14-L14)/(I14*J14)))</f>
        <v>0.40187169699016095</v>
      </c>
      <c r="E14" s="108" t="s">
        <v>158</v>
      </c>
      <c r="G14" s="106">
        <v>19.966000000000001</v>
      </c>
      <c r="H14" s="106">
        <v>49.48</v>
      </c>
      <c r="I14" s="108">
        <v>8.3140000000000002E-3</v>
      </c>
      <c r="J14" s="108">
        <f t="shared" si="1"/>
        <v>298.14999999999998</v>
      </c>
      <c r="K14" s="106">
        <v>1.3599000000000001</v>
      </c>
      <c r="L14" s="106">
        <v>426.4</v>
      </c>
      <c r="M14" s="1" t="s">
        <v>260</v>
      </c>
    </row>
    <row r="15" spans="1:61" x14ac:dyDescent="0.25">
      <c r="A15" s="108" t="s">
        <v>261</v>
      </c>
      <c r="B15" s="105">
        <v>1</v>
      </c>
      <c r="C15" s="108" t="s">
        <v>262</v>
      </c>
      <c r="D15" s="143">
        <f>B15*(EXP((G15-H15/(I15*J15))))/(1+EXP((K15*J15-L15)/(I15*J15)))</f>
        <v>1.0046792424754023</v>
      </c>
      <c r="E15" s="108" t="s">
        <v>263</v>
      </c>
      <c r="G15" s="106">
        <v>19.966000000000001</v>
      </c>
      <c r="H15" s="106">
        <v>49.48</v>
      </c>
      <c r="I15" s="108">
        <v>8.3140000000000002E-3</v>
      </c>
      <c r="J15" s="108">
        <f t="shared" si="1"/>
        <v>298.14999999999998</v>
      </c>
      <c r="K15" s="106">
        <v>1.3599000000000001</v>
      </c>
      <c r="L15" s="106">
        <v>426.4</v>
      </c>
      <c r="M15" s="1" t="s">
        <v>260</v>
      </c>
    </row>
    <row r="16" spans="1:61" x14ac:dyDescent="0.25">
      <c r="G16" s="144"/>
      <c r="H16" s="144"/>
      <c r="I16" s="108">
        <v>8.3140000000000002E-3</v>
      </c>
      <c r="J16" s="108">
        <f t="shared" si="1"/>
        <v>298.14999999999998</v>
      </c>
    </row>
    <row r="17" spans="1:11" x14ac:dyDescent="0.25">
      <c r="A17" s="108" t="s">
        <v>148</v>
      </c>
      <c r="B17" s="103">
        <f>B13*B6</f>
        <v>363.63636363636363</v>
      </c>
      <c r="C17" s="108"/>
      <c r="D17" s="103">
        <f>D13*D6</f>
        <v>363.63636363636363</v>
      </c>
      <c r="E17" s="108" t="s">
        <v>164</v>
      </c>
      <c r="G17" s="144"/>
      <c r="H17" s="144"/>
      <c r="I17" s="108">
        <v>8.3140000000000002E-3</v>
      </c>
      <c r="J17" s="108">
        <f t="shared" si="1"/>
        <v>298.14999999999998</v>
      </c>
    </row>
    <row r="18" spans="1:11" x14ac:dyDescent="0.25">
      <c r="A18" s="108" t="s">
        <v>150</v>
      </c>
      <c r="B18" s="103">
        <f>B7*B12</f>
        <v>291655</v>
      </c>
      <c r="C18" s="108"/>
      <c r="D18" s="103">
        <f>D7*D12</f>
        <v>291655</v>
      </c>
      <c r="E18" s="108" t="s">
        <v>164</v>
      </c>
      <c r="G18" s="144"/>
      <c r="H18" s="144"/>
      <c r="I18" s="108">
        <v>8.3140000000000002E-3</v>
      </c>
      <c r="J18" s="108">
        <f t="shared" si="1"/>
        <v>298.14999999999998</v>
      </c>
    </row>
    <row r="19" spans="1:11" s="108" customFormat="1" x14ac:dyDescent="0.25">
      <c r="A19" s="108" t="s">
        <v>145</v>
      </c>
      <c r="B19" s="103">
        <f>B5*B12/B13</f>
        <v>2337.4065000000001</v>
      </c>
      <c r="D19" s="103">
        <f>D5*D12/D13</f>
        <v>2337.4065000000001</v>
      </c>
      <c r="E19" s="108" t="s">
        <v>165</v>
      </c>
      <c r="F19" s="1"/>
      <c r="G19" s="144"/>
      <c r="H19" s="144"/>
      <c r="I19" s="108">
        <v>8.3140000000000002E-3</v>
      </c>
      <c r="J19" s="108">
        <f t="shared" si="1"/>
        <v>298.14999999999998</v>
      </c>
      <c r="K19" s="1"/>
    </row>
    <row r="20" spans="1:11" x14ac:dyDescent="0.25">
      <c r="G20" s="145"/>
      <c r="H20" s="145"/>
      <c r="I20" s="108">
        <v>8.3140000000000002E-3</v>
      </c>
      <c r="J20" s="108">
        <f t="shared" si="1"/>
        <v>298.14999999999998</v>
      </c>
    </row>
    <row r="21" spans="1:11" x14ac:dyDescent="0.25">
      <c r="A21" s="108" t="s">
        <v>187</v>
      </c>
      <c r="B21" s="122">
        <f>fitting!$B$9</f>
        <v>32.938647067806393</v>
      </c>
      <c r="C21" s="108" t="s">
        <v>188</v>
      </c>
      <c r="D21" s="103">
        <f>B21*EXP(G21-H21/(I21*J21))</f>
        <v>32.542257506394193</v>
      </c>
      <c r="E21" s="108" t="s">
        <v>180</v>
      </c>
      <c r="F21" s="108"/>
      <c r="G21" s="106">
        <v>13.22</v>
      </c>
      <c r="H21" s="106">
        <v>32.799999999999997</v>
      </c>
      <c r="I21" s="108">
        <v>8.3140000000000002E-3</v>
      </c>
      <c r="J21" s="108">
        <f t="shared" si="1"/>
        <v>298.14999999999998</v>
      </c>
    </row>
    <row r="23" spans="1:11" ht="14.4" x14ac:dyDescent="0.3">
      <c r="D23" s="113"/>
      <c r="E23" s="113"/>
    </row>
    <row r="26" spans="1:11" ht="14.4" x14ac:dyDescent="0.3">
      <c r="D26" s="113"/>
      <c r="E26" s="113"/>
    </row>
    <row r="27" spans="1:11" ht="14.4" x14ac:dyDescent="0.3">
      <c r="D27" s="113"/>
      <c r="E27" s="113"/>
    </row>
    <row r="28" spans="1:11" ht="14.4" x14ac:dyDescent="0.3">
      <c r="C28" s="1" t="s">
        <v>248</v>
      </c>
      <c r="D28" s="113"/>
    </row>
    <row r="29" spans="1:11" ht="16.2" x14ac:dyDescent="0.35">
      <c r="A29" s="14" t="s">
        <v>113</v>
      </c>
      <c r="B29" s="61">
        <v>210000</v>
      </c>
      <c r="C29" s="1" t="s">
        <v>243</v>
      </c>
      <c r="D29" s="9">
        <f>N_level</f>
        <v>0</v>
      </c>
      <c r="E29" s="1" t="s">
        <v>244</v>
      </c>
      <c r="F29" s="139">
        <v>2.8700000000000002E-3</v>
      </c>
    </row>
    <row r="30" spans="1:11" ht="14.4" x14ac:dyDescent="0.3">
      <c r="A30" s="65" t="s">
        <v>90</v>
      </c>
      <c r="B30" s="62">
        <v>1</v>
      </c>
      <c r="D30" s="137">
        <f>D29/83</f>
        <v>0</v>
      </c>
      <c r="E30" s="1" t="s">
        <v>245</v>
      </c>
    </row>
    <row r="31" spans="1:11" ht="15.6" x14ac:dyDescent="0.35">
      <c r="A31" s="176" t="s">
        <v>330</v>
      </c>
      <c r="B31" s="127">
        <v>0</v>
      </c>
      <c r="C31" s="1" t="s">
        <v>246</v>
      </c>
      <c r="D31" s="9">
        <f>1049-616.37*D30</f>
        <v>1049</v>
      </c>
      <c r="E31" s="1" t="s">
        <v>247</v>
      </c>
    </row>
    <row r="32" spans="1:11" x14ac:dyDescent="0.25">
      <c r="C32" s="1" t="s">
        <v>137</v>
      </c>
      <c r="D32" s="138">
        <f>1/D31</f>
        <v>9.5328884652049568E-4</v>
      </c>
    </row>
    <row r="33" spans="1:2" ht="15.6" x14ac:dyDescent="0.35">
      <c r="A33" s="85" t="s">
        <v>91</v>
      </c>
      <c r="B33" s="86">
        <v>0</v>
      </c>
    </row>
    <row r="34" spans="1:2" ht="16.2" x14ac:dyDescent="0.35">
      <c r="A34" s="10" t="s">
        <v>92</v>
      </c>
      <c r="B34" s="11">
        <v>0.4</v>
      </c>
    </row>
    <row r="36" spans="1:2" x14ac:dyDescent="0.25">
      <c r="A36" s="44" t="s">
        <v>27</v>
      </c>
      <c r="B36" s="31"/>
    </row>
    <row r="37" spans="1:2" ht="16.2" x14ac:dyDescent="0.35">
      <c r="A37" s="10" t="s">
        <v>93</v>
      </c>
      <c r="B37" s="11">
        <v>0</v>
      </c>
    </row>
    <row r="38" spans="1:2" ht="16.2" x14ac:dyDescent="0.35">
      <c r="A38" s="10" t="s">
        <v>94</v>
      </c>
      <c r="B38" s="11">
        <v>0</v>
      </c>
    </row>
    <row r="39" spans="1:2" ht="16.2" x14ac:dyDescent="0.35">
      <c r="A39" s="22" t="s">
        <v>95</v>
      </c>
      <c r="B39" s="21">
        <v>0</v>
      </c>
    </row>
  </sheetData>
  <pageMargins left="0.7" right="0.7" top="0.75" bottom="0.75" header="0.3" footer="0.3"/>
  <drawing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BR76"/>
  <sheetViews>
    <sheetView workbookViewId="0">
      <selection activeCell="C23" sqref="C23"/>
    </sheetView>
  </sheetViews>
  <sheetFormatPr defaultColWidth="9.109375" defaultRowHeight="13.8" x14ac:dyDescent="0.25"/>
  <cols>
    <col min="1" max="1" width="12.33203125" style="1" customWidth="1"/>
    <col min="2" max="2" width="18.6640625" style="1" customWidth="1"/>
    <col min="3" max="4" width="8.6640625" style="1" customWidth="1"/>
    <col min="5" max="5" width="21.44140625" style="1" customWidth="1"/>
    <col min="6" max="7" width="8.6640625" style="1" customWidth="1"/>
    <col min="8" max="8" width="20.88671875" style="1" customWidth="1"/>
    <col min="9" max="9" width="8.6640625" style="1" customWidth="1"/>
    <col min="10" max="11" width="8.6640625" style="3" customWidth="1"/>
    <col min="12" max="12" width="12.33203125" style="3" customWidth="1"/>
    <col min="13" max="13" width="20.33203125" style="3" customWidth="1"/>
    <col min="14" max="14" width="12.33203125" style="1" customWidth="1"/>
    <col min="15" max="15" width="12" style="1" customWidth="1"/>
    <col min="16" max="16" width="12.33203125" style="1" customWidth="1"/>
    <col min="17" max="17" width="29.109375" style="1" customWidth="1"/>
    <col min="18" max="21" width="9.109375" style="1" customWidth="1"/>
    <col min="22" max="54" width="9.109375" style="1"/>
    <col min="55" max="16384" width="9.109375" style="4"/>
  </cols>
  <sheetData>
    <row r="1" spans="2:35" s="1" customFormat="1" x14ac:dyDescent="0.25">
      <c r="J1" s="2"/>
      <c r="K1" s="3"/>
      <c r="L1" s="3"/>
      <c r="M1" s="3"/>
    </row>
    <row r="2" spans="2:35" s="1" customFormat="1" ht="17.399999999999999" x14ac:dyDescent="0.3">
      <c r="B2" s="298" t="s">
        <v>0</v>
      </c>
      <c r="C2" s="299"/>
      <c r="E2" s="300" t="s">
        <v>1</v>
      </c>
      <c r="F2" s="301"/>
      <c r="G2" s="301"/>
      <c r="H2" s="301"/>
      <c r="I2" s="301"/>
      <c r="J2" s="301"/>
      <c r="K2" s="301"/>
      <c r="L2" s="301"/>
      <c r="M2" s="301"/>
      <c r="N2" s="301"/>
      <c r="O2" s="302"/>
    </row>
    <row r="3" spans="2:35" s="4" customFormat="1" x14ac:dyDescent="0.25">
      <c r="B3" s="1"/>
      <c r="C3" s="1"/>
      <c r="D3" s="1"/>
      <c r="E3" s="1"/>
      <c r="F3" s="1"/>
      <c r="G3" s="1"/>
      <c r="H3" s="1"/>
      <c r="I3" s="1"/>
      <c r="J3" s="3"/>
      <c r="K3" s="3"/>
      <c r="L3" s="1"/>
      <c r="M3" s="3"/>
      <c r="N3" s="3"/>
      <c r="O3" s="3"/>
      <c r="P3" s="3"/>
      <c r="Q3" s="1"/>
      <c r="R3" s="1"/>
      <c r="S3" s="1"/>
      <c r="T3" s="1"/>
      <c r="U3" s="1"/>
      <c r="V3" s="1"/>
      <c r="W3" s="1"/>
      <c r="X3" s="1"/>
      <c r="Y3" s="1"/>
      <c r="Z3" s="1"/>
      <c r="AA3" s="1"/>
      <c r="AB3" s="1"/>
      <c r="AC3" s="1"/>
      <c r="AD3" s="1"/>
      <c r="AE3" s="1"/>
      <c r="AF3" s="1"/>
      <c r="AG3" s="1"/>
      <c r="AH3" s="1"/>
      <c r="AI3" s="1"/>
    </row>
    <row r="4" spans="2:35" s="1" customFormat="1" x14ac:dyDescent="0.25">
      <c r="B4" s="5" t="s">
        <v>2</v>
      </c>
      <c r="C4" s="6"/>
      <c r="E4" s="59" t="s">
        <v>3</v>
      </c>
      <c r="F4" s="6"/>
      <c r="H4" s="5" t="s">
        <v>4</v>
      </c>
      <c r="I4" s="7"/>
      <c r="J4" s="7"/>
      <c r="K4" s="6"/>
      <c r="L4" s="29"/>
      <c r="M4" s="23" t="s">
        <v>20</v>
      </c>
      <c r="N4" s="27"/>
      <c r="O4" s="6"/>
      <c r="AF4" s="9"/>
    </row>
    <row r="5" spans="2:35" s="1" customFormat="1" ht="16.2" x14ac:dyDescent="0.35">
      <c r="B5" s="94" t="s">
        <v>173</v>
      </c>
      <c r="C5" s="95">
        <f>Rlight_t</f>
        <v>0.11046368650843981</v>
      </c>
      <c r="E5" s="12" t="s">
        <v>6</v>
      </c>
      <c r="F5" s="13">
        <f>F7-0.5*F8</f>
        <v>6.2741037056840865</v>
      </c>
      <c r="H5" s="14"/>
      <c r="I5" s="15"/>
      <c r="J5" s="15" t="s">
        <v>7</v>
      </c>
      <c r="K5" s="16" t="s">
        <v>8</v>
      </c>
      <c r="L5" s="29"/>
      <c r="M5" s="28" t="s">
        <v>75</v>
      </c>
      <c r="N5" s="29"/>
      <c r="O5" s="50">
        <f>F16/F5</f>
        <v>7.3519371671858025</v>
      </c>
      <c r="R5" s="1" t="s">
        <v>46</v>
      </c>
      <c r="X5" s="9"/>
      <c r="AG5" s="9"/>
    </row>
    <row r="6" spans="2:35" s="1" customFormat="1" ht="16.2" x14ac:dyDescent="0.35">
      <c r="B6" s="90" t="s">
        <v>174</v>
      </c>
      <c r="C6" s="98">
        <f>SCO_t</f>
        <v>2337.4065000000001</v>
      </c>
      <c r="E6" s="10" t="s">
        <v>5</v>
      </c>
      <c r="F6" s="43">
        <f>F5-C5</f>
        <v>6.1636400191756469</v>
      </c>
      <c r="H6" s="14" t="s">
        <v>58</v>
      </c>
      <c r="I6" s="29"/>
      <c r="J6" s="46">
        <f>J15*J16/(J15+C8*(1+J17/C9))</f>
        <v>4.9221258631296072</v>
      </c>
      <c r="K6" s="17">
        <f>C11*K16/(C11+C8*(1+C12/C9))</f>
        <v>1.6932714136603382</v>
      </c>
      <c r="L6" s="51"/>
      <c r="M6" s="49" t="s">
        <v>65</v>
      </c>
      <c r="N6" s="29"/>
      <c r="O6" s="19">
        <f>IF(ISNUMBER(O19/F25),O19/F25,"-")</f>
        <v>0.58064772266807585</v>
      </c>
      <c r="Q6" s="1" t="s">
        <v>47</v>
      </c>
      <c r="R6" s="37">
        <f>K6+J6</f>
        <v>6.6153972767899454</v>
      </c>
    </row>
    <row r="7" spans="2:35" s="1" customFormat="1" ht="16.2" x14ac:dyDescent="0.35">
      <c r="B7" s="99" t="s">
        <v>175</v>
      </c>
      <c r="C7" s="98">
        <f>gBs_t</f>
        <v>2E-3</v>
      </c>
      <c r="E7" s="10" t="s">
        <v>110</v>
      </c>
      <c r="F7" s="17">
        <f>J6+K6</f>
        <v>6.6153972767899454</v>
      </c>
      <c r="H7" s="14" t="s">
        <v>59</v>
      </c>
      <c r="I7" s="29"/>
      <c r="J7" s="46">
        <f>J6*2*F22*J17/J15</f>
        <v>0.15224508855160279</v>
      </c>
      <c r="K7" s="17">
        <f>K6*2*F22*C12/C11</f>
        <v>0.530342053660115</v>
      </c>
      <c r="L7" s="51"/>
      <c r="M7" s="28" t="s">
        <v>73</v>
      </c>
      <c r="N7" s="29"/>
      <c r="O7" s="50">
        <f>F16/F15</f>
        <v>3.1682360439530965</v>
      </c>
      <c r="Q7" s="1" t="s">
        <v>48</v>
      </c>
      <c r="R7" s="52">
        <f>K7+J7</f>
        <v>0.68258714221171779</v>
      </c>
      <c r="T7" s="64"/>
      <c r="U7" s="29"/>
      <c r="V7" s="53"/>
      <c r="W7" s="30"/>
      <c r="X7" s="30"/>
      <c r="Y7" s="64"/>
      <c r="Z7" s="30"/>
      <c r="AA7" s="30"/>
      <c r="AB7" s="64"/>
      <c r="AC7" s="29"/>
      <c r="AD7" s="29"/>
      <c r="AE7" s="29"/>
      <c r="AF7" s="29"/>
      <c r="AG7" s="29"/>
      <c r="AH7" s="29"/>
      <c r="AI7" s="29"/>
    </row>
    <row r="8" spans="2:35" s="1" customFormat="1" ht="16.2" x14ac:dyDescent="0.35">
      <c r="B8" s="94" t="s">
        <v>176</v>
      </c>
      <c r="C8" s="100">
        <f>Kc_t</f>
        <v>363.63636363636363</v>
      </c>
      <c r="E8" s="10" t="s">
        <v>11</v>
      </c>
      <c r="F8" s="17">
        <f>J7+K7</f>
        <v>0.68258714221171779</v>
      </c>
      <c r="H8" s="10" t="s">
        <v>30</v>
      </c>
      <c r="I8" s="29"/>
      <c r="J8" s="46">
        <f>J7+C24*K7</f>
        <v>0.15224508855160279</v>
      </c>
      <c r="K8" s="17">
        <f>K7*(1-C24)</f>
        <v>0.530342053660115</v>
      </c>
      <c r="L8" s="51"/>
      <c r="M8" s="28" t="s">
        <v>21</v>
      </c>
      <c r="N8" s="29"/>
      <c r="O8" s="50">
        <f>J23/F15</f>
        <v>5.2285028161862144E-3</v>
      </c>
      <c r="Q8" s="1" t="s">
        <v>49</v>
      </c>
      <c r="R8" s="52">
        <f>K8+J8</f>
        <v>0.68258714221171779</v>
      </c>
      <c r="T8" s="29"/>
      <c r="U8" s="30"/>
      <c r="V8" s="29"/>
      <c r="W8" s="64"/>
      <c r="X8" s="64"/>
      <c r="Y8" s="64"/>
      <c r="Z8" s="64"/>
      <c r="AA8" s="64"/>
      <c r="AB8" s="64"/>
      <c r="AC8" s="64"/>
      <c r="AD8" s="64"/>
      <c r="AE8" s="64"/>
      <c r="AF8" s="64"/>
      <c r="AG8" s="29"/>
      <c r="AH8" s="29"/>
      <c r="AI8" s="29"/>
    </row>
    <row r="9" spans="2:35" s="1" customFormat="1" ht="16.2" x14ac:dyDescent="0.35">
      <c r="B9" s="94" t="s">
        <v>177</v>
      </c>
      <c r="C9" s="100">
        <f>KO_t</f>
        <v>291655</v>
      </c>
      <c r="E9" s="10" t="s">
        <v>10</v>
      </c>
      <c r="F9" s="43">
        <f>F8/F7</f>
        <v>0.10318157982840545</v>
      </c>
      <c r="H9" s="10" t="s">
        <v>9</v>
      </c>
      <c r="I9" s="18"/>
      <c r="J9" s="18">
        <f>C5*C25</f>
        <v>4.4185474603375928E-2</v>
      </c>
      <c r="K9" s="19">
        <f>C5-J9</f>
        <v>6.6278211905063888E-2</v>
      </c>
      <c r="L9" s="51"/>
      <c r="M9" s="28" t="s">
        <v>22</v>
      </c>
      <c r="N9" s="29"/>
      <c r="O9" s="50">
        <f>J23/K23</f>
        <v>5.2559837419830016E-3</v>
      </c>
      <c r="Q9" s="1" t="s">
        <v>50</v>
      </c>
      <c r="R9" s="52">
        <f>K9+J9</f>
        <v>0.11046368650843982</v>
      </c>
      <c r="T9" s="64"/>
      <c r="U9" s="64"/>
      <c r="V9" s="64"/>
      <c r="W9" s="64"/>
      <c r="X9" s="64"/>
      <c r="Y9" s="64"/>
      <c r="Z9" s="64"/>
      <c r="AA9" s="64"/>
      <c r="AB9" s="64"/>
      <c r="AC9" s="29"/>
      <c r="AD9" s="29"/>
      <c r="AE9" s="29"/>
      <c r="AF9" s="29"/>
      <c r="AG9" s="29"/>
      <c r="AH9" s="29"/>
      <c r="AI9" s="29"/>
    </row>
    <row r="10" spans="2:35" s="1" customFormat="1" ht="16.2" x14ac:dyDescent="0.35">
      <c r="B10" s="90" t="s">
        <v>178</v>
      </c>
      <c r="C10" s="98">
        <f>VcMax_t</f>
        <v>11.246827535569533</v>
      </c>
      <c r="E10" s="10" t="s">
        <v>70</v>
      </c>
      <c r="F10" s="43">
        <f>F11-F12</f>
        <v>2.0545466730585495</v>
      </c>
      <c r="G10" s="51"/>
      <c r="H10" s="10" t="s">
        <v>60</v>
      </c>
      <c r="I10" s="29"/>
      <c r="J10" s="18">
        <f>F10*C28</f>
        <v>0</v>
      </c>
      <c r="K10" s="19">
        <f>F10-J10</f>
        <v>2.0545466730585495</v>
      </c>
      <c r="L10" s="29"/>
      <c r="M10" s="28" t="s">
        <v>24</v>
      </c>
      <c r="N10" s="29"/>
      <c r="O10" s="50">
        <f>IF(ISNUMBER(J29/K29),J29/K29,"-")</f>
        <v>0.12778949776952203</v>
      </c>
      <c r="Q10" s="1" t="s">
        <v>51</v>
      </c>
      <c r="R10" s="1">
        <f>F6+K9+1/2*K8-F25-K6</f>
        <v>-6.6487408001460873</v>
      </c>
      <c r="T10" s="64"/>
      <c r="U10" s="64"/>
      <c r="V10" s="64"/>
      <c r="W10" s="64"/>
      <c r="X10" s="64"/>
      <c r="Y10" s="64"/>
      <c r="Z10" s="64"/>
      <c r="AA10" s="64"/>
      <c r="AB10" s="64"/>
      <c r="AC10" s="29"/>
      <c r="AD10" s="29"/>
      <c r="AE10" s="29"/>
      <c r="AF10" s="29"/>
      <c r="AG10" s="29"/>
      <c r="AH10" s="29"/>
      <c r="AI10" s="29"/>
    </row>
    <row r="11" spans="2:35" s="1" customFormat="1" ht="16.2" x14ac:dyDescent="0.35">
      <c r="B11" s="14" t="s">
        <v>112</v>
      </c>
      <c r="C11" s="100">
        <f>cm</f>
        <v>286.85046474013137</v>
      </c>
      <c r="E11" s="10" t="s">
        <v>71</v>
      </c>
      <c r="F11" s="19">
        <f>2*F7+3/2*F8-C5/3</f>
        <v>14.217854038061322</v>
      </c>
      <c r="H11" s="10" t="s">
        <v>13</v>
      </c>
      <c r="I11" s="29"/>
      <c r="J11" s="18">
        <f>$C$29*F29</f>
        <v>0</v>
      </c>
      <c r="K11" s="19">
        <f>F29-J11</f>
        <v>11.450558644396517</v>
      </c>
      <c r="L11" s="29"/>
      <c r="M11" s="28" t="s">
        <v>36</v>
      </c>
      <c r="N11" s="29"/>
      <c r="O11" s="50">
        <f>J29/F16</f>
        <v>0.11330970719469975</v>
      </c>
      <c r="Q11" s="1" t="s">
        <v>5</v>
      </c>
      <c r="R11" s="52">
        <f>J6+K6-0.5*K8-0.5*J8-K9-J9-O19+O19-O26+O26</f>
        <v>6.1636400191756469</v>
      </c>
      <c r="T11" s="64"/>
      <c r="U11" s="64"/>
      <c r="V11" s="64"/>
      <c r="W11" s="64"/>
      <c r="X11" s="64"/>
      <c r="Y11" s="64"/>
      <c r="Z11" s="64"/>
      <c r="AA11" s="64"/>
      <c r="AB11" s="64"/>
      <c r="AC11" s="29"/>
      <c r="AD11" s="29"/>
      <c r="AE11" s="29"/>
      <c r="AF11" s="29"/>
      <c r="AG11" s="29"/>
      <c r="AH11" s="29"/>
      <c r="AI11" s="29"/>
    </row>
    <row r="12" spans="2:35" s="1" customFormat="1" ht="16.2" x14ac:dyDescent="0.35">
      <c r="B12" s="90" t="s">
        <v>184</v>
      </c>
      <c r="C12" s="98">
        <f>OM</f>
        <v>210000</v>
      </c>
      <c r="E12" s="14" t="s">
        <v>14</v>
      </c>
      <c r="F12" s="19">
        <f>5/3*F13</f>
        <v>12.163307365002773</v>
      </c>
      <c r="H12" s="10" t="s">
        <v>61</v>
      </c>
      <c r="I12" s="29"/>
      <c r="J12" s="18">
        <f>F11*$C$27</f>
        <v>0</v>
      </c>
      <c r="K12" s="19">
        <f>F11-J12</f>
        <v>14.217854038061322</v>
      </c>
      <c r="L12" s="29"/>
      <c r="M12" s="28" t="s">
        <v>39</v>
      </c>
      <c r="N12" s="29"/>
      <c r="O12" s="45" t="str">
        <f>IF(ISNUMBER(J29/J28),(J29/J28),IF(J29&gt;0,"CEF only","-"))</f>
        <v>CEF only</v>
      </c>
      <c r="Q12" s="1" t="s">
        <v>52</v>
      </c>
      <c r="R12" s="52">
        <f>O24-O27+O25-O26</f>
        <v>0</v>
      </c>
      <c r="T12" s="64"/>
      <c r="U12" s="64"/>
      <c r="V12" s="64"/>
      <c r="W12" s="64"/>
      <c r="X12" s="64"/>
      <c r="Y12" s="64"/>
      <c r="Z12" s="64"/>
      <c r="AA12" s="64"/>
      <c r="AB12" s="64"/>
      <c r="AC12" s="29"/>
      <c r="AD12" s="29"/>
      <c r="AE12" s="29"/>
      <c r="AF12" s="29"/>
      <c r="AG12" s="29"/>
      <c r="AH12" s="29"/>
      <c r="AI12" s="29"/>
    </row>
    <row r="13" spans="2:35" s="1" customFormat="1" ht="16.2" x14ac:dyDescent="0.35">
      <c r="B13" s="114" t="s">
        <v>90</v>
      </c>
      <c r="C13" s="112">
        <f>alpha</f>
        <v>1</v>
      </c>
      <c r="E13" s="14" t="s">
        <v>16</v>
      </c>
      <c r="F13" s="19">
        <f>F7+F8</f>
        <v>7.2979844190016632</v>
      </c>
      <c r="H13" s="14" t="s">
        <v>14</v>
      </c>
      <c r="I13" s="29"/>
      <c r="J13" s="18">
        <f>5/3*J14</f>
        <v>8.4572849194686839</v>
      </c>
      <c r="K13" s="19">
        <f>5/3*K14</f>
        <v>3.7060224455340891</v>
      </c>
      <c r="L13" s="29"/>
      <c r="M13" s="28" t="s">
        <v>74</v>
      </c>
      <c r="N13" s="29"/>
      <c r="O13" s="45">
        <f>K29/K27</f>
        <v>2.8092441454890773</v>
      </c>
      <c r="Q13" s="1" t="s">
        <v>53</v>
      </c>
      <c r="R13" s="52">
        <f>4*O22+4*O24+3*O20+2*O25</f>
        <v>71.174089335992122</v>
      </c>
      <c r="T13" s="64"/>
      <c r="U13" s="64"/>
      <c r="V13" s="64"/>
      <c r="W13" s="64"/>
      <c r="X13" s="64"/>
      <c r="Y13" s="64"/>
      <c r="Z13" s="64"/>
      <c r="AA13" s="64"/>
      <c r="AB13" s="64"/>
      <c r="AC13" s="29"/>
      <c r="AD13" s="29"/>
      <c r="AE13" s="29"/>
      <c r="AF13" s="29"/>
      <c r="AG13" s="29"/>
      <c r="AH13" s="29"/>
      <c r="AI13" s="29"/>
    </row>
    <row r="14" spans="2:35" s="1" customFormat="1" ht="16.2" x14ac:dyDescent="0.35">
      <c r="E14" s="14" t="s">
        <v>69</v>
      </c>
      <c r="F14" s="17">
        <f>F8</f>
        <v>0.68258714221171779</v>
      </c>
      <c r="H14" s="14" t="s">
        <v>16</v>
      </c>
      <c r="I14" s="29"/>
      <c r="J14" s="18">
        <f>J6+J7</f>
        <v>5.0743709516812103</v>
      </c>
      <c r="K14" s="19">
        <f>K6+K7</f>
        <v>2.2236134673204533</v>
      </c>
      <c r="L14" s="29"/>
      <c r="M14" s="28" t="s">
        <v>66</v>
      </c>
      <c r="N14" s="29"/>
      <c r="O14" s="50">
        <f>IF(ISNUMBER((F28+J24)/K24),(F28+J24)/K24,"-")</f>
        <v>149.42270004677889</v>
      </c>
      <c r="Q14" s="1" t="s">
        <v>54</v>
      </c>
      <c r="R14" s="52">
        <f>3*O23+O19+3*O27+3*O21+3*O28+3*O26+3*J10</f>
        <v>71.174089335992107</v>
      </c>
      <c r="T14" s="64"/>
      <c r="U14" s="64"/>
      <c r="V14" s="64"/>
      <c r="W14" s="64"/>
      <c r="X14" s="64"/>
      <c r="Y14" s="64"/>
      <c r="Z14" s="64"/>
      <c r="AA14" s="64"/>
      <c r="AB14" s="64"/>
      <c r="AC14" s="29"/>
      <c r="AD14" s="29"/>
      <c r="AE14" s="29"/>
      <c r="AF14" s="29"/>
      <c r="AG14" s="29"/>
      <c r="AH14" s="29"/>
      <c r="AI14" s="29"/>
    </row>
    <row r="15" spans="2:35" s="1" customFormat="1" ht="16.2" x14ac:dyDescent="0.35">
      <c r="E15" s="14" t="s">
        <v>33</v>
      </c>
      <c r="F15" s="19">
        <f>1/2*F8+F11</f>
        <v>14.55914760916718</v>
      </c>
      <c r="H15" s="14" t="s">
        <v>79</v>
      </c>
      <c r="I15" s="29"/>
      <c r="J15" s="57">
        <f>(-R22+SQRT(R22*R22-4*Q22*S22))/(2*Q22)</f>
        <v>3611.2208648131746</v>
      </c>
      <c r="K15" s="81">
        <f>C11</f>
        <v>286.85046474013137</v>
      </c>
      <c r="L15" s="29"/>
      <c r="M15" s="28" t="s">
        <v>23</v>
      </c>
      <c r="N15" s="29"/>
      <c r="O15" s="50">
        <f>IF(ISNUMBER(K25/F25),K25/F25,"-")</f>
        <v>0.99335206721000879</v>
      </c>
      <c r="Q15" s="1" t="s">
        <v>56</v>
      </c>
      <c r="R15" s="52">
        <f>O26</f>
        <v>0</v>
      </c>
      <c r="T15" s="64"/>
      <c r="U15" s="64"/>
      <c r="V15" s="64"/>
      <c r="W15" s="64"/>
      <c r="X15" s="64"/>
      <c r="Y15" s="64"/>
      <c r="Z15" s="64"/>
      <c r="AA15" s="64"/>
      <c r="AB15" s="64"/>
      <c r="AC15" s="29"/>
      <c r="AD15" s="29"/>
      <c r="AE15" s="29"/>
      <c r="AF15" s="29"/>
      <c r="AG15" s="29"/>
      <c r="AH15" s="29"/>
      <c r="AI15" s="29"/>
    </row>
    <row r="16" spans="2:35" s="1" customFormat="1" ht="16.2" x14ac:dyDescent="0.35">
      <c r="B16" s="5" t="s">
        <v>29</v>
      </c>
      <c r="C16" s="6"/>
      <c r="E16" s="26" t="s">
        <v>34</v>
      </c>
      <c r="F16" s="25">
        <f>F11+F7+2*F8+0.5*F10+F28+2*F29</f>
        <v>46.126816224597007</v>
      </c>
      <c r="H16" s="14" t="s">
        <v>111</v>
      </c>
      <c r="I16" s="29"/>
      <c r="J16" s="52">
        <f>C10*C23</f>
        <v>5.8614511179984152</v>
      </c>
      <c r="K16" s="197">
        <f>C10*(1-C23)</f>
        <v>5.3853764175711181</v>
      </c>
      <c r="L16" s="29"/>
      <c r="M16" s="10" t="s">
        <v>32</v>
      </c>
      <c r="N16" s="29"/>
      <c r="O16" s="43">
        <f>J8/F8</f>
        <v>0.22304124870899047</v>
      </c>
      <c r="P16" s="29"/>
      <c r="Q16" s="55" t="s">
        <v>57</v>
      </c>
      <c r="R16" s="51">
        <f>R15+K25</f>
        <v>11.374436100120716</v>
      </c>
      <c r="T16" s="64"/>
      <c r="U16" s="64"/>
      <c r="V16" s="64"/>
      <c r="W16" s="64"/>
      <c r="X16" s="64"/>
      <c r="Y16" s="64"/>
      <c r="Z16" s="64"/>
      <c r="AA16" s="64"/>
      <c r="AB16" s="64"/>
      <c r="AC16" s="29"/>
      <c r="AD16" s="29"/>
      <c r="AE16" s="29"/>
      <c r="AF16" s="29"/>
      <c r="AG16" s="29"/>
      <c r="AH16" s="29"/>
      <c r="AI16" s="29"/>
    </row>
    <row r="17" spans="2:35" s="1" customFormat="1" ht="16.2" x14ac:dyDescent="0.35">
      <c r="B17" s="90" t="s">
        <v>181</v>
      </c>
      <c r="C17" s="98">
        <f>Kp_t</f>
        <v>80</v>
      </c>
      <c r="H17" s="26" t="s">
        <v>81</v>
      </c>
      <c r="I17" s="33"/>
      <c r="J17" s="33">
        <f>F19-C13*J15/0.047</f>
        <v>261083.16855585569</v>
      </c>
      <c r="K17" s="82">
        <f>C12</f>
        <v>210000</v>
      </c>
      <c r="L17" s="29"/>
      <c r="M17" s="83" t="s">
        <v>108</v>
      </c>
      <c r="N17" s="33"/>
      <c r="O17" s="84">
        <f>(F16+F15)/F5</f>
        <v>9.6724515055090876</v>
      </c>
      <c r="P17" s="29"/>
      <c r="Q17" s="1" t="s">
        <v>68</v>
      </c>
      <c r="R17" s="1">
        <f>4*O22+4*O24+3*O20+2*O25-O19-3*O23-3*O28-3*O27-3*O21-3*O26-3*J10</f>
        <v>1.4210854715202004E-14</v>
      </c>
      <c r="T17" s="64"/>
      <c r="U17" s="64"/>
      <c r="V17" s="64"/>
      <c r="W17" s="64"/>
      <c r="X17" s="64"/>
      <c r="Y17" s="64"/>
      <c r="Z17" s="64"/>
      <c r="AA17" s="64"/>
      <c r="AB17" s="64"/>
      <c r="AC17" s="29"/>
      <c r="AD17" s="29"/>
      <c r="AE17" s="29"/>
      <c r="AF17" s="29"/>
      <c r="AG17" s="29"/>
      <c r="AH17" s="29"/>
      <c r="AI17" s="29"/>
    </row>
    <row r="18" spans="2:35" s="1" customFormat="1" ht="15.6" x14ac:dyDescent="0.35">
      <c r="B18" s="109" t="s">
        <v>166</v>
      </c>
      <c r="C18" s="110">
        <f>rPEPCK</f>
        <v>0</v>
      </c>
      <c r="E18" s="5" t="s">
        <v>88</v>
      </c>
      <c r="F18" s="6"/>
      <c r="L18" s="37"/>
      <c r="M18" s="23" t="s">
        <v>15</v>
      </c>
      <c r="N18" s="27"/>
      <c r="O18" s="6"/>
      <c r="P18" s="58"/>
      <c r="Q18" s="14" t="s">
        <v>84</v>
      </c>
      <c r="R18" s="63">
        <f>-C7*(C11-J15)</f>
        <v>6.6487408001460864</v>
      </c>
      <c r="T18" s="64"/>
      <c r="U18" s="64"/>
      <c r="V18" s="64"/>
      <c r="W18" s="64"/>
      <c r="X18" s="64"/>
      <c r="Y18" s="64"/>
      <c r="Z18" s="64"/>
      <c r="AA18" s="64"/>
      <c r="AB18" s="64"/>
      <c r="AC18" s="29"/>
      <c r="AD18" s="29"/>
      <c r="AE18" s="29"/>
      <c r="AF18" s="29"/>
      <c r="AG18" s="29"/>
      <c r="AH18" s="29"/>
      <c r="AI18" s="29"/>
    </row>
    <row r="19" spans="2:35" s="1" customFormat="1" ht="16.2" x14ac:dyDescent="0.35">
      <c r="B19" s="111" t="s">
        <v>182</v>
      </c>
      <c r="C19" s="112">
        <f>VpMax_t</f>
        <v>14.644015877877388</v>
      </c>
      <c r="E19" s="14" t="s">
        <v>85</v>
      </c>
      <c r="F19" s="31">
        <f>C12+C13*C24*0.5*K7/(0.047*C7)+C13*C11/0.047+C13*F25/(0.047*C7)</f>
        <v>337917.65504124237</v>
      </c>
      <c r="L19" s="37"/>
      <c r="M19" s="24" t="s">
        <v>89</v>
      </c>
      <c r="N19" s="29"/>
      <c r="O19" s="19">
        <f>(F25+J9+1/2*J8-J6)</f>
        <v>6.6487408001460873</v>
      </c>
      <c r="T19" s="64"/>
      <c r="U19" s="64"/>
      <c r="V19" s="64"/>
      <c r="W19" s="64"/>
      <c r="X19" s="64"/>
      <c r="Y19" s="64"/>
      <c r="Z19" s="64"/>
      <c r="AA19" s="64"/>
      <c r="AB19" s="64"/>
      <c r="AC19" s="29"/>
      <c r="AD19" s="29"/>
      <c r="AE19" s="29"/>
      <c r="AF19" s="29"/>
      <c r="AG19" s="29"/>
      <c r="AH19" s="29"/>
      <c r="AI19" s="29"/>
    </row>
    <row r="20" spans="2:35" s="1" customFormat="1" ht="15.6" x14ac:dyDescent="0.35">
      <c r="E20" s="10" t="s">
        <v>114</v>
      </c>
      <c r="F20" s="31">
        <f>J6/(J6+K6)</f>
        <v>0.74404085759124949</v>
      </c>
      <c r="H20" s="5" t="s">
        <v>31</v>
      </c>
      <c r="I20" s="7"/>
      <c r="J20" s="41"/>
      <c r="K20" s="42"/>
      <c r="L20" s="37"/>
      <c r="M20" s="48" t="s">
        <v>63</v>
      </c>
      <c r="N20" s="29"/>
      <c r="O20" s="19">
        <f>K12-K10-K13</f>
        <v>8.4572849194686839</v>
      </c>
      <c r="Q20" s="59" t="s">
        <v>115</v>
      </c>
      <c r="R20" s="7"/>
      <c r="S20" s="6"/>
      <c r="T20" s="64"/>
      <c r="U20" s="64"/>
      <c r="V20" s="64"/>
      <c r="W20" s="64"/>
      <c r="X20" s="64"/>
      <c r="Y20" s="64"/>
      <c r="Z20" s="64"/>
      <c r="AA20" s="64"/>
      <c r="AB20" s="64"/>
      <c r="AC20" s="29"/>
      <c r="AD20" s="29"/>
      <c r="AE20" s="29"/>
      <c r="AF20" s="29"/>
      <c r="AG20" s="29"/>
      <c r="AH20" s="29"/>
      <c r="AI20" s="29"/>
    </row>
    <row r="21" spans="2:35" s="1" customFormat="1" ht="15.6" x14ac:dyDescent="0.35">
      <c r="B21" s="5" t="s">
        <v>26</v>
      </c>
      <c r="C21" s="6"/>
      <c r="E21" s="10" t="s">
        <v>116</v>
      </c>
      <c r="F21" s="31">
        <f>J7/(J7+K7)</f>
        <v>0.22304124870899047</v>
      </c>
      <c r="H21" s="14"/>
      <c r="I21" s="15"/>
      <c r="J21" s="15" t="s">
        <v>7</v>
      </c>
      <c r="K21" s="16" t="s">
        <v>8</v>
      </c>
      <c r="L21" s="29"/>
      <c r="M21" s="48" t="s">
        <v>64</v>
      </c>
      <c r="N21" s="29"/>
      <c r="O21" s="19">
        <f>2*J6+1.5*J7-J12-1/3*J9</f>
        <v>10.057890867552159</v>
      </c>
      <c r="P21" s="52"/>
      <c r="Q21" s="14" t="s">
        <v>82</v>
      </c>
      <c r="R21" s="29" t="s">
        <v>83</v>
      </c>
      <c r="S21" s="31" t="s">
        <v>117</v>
      </c>
      <c r="T21" s="66"/>
      <c r="U21" s="66"/>
      <c r="V21" s="66"/>
      <c r="W21" s="66"/>
      <c r="X21" s="66"/>
      <c r="Y21" s="66"/>
      <c r="Z21" s="66"/>
      <c r="AA21" s="66"/>
      <c r="AB21" s="66"/>
    </row>
    <row r="22" spans="2:35" s="1" customFormat="1" ht="14.4" x14ac:dyDescent="0.3">
      <c r="B22" s="44" t="s">
        <v>28</v>
      </c>
      <c r="C22" s="31"/>
      <c r="E22" s="26" t="s">
        <v>80</v>
      </c>
      <c r="F22" s="60">
        <f>0.5/C6</f>
        <v>2.1391229980750033E-4</v>
      </c>
      <c r="H22" s="56" t="s">
        <v>67</v>
      </c>
      <c r="I22" s="29"/>
      <c r="J22" s="46">
        <f>F25-F28</f>
        <v>11.450558644396517</v>
      </c>
      <c r="K22" s="54" t="s">
        <v>35</v>
      </c>
      <c r="L22" s="29"/>
      <c r="M22" s="14" t="s">
        <v>40</v>
      </c>
      <c r="N22" s="29"/>
      <c r="O22" s="17">
        <f>K24</f>
        <v>7.6122544275801396E-2</v>
      </c>
      <c r="P22" s="29"/>
      <c r="Q22" s="83">
        <f>1-(C13*$C$8/(0.047*$C$9))</f>
        <v>0.97347227406642545</v>
      </c>
      <c r="R22" s="87">
        <f>(J16*(1+F22*C13/0.047))/C7-((C24*0.5*K7+J9+F25)/C7+C11)*(1-C13*C8/(0.047*C9))+C8*(1+F19/C9)</f>
        <v>-2145.1309279781972</v>
      </c>
      <c r="S22" s="60">
        <f>-(J16*F22*F19)/C7-((C24*0.5*K7+J9+F25)/C7+C11)*(C8*(1+F19/C9))</f>
        <v>-4948428.7204533629</v>
      </c>
      <c r="T22" s="66"/>
      <c r="U22" s="66"/>
      <c r="V22" s="66"/>
      <c r="W22" s="66"/>
      <c r="X22" s="66"/>
      <c r="Y22" s="66"/>
      <c r="Z22" s="66"/>
      <c r="AA22" s="66"/>
      <c r="AB22" s="66"/>
    </row>
    <row r="23" spans="2:35" s="1" customFormat="1" ht="16.2" x14ac:dyDescent="0.35">
      <c r="B23" s="90" t="s">
        <v>183</v>
      </c>
      <c r="C23" s="11">
        <f>chi_rubisco</f>
        <v>0.52116484399363505</v>
      </c>
      <c r="E23" s="29"/>
      <c r="F23" s="29"/>
      <c r="H23" s="14" t="s">
        <v>37</v>
      </c>
      <c r="I23" s="29"/>
      <c r="J23" s="20">
        <f>J12-0.5*(J8-J7)+0.5*J7</f>
        <v>7.6122544275801396E-2</v>
      </c>
      <c r="K23" s="43">
        <f>K12+0.5*K7-0.5*(K8-K7)</f>
        <v>14.483025064891379</v>
      </c>
      <c r="L23" s="29"/>
      <c r="M23" s="14" t="s">
        <v>41</v>
      </c>
      <c r="N23" s="29"/>
      <c r="O23" s="19">
        <f>F28+J11</f>
        <v>0</v>
      </c>
      <c r="Q23" s="29"/>
      <c r="R23" s="29"/>
      <c r="S23" s="29"/>
      <c r="T23" s="66"/>
      <c r="U23" s="66"/>
      <c r="V23" s="66"/>
      <c r="W23" s="66"/>
      <c r="X23" s="66"/>
      <c r="Y23" s="66"/>
      <c r="Z23" s="66"/>
      <c r="AA23" s="66"/>
      <c r="AB23" s="66"/>
    </row>
    <row r="24" spans="2:35" s="1" customFormat="1" ht="15.6" x14ac:dyDescent="0.35">
      <c r="B24" s="92" t="s">
        <v>329</v>
      </c>
      <c r="C24" s="98">
        <f>csiGDC</f>
        <v>0</v>
      </c>
      <c r="E24" s="5" t="s">
        <v>29</v>
      </c>
      <c r="F24" s="6"/>
      <c r="H24" s="10" t="s">
        <v>17</v>
      </c>
      <c r="I24" s="18"/>
      <c r="J24" s="20">
        <f>K25-F28</f>
        <v>11.374436100120716</v>
      </c>
      <c r="K24" s="43">
        <f>IF(J22&gt;=J23,J23,J22)</f>
        <v>7.6122544275801396E-2</v>
      </c>
      <c r="L24" s="29"/>
      <c r="M24" s="14" t="s">
        <v>42</v>
      </c>
      <c r="N24" s="29"/>
      <c r="O24" s="19">
        <f>K25</f>
        <v>11.374436100120716</v>
      </c>
      <c r="Q24" s="29"/>
      <c r="R24" s="29"/>
      <c r="S24" s="29"/>
      <c r="T24" s="29"/>
    </row>
    <row r="25" spans="2:35" s="1" customFormat="1" ht="16.2" x14ac:dyDescent="0.35">
      <c r="B25" s="94" t="s">
        <v>169</v>
      </c>
      <c r="C25" s="95">
        <f>frlight</f>
        <v>0.4</v>
      </c>
      <c r="E25" s="14" t="s">
        <v>118</v>
      </c>
      <c r="F25" s="13">
        <f>K15*C19/(K15+C17)</f>
        <v>11.450558644396517</v>
      </c>
      <c r="H25" s="24" t="s">
        <v>62</v>
      </c>
      <c r="I25" s="29"/>
      <c r="J25" s="46">
        <f>K25</f>
        <v>11.374436100120716</v>
      </c>
      <c r="K25" s="19">
        <f>F25-K24</f>
        <v>11.374436100120716</v>
      </c>
      <c r="L25" s="29"/>
      <c r="M25" s="14" t="s">
        <v>45</v>
      </c>
      <c r="N25" s="29"/>
      <c r="O25" s="17">
        <f>K7-K8</f>
        <v>0</v>
      </c>
      <c r="P25" s="29"/>
      <c r="Q25" s="29"/>
      <c r="R25" s="29"/>
      <c r="S25" s="29"/>
      <c r="T25" s="29"/>
    </row>
    <row r="26" spans="2:35" s="1" customFormat="1" ht="14.4" x14ac:dyDescent="0.3">
      <c r="B26" s="44" t="s">
        <v>27</v>
      </c>
      <c r="C26" s="31"/>
      <c r="E26" s="10" t="s">
        <v>25</v>
      </c>
      <c r="F26" s="43">
        <f>2*F25/(3*F7+3.5*F8+2*F25)</f>
        <v>0.50737620844866427</v>
      </c>
      <c r="H26" s="10" t="s">
        <v>18</v>
      </c>
      <c r="I26" s="18"/>
      <c r="J26" s="20">
        <f>K24+J24</f>
        <v>11.450558644396517</v>
      </c>
      <c r="K26" s="43" t="s">
        <v>35</v>
      </c>
      <c r="L26" s="37"/>
      <c r="M26" s="14" t="s">
        <v>76</v>
      </c>
      <c r="N26" s="29"/>
      <c r="O26" s="17">
        <f>1/2*O25</f>
        <v>0</v>
      </c>
      <c r="P26" s="29"/>
      <c r="Q26" s="29"/>
      <c r="R26" s="29"/>
      <c r="S26" s="29"/>
      <c r="T26" s="29"/>
    </row>
    <row r="27" spans="2:35" s="1" customFormat="1" ht="16.2" x14ac:dyDescent="0.35">
      <c r="B27" s="94" t="s">
        <v>170</v>
      </c>
      <c r="C27" s="95">
        <f>fPR</f>
        <v>0</v>
      </c>
      <c r="E27" s="14" t="s">
        <v>72</v>
      </c>
      <c r="F27" s="17">
        <f>F25</f>
        <v>11.450558644396517</v>
      </c>
      <c r="H27" s="14" t="s">
        <v>38</v>
      </c>
      <c r="I27" s="29"/>
      <c r="J27" s="20">
        <f>-K24+J12-0.5*(J8-J7)+0.5*J7</f>
        <v>0</v>
      </c>
      <c r="K27" s="43">
        <f>K24+K12+0.5*K7-0.5*(K8-K7)</f>
        <v>14.55914760916718</v>
      </c>
      <c r="L27" s="37"/>
      <c r="M27" s="14" t="s">
        <v>43</v>
      </c>
      <c r="N27" s="29"/>
      <c r="O27" s="17">
        <f>O24+O26</f>
        <v>11.374436100120716</v>
      </c>
      <c r="P27" s="29"/>
      <c r="Q27" s="46"/>
      <c r="R27" s="37"/>
      <c r="S27" s="29"/>
      <c r="T27" s="29"/>
    </row>
    <row r="28" spans="2:35" s="1" customFormat="1" ht="16.2" x14ac:dyDescent="0.35">
      <c r="B28" s="94" t="s">
        <v>171</v>
      </c>
      <c r="C28" s="95">
        <f>fCS</f>
        <v>0</v>
      </c>
      <c r="E28" s="10" t="s">
        <v>12</v>
      </c>
      <c r="F28" s="17">
        <f>C18*F27</f>
        <v>0</v>
      </c>
      <c r="H28" s="14" t="s">
        <v>55</v>
      </c>
      <c r="I28" s="29"/>
      <c r="J28" s="46">
        <f>IF(K24&lt;J23,J23-K24,0)</f>
        <v>0</v>
      </c>
      <c r="K28" s="17">
        <f>K27</f>
        <v>14.55914760916718</v>
      </c>
      <c r="L28" s="37"/>
      <c r="M28" s="14" t="s">
        <v>44</v>
      </c>
      <c r="N28" s="29"/>
      <c r="O28" s="17">
        <f>J26-K25-O26-J11</f>
        <v>7.6122544275801118E-2</v>
      </c>
      <c r="P28" s="29"/>
      <c r="Q28" s="46"/>
      <c r="R28" s="37"/>
      <c r="S28" s="29"/>
      <c r="T28" s="29"/>
    </row>
    <row r="29" spans="2:35" s="1" customFormat="1" ht="16.2" x14ac:dyDescent="0.35">
      <c r="B29" s="96" t="s">
        <v>172</v>
      </c>
      <c r="C29" s="97">
        <f>fPPDK</f>
        <v>0</v>
      </c>
      <c r="E29" s="22" t="s">
        <v>77</v>
      </c>
      <c r="F29" s="25">
        <f>F25-F28</f>
        <v>11.450558644396517</v>
      </c>
      <c r="H29" s="26" t="s">
        <v>19</v>
      </c>
      <c r="I29" s="33"/>
      <c r="J29" s="32">
        <f>J12+J6+2*J7+2*J11+F28+0.5*J10+0.5*(J8-J7)</f>
        <v>5.2266160402328126</v>
      </c>
      <c r="K29" s="47">
        <f>2*K11++K6+2*K7+K10/2+K12+0.5*(K8-K7)</f>
        <v>40.900200184364195</v>
      </c>
      <c r="M29" s="26" t="s">
        <v>109</v>
      </c>
      <c r="N29" s="33"/>
      <c r="O29" s="74">
        <f>ABS(O19)+ABS(O20)+ABS(O21)+ABS(O22)+ABS(O23)+ABS(O24)+ABS(O25)+ABS(O26)+ABS(O27)+ABS(O28)</f>
        <v>48.065033875959969</v>
      </c>
      <c r="P29" s="29"/>
      <c r="Q29" s="29"/>
      <c r="R29" s="29"/>
      <c r="S29" s="29"/>
      <c r="T29" s="29"/>
    </row>
    <row r="30" spans="2:35" s="1" customFormat="1" x14ac:dyDescent="0.25">
      <c r="P30" s="29"/>
      <c r="Q30" s="29"/>
      <c r="R30" s="29"/>
      <c r="S30" s="29"/>
      <c r="T30" s="29"/>
    </row>
    <row r="31" spans="2:35" s="1" customFormat="1" x14ac:dyDescent="0.25">
      <c r="P31" s="29"/>
      <c r="Q31" s="29"/>
      <c r="R31" s="29"/>
      <c r="S31" s="29"/>
      <c r="T31" s="29"/>
    </row>
    <row r="32" spans="2:35" s="1" customFormat="1" x14ac:dyDescent="0.25">
      <c r="P32" s="29"/>
      <c r="Q32" s="29"/>
      <c r="R32" s="29"/>
      <c r="S32" s="29"/>
      <c r="T32" s="29"/>
    </row>
    <row r="33" spans="5:43" s="1" customFormat="1" x14ac:dyDescent="0.25">
      <c r="P33" s="29"/>
      <c r="Q33" s="29"/>
      <c r="R33" s="29"/>
      <c r="S33" s="29"/>
      <c r="T33" s="29"/>
    </row>
    <row r="34" spans="5:43" s="1" customFormat="1" x14ac:dyDescent="0.25">
      <c r="P34" s="29"/>
      <c r="Q34" s="29"/>
      <c r="R34" s="29"/>
      <c r="S34" s="29"/>
      <c r="T34" s="29"/>
    </row>
    <row r="35" spans="5:43" s="1" customFormat="1" x14ac:dyDescent="0.25">
      <c r="P35" s="29"/>
      <c r="Q35" s="29"/>
      <c r="R35" s="29"/>
      <c r="S35" s="29"/>
      <c r="T35" s="29"/>
    </row>
    <row r="36" spans="5:43" s="1" customFormat="1" x14ac:dyDescent="0.25">
      <c r="P36" s="29"/>
      <c r="Q36" s="29"/>
      <c r="R36" s="29"/>
      <c r="S36" s="29"/>
      <c r="T36" s="29"/>
    </row>
    <row r="37" spans="5:43" s="1" customFormat="1" x14ac:dyDescent="0.25">
      <c r="P37" s="29"/>
      <c r="Q37" s="29"/>
      <c r="R37" s="29"/>
      <c r="S37" s="29"/>
      <c r="T37" s="29"/>
    </row>
    <row r="38" spans="5:43" s="1" customFormat="1" x14ac:dyDescent="0.25">
      <c r="P38" s="29"/>
      <c r="Q38" s="29"/>
      <c r="R38" s="29"/>
      <c r="S38" s="29"/>
      <c r="T38" s="29"/>
    </row>
    <row r="39" spans="5:43" s="1" customFormat="1" x14ac:dyDescent="0.25">
      <c r="P39" s="29"/>
      <c r="Q39" s="30"/>
      <c r="R39" s="29"/>
      <c r="S39" s="29"/>
      <c r="T39" s="29"/>
    </row>
    <row r="40" spans="5:43" s="1" customFormat="1" x14ac:dyDescent="0.25">
      <c r="P40" s="29"/>
      <c r="Q40" s="29"/>
      <c r="R40" s="29"/>
      <c r="S40" s="29"/>
      <c r="T40" s="29"/>
      <c r="AE40" s="9"/>
    </row>
    <row r="41" spans="5:43" s="1" customFormat="1" x14ac:dyDescent="0.25">
      <c r="M41" s="29"/>
      <c r="P41" s="29"/>
      <c r="Q41" s="29"/>
      <c r="R41" s="29"/>
      <c r="S41" s="29"/>
      <c r="T41" s="29"/>
      <c r="AE41" s="9"/>
    </row>
    <row r="42" spans="5:43" s="1" customFormat="1" x14ac:dyDescent="0.25">
      <c r="M42" s="29"/>
      <c r="P42" s="29"/>
      <c r="Q42" s="29"/>
      <c r="R42" s="29"/>
      <c r="S42" s="29"/>
      <c r="T42" s="29"/>
      <c r="AE42" s="9"/>
      <c r="AQ42" s="1" t="s">
        <v>78</v>
      </c>
    </row>
    <row r="43" spans="5:43" s="1" customFormat="1" x14ac:dyDescent="0.25">
      <c r="E43" s="30"/>
      <c r="F43" s="20"/>
      <c r="P43" s="29"/>
      <c r="Q43" s="29"/>
      <c r="R43" s="29"/>
      <c r="S43" s="29"/>
      <c r="T43" s="29"/>
      <c r="AE43" s="9"/>
    </row>
    <row r="44" spans="5:43" s="1" customFormat="1" x14ac:dyDescent="0.25">
      <c r="E44" s="30"/>
      <c r="F44" s="20"/>
      <c r="O44" s="9"/>
      <c r="P44" s="29"/>
      <c r="Q44" s="29"/>
      <c r="R44" s="29"/>
      <c r="S44" s="29"/>
      <c r="T44" s="29"/>
      <c r="AE44" s="9"/>
    </row>
    <row r="45" spans="5:43" s="1" customFormat="1" x14ac:dyDescent="0.25"/>
    <row r="46" spans="5:43" s="1" customFormat="1" x14ac:dyDescent="0.25">
      <c r="O46" s="3"/>
      <c r="P46" s="3"/>
      <c r="Q46" s="3"/>
      <c r="R46" s="3"/>
    </row>
    <row r="47" spans="5:43" s="1" customFormat="1" x14ac:dyDescent="0.25">
      <c r="O47" s="3"/>
      <c r="P47" s="3"/>
      <c r="Q47" s="3"/>
      <c r="R47" s="3"/>
    </row>
    <row r="48" spans="5:43" s="3" customFormat="1" x14ac:dyDescent="0.25">
      <c r="N48" s="1"/>
    </row>
    <row r="49" spans="1:70" s="3" customFormat="1" x14ac:dyDescent="0.25"/>
    <row r="50" spans="1:70" s="3" customFormat="1" x14ac:dyDescent="0.25"/>
    <row r="51" spans="1:70" s="3" customFormat="1" x14ac:dyDescent="0.25"/>
    <row r="52" spans="1:70" s="3" customFormat="1" x14ac:dyDescent="0.25"/>
    <row r="53" spans="1:70" s="3" customFormat="1" x14ac:dyDescent="0.25"/>
    <row r="54" spans="1:70" s="3" customFormat="1" x14ac:dyDescent="0.25"/>
    <row r="55" spans="1:70" s="3" customFormat="1" x14ac:dyDescent="0.25"/>
    <row r="56" spans="1:70" s="3" customFormat="1" x14ac:dyDescent="0.25"/>
    <row r="57" spans="1:70" s="3" customFormat="1" x14ac:dyDescent="0.25"/>
    <row r="58" spans="1:70" s="3" customFormat="1" x14ac:dyDescent="0.25"/>
    <row r="59" spans="1:70" s="3" customFormat="1" x14ac:dyDescent="0.25"/>
    <row r="60" spans="1:70" s="30" customFormat="1" x14ac:dyDescent="0.25">
      <c r="A60" s="3"/>
      <c r="C60" s="3"/>
      <c r="I60" s="3"/>
      <c r="R60" s="3"/>
      <c r="S60" s="3"/>
      <c r="V60" s="3"/>
      <c r="AI60" s="3"/>
    </row>
    <row r="61" spans="1:70" s="1" customFormat="1" x14ac:dyDescent="0.25">
      <c r="J61" s="3"/>
      <c r="K61" s="3"/>
      <c r="L61" s="3"/>
      <c r="M61" s="3"/>
      <c r="O61" s="34"/>
      <c r="P61" s="34"/>
      <c r="Q61" s="34"/>
      <c r="R61" s="35"/>
      <c r="S61" s="35"/>
      <c r="T61" s="35"/>
      <c r="U61" s="36"/>
      <c r="V61" s="35"/>
      <c r="AC61" s="29"/>
      <c r="AD61" s="29"/>
      <c r="AE61" s="29"/>
      <c r="AK61" s="9"/>
      <c r="AL61" s="9"/>
      <c r="AM61" s="9"/>
      <c r="AN61" s="9"/>
      <c r="AP61" s="9"/>
      <c r="AQ61" s="9"/>
      <c r="AR61" s="9"/>
      <c r="AU61" s="9"/>
      <c r="AV61" s="9"/>
      <c r="AW61" s="9"/>
      <c r="AX61" s="9"/>
      <c r="AY61" s="29"/>
      <c r="AZ61" s="9"/>
      <c r="BA61" s="9"/>
      <c r="BB61" s="9"/>
      <c r="BC61" s="9"/>
      <c r="BD61" s="9"/>
      <c r="BE61" s="9"/>
      <c r="BF61" s="37"/>
      <c r="BG61" s="9"/>
      <c r="BH61" s="9"/>
      <c r="BI61" s="9"/>
      <c r="BJ61" s="9"/>
      <c r="BK61" s="9"/>
      <c r="BL61" s="29"/>
      <c r="BM61" s="37"/>
      <c r="BN61" s="37"/>
      <c r="BO61" s="29"/>
      <c r="BP61" s="29"/>
      <c r="BQ61" s="29"/>
      <c r="BR61" s="29"/>
    </row>
    <row r="62" spans="1:70" s="1" customFormat="1" x14ac:dyDescent="0.25">
      <c r="J62" s="3"/>
      <c r="K62" s="3"/>
      <c r="L62" s="3"/>
      <c r="M62" s="3"/>
      <c r="O62" s="34"/>
      <c r="P62" s="34"/>
      <c r="Q62" s="34"/>
      <c r="R62" s="35"/>
      <c r="S62" s="35"/>
      <c r="T62" s="35"/>
      <c r="U62" s="36"/>
      <c r="V62" s="35"/>
      <c r="AC62" s="29"/>
      <c r="AD62" s="29"/>
      <c r="AE62" s="29"/>
      <c r="AK62" s="9"/>
      <c r="AL62" s="9"/>
      <c r="AM62" s="9"/>
      <c r="AN62" s="9"/>
      <c r="AP62" s="9"/>
      <c r="AQ62" s="9"/>
      <c r="AR62" s="9"/>
      <c r="AU62" s="9"/>
      <c r="AV62" s="9"/>
      <c r="AW62" s="9"/>
      <c r="AX62" s="9"/>
      <c r="AY62" s="29"/>
      <c r="AZ62" s="9"/>
      <c r="BA62" s="9"/>
      <c r="BB62" s="9"/>
      <c r="BC62" s="9"/>
      <c r="BD62" s="9"/>
      <c r="BE62" s="9"/>
      <c r="BF62" s="37"/>
      <c r="BG62" s="9"/>
      <c r="BH62" s="9"/>
      <c r="BI62" s="9"/>
      <c r="BJ62" s="9"/>
      <c r="BK62" s="9"/>
      <c r="BL62" s="29"/>
      <c r="BM62" s="37"/>
      <c r="BN62" s="37"/>
      <c r="BO62" s="29"/>
      <c r="BP62" s="29"/>
      <c r="BQ62" s="29"/>
      <c r="BR62" s="29"/>
    </row>
    <row r="63" spans="1:70" s="1" customFormat="1" x14ac:dyDescent="0.25">
      <c r="E63" s="29"/>
      <c r="J63" s="3"/>
      <c r="K63" s="3"/>
      <c r="L63" s="3"/>
      <c r="M63" s="3"/>
      <c r="O63" s="34"/>
      <c r="P63" s="34"/>
      <c r="Q63" s="34"/>
      <c r="R63" s="35"/>
      <c r="S63" s="35"/>
      <c r="T63" s="35"/>
      <c r="U63" s="36"/>
      <c r="V63" s="35"/>
      <c r="AC63" s="29"/>
      <c r="AD63" s="29"/>
      <c r="AE63" s="29"/>
      <c r="AK63" s="9"/>
      <c r="AL63" s="9"/>
      <c r="AM63" s="9"/>
      <c r="AN63" s="9"/>
      <c r="AP63" s="9"/>
      <c r="AQ63" s="9"/>
      <c r="AR63" s="9"/>
      <c r="AU63" s="9"/>
      <c r="AV63" s="9"/>
      <c r="AW63" s="9"/>
      <c r="AX63" s="9"/>
      <c r="AY63" s="29"/>
      <c r="AZ63" s="9"/>
      <c r="BA63" s="9"/>
      <c r="BB63" s="9"/>
      <c r="BC63" s="9"/>
      <c r="BD63" s="9"/>
      <c r="BE63" s="9"/>
      <c r="BF63" s="37"/>
      <c r="BG63" s="9"/>
      <c r="BH63" s="9"/>
      <c r="BI63" s="9"/>
      <c r="BJ63" s="9"/>
      <c r="BK63" s="9"/>
      <c r="BL63" s="29"/>
      <c r="BM63" s="37"/>
      <c r="BN63" s="37"/>
      <c r="BO63" s="29"/>
      <c r="BP63" s="29"/>
      <c r="BQ63" s="29"/>
      <c r="BR63" s="29"/>
    </row>
    <row r="64" spans="1:70" s="1" customFormat="1" x14ac:dyDescent="0.25">
      <c r="J64" s="3"/>
      <c r="K64" s="3"/>
      <c r="L64" s="3"/>
      <c r="M64" s="3"/>
      <c r="O64" s="34"/>
      <c r="P64" s="34"/>
      <c r="Q64" s="34"/>
      <c r="R64" s="35"/>
      <c r="S64" s="35"/>
      <c r="T64" s="35"/>
      <c r="U64" s="36"/>
      <c r="V64" s="35"/>
      <c r="AC64" s="29"/>
      <c r="AD64" s="29"/>
      <c r="AE64" s="29"/>
      <c r="AK64" s="9"/>
      <c r="AL64" s="9"/>
      <c r="AM64" s="9"/>
      <c r="AN64" s="9"/>
      <c r="AP64" s="9"/>
      <c r="AQ64" s="9"/>
      <c r="AR64" s="9"/>
      <c r="AU64" s="9"/>
      <c r="AV64" s="9"/>
      <c r="AW64" s="9"/>
      <c r="AX64" s="9"/>
      <c r="AY64" s="29"/>
      <c r="AZ64" s="9"/>
      <c r="BA64" s="9"/>
      <c r="BB64" s="9"/>
      <c r="BC64" s="9"/>
      <c r="BD64" s="9"/>
      <c r="BE64" s="9"/>
      <c r="BF64" s="37"/>
      <c r="BG64" s="9"/>
      <c r="BH64" s="9"/>
      <c r="BI64" s="9"/>
      <c r="BJ64" s="9"/>
      <c r="BK64" s="9"/>
      <c r="BL64" s="29"/>
      <c r="BM64" s="37"/>
      <c r="BN64" s="37"/>
      <c r="BO64" s="29"/>
      <c r="BP64" s="29"/>
      <c r="BQ64" s="29"/>
      <c r="BR64" s="29"/>
    </row>
    <row r="65" spans="1:70" s="1" customFormat="1" x14ac:dyDescent="0.25">
      <c r="J65" s="3"/>
      <c r="K65" s="3"/>
      <c r="L65" s="3"/>
      <c r="M65" s="3"/>
      <c r="O65" s="34"/>
      <c r="P65" s="34"/>
      <c r="Q65" s="34"/>
      <c r="R65" s="35"/>
      <c r="S65" s="35"/>
      <c r="T65" s="35"/>
      <c r="U65" s="36"/>
      <c r="V65" s="35"/>
      <c r="AC65" s="29"/>
      <c r="AD65" s="29"/>
      <c r="AE65" s="29"/>
      <c r="AK65" s="9"/>
      <c r="AL65" s="9"/>
      <c r="AM65" s="9"/>
      <c r="AN65" s="9"/>
      <c r="AP65" s="9"/>
      <c r="AQ65" s="9"/>
      <c r="AR65" s="9"/>
      <c r="AU65" s="9"/>
      <c r="AV65" s="9"/>
      <c r="AW65" s="9"/>
      <c r="AX65" s="9"/>
      <c r="AY65" s="29"/>
      <c r="AZ65" s="9"/>
      <c r="BA65" s="9"/>
      <c r="BB65" s="9"/>
      <c r="BC65" s="9"/>
      <c r="BD65" s="9"/>
      <c r="BE65" s="9"/>
      <c r="BF65" s="37"/>
      <c r="BG65" s="9"/>
      <c r="BH65" s="9"/>
      <c r="BI65" s="9"/>
      <c r="BJ65" s="9"/>
      <c r="BK65" s="9"/>
      <c r="BL65" s="29"/>
      <c r="BM65" s="37"/>
      <c r="BN65" s="37"/>
      <c r="BO65" s="29"/>
      <c r="BP65" s="29"/>
      <c r="BQ65" s="29"/>
      <c r="BR65" s="29"/>
    </row>
    <row r="66" spans="1:70" s="1" customFormat="1" x14ac:dyDescent="0.25">
      <c r="J66" s="3"/>
      <c r="K66" s="3"/>
      <c r="L66" s="30"/>
      <c r="M66" s="3"/>
      <c r="O66" s="34"/>
      <c r="P66" s="34"/>
      <c r="Q66" s="34"/>
      <c r="R66" s="35"/>
      <c r="S66" s="35"/>
      <c r="T66" s="35"/>
      <c r="U66" s="36"/>
      <c r="V66" s="35"/>
      <c r="AC66" s="29"/>
      <c r="AD66" s="29"/>
      <c r="AE66" s="29"/>
      <c r="AK66" s="9"/>
      <c r="AL66" s="9"/>
      <c r="AM66" s="9"/>
      <c r="AN66" s="9"/>
      <c r="AP66" s="9"/>
      <c r="AQ66" s="9"/>
      <c r="AR66" s="9"/>
      <c r="AU66" s="9"/>
      <c r="AV66" s="9"/>
      <c r="AW66" s="9"/>
      <c r="AX66" s="9"/>
      <c r="AY66" s="29"/>
      <c r="AZ66" s="9"/>
      <c r="BA66" s="9"/>
      <c r="BB66" s="9"/>
      <c r="BC66" s="9"/>
      <c r="BD66" s="9"/>
      <c r="BE66" s="9"/>
      <c r="BF66" s="37"/>
      <c r="BG66" s="9"/>
      <c r="BH66" s="9"/>
      <c r="BI66" s="9"/>
      <c r="BJ66" s="9"/>
      <c r="BK66" s="9"/>
      <c r="BL66" s="29"/>
      <c r="BM66" s="37"/>
      <c r="BN66" s="37"/>
      <c r="BO66" s="29"/>
      <c r="BP66" s="29"/>
      <c r="BQ66" s="29"/>
      <c r="BR66" s="29"/>
    </row>
    <row r="67" spans="1:70" s="3" customFormat="1" x14ac:dyDescent="0.25">
      <c r="A67" s="1"/>
      <c r="B67" s="1"/>
      <c r="D67" s="1"/>
      <c r="N67" s="1"/>
      <c r="O67" s="34"/>
      <c r="P67" s="34"/>
      <c r="Q67" s="34"/>
      <c r="R67" s="35"/>
      <c r="S67" s="35"/>
      <c r="T67" s="35"/>
      <c r="U67" s="36"/>
      <c r="V67" s="35"/>
      <c r="W67" s="1"/>
      <c r="AC67" s="29"/>
      <c r="AD67" s="29"/>
      <c r="AE67" s="29"/>
      <c r="AK67" s="8"/>
      <c r="AL67" s="8"/>
      <c r="AM67" s="8"/>
      <c r="AN67" s="8"/>
      <c r="AP67" s="9"/>
      <c r="AQ67" s="8"/>
      <c r="AR67" s="8"/>
      <c r="AU67" s="9"/>
      <c r="AV67" s="9"/>
      <c r="AW67" s="8"/>
      <c r="AX67" s="8"/>
      <c r="AY67" s="30"/>
      <c r="AZ67" s="9"/>
      <c r="BA67" s="8"/>
      <c r="BB67" s="8"/>
      <c r="BC67" s="9"/>
      <c r="BD67" s="9"/>
      <c r="BE67" s="9"/>
      <c r="BF67" s="37"/>
      <c r="BG67" s="8"/>
      <c r="BH67" s="8"/>
      <c r="BI67" s="8"/>
      <c r="BJ67" s="9"/>
      <c r="BK67" s="8"/>
      <c r="BL67" s="30"/>
      <c r="BM67" s="37"/>
      <c r="BN67" s="37"/>
      <c r="BO67" s="30"/>
      <c r="BP67" s="30"/>
      <c r="BQ67" s="29"/>
      <c r="BR67" s="29"/>
    </row>
    <row r="68" spans="1:70" s="3" customFormat="1" x14ac:dyDescent="0.25">
      <c r="A68" s="1"/>
      <c r="B68" s="1"/>
      <c r="D68" s="1"/>
      <c r="N68" s="1"/>
      <c r="O68" s="34"/>
      <c r="P68" s="34"/>
      <c r="Q68" s="34"/>
      <c r="R68" s="35"/>
      <c r="S68" s="35"/>
      <c r="T68" s="35"/>
      <c r="U68" s="36"/>
      <c r="V68" s="35"/>
      <c r="W68" s="1"/>
      <c r="AC68" s="29"/>
      <c r="AD68" s="29"/>
      <c r="AE68" s="29"/>
      <c r="AK68" s="8"/>
      <c r="AL68" s="8"/>
      <c r="AM68" s="8"/>
      <c r="AN68" s="8"/>
      <c r="AP68" s="9"/>
      <c r="AQ68" s="8"/>
      <c r="AR68" s="8"/>
      <c r="AU68" s="9"/>
      <c r="AV68" s="9"/>
      <c r="AW68" s="8"/>
      <c r="AX68" s="8"/>
      <c r="AY68" s="30"/>
      <c r="AZ68" s="9"/>
      <c r="BA68" s="8"/>
      <c r="BB68" s="8"/>
      <c r="BC68" s="9"/>
      <c r="BD68" s="9"/>
      <c r="BE68" s="9"/>
      <c r="BF68" s="37"/>
      <c r="BG68" s="8"/>
      <c r="BH68" s="8"/>
      <c r="BI68" s="8"/>
      <c r="BJ68" s="9"/>
      <c r="BK68" s="8"/>
      <c r="BL68" s="30"/>
      <c r="BM68" s="37"/>
      <c r="BN68" s="37"/>
      <c r="BO68" s="30"/>
      <c r="BP68" s="30"/>
      <c r="BQ68" s="29"/>
      <c r="BR68" s="29"/>
    </row>
    <row r="69" spans="1:70" s="38" customFormat="1" x14ac:dyDescent="0.25">
      <c r="A69" s="1"/>
      <c r="B69" s="1"/>
      <c r="D69" s="1"/>
      <c r="J69" s="3"/>
      <c r="K69" s="3"/>
      <c r="L69" s="3"/>
      <c r="M69" s="3"/>
      <c r="N69" s="1"/>
      <c r="O69" s="34"/>
      <c r="P69" s="34"/>
      <c r="Q69" s="34"/>
      <c r="R69" s="35"/>
      <c r="S69" s="35"/>
      <c r="T69" s="35"/>
      <c r="U69" s="36"/>
      <c r="V69" s="35"/>
      <c r="W69" s="1"/>
      <c r="AC69" s="29"/>
      <c r="AD69" s="29"/>
      <c r="AE69" s="29"/>
      <c r="AK69" s="39"/>
      <c r="AL69" s="39"/>
      <c r="AM69" s="39"/>
      <c r="AN69" s="39"/>
      <c r="AP69" s="9"/>
      <c r="AQ69" s="39"/>
      <c r="AR69" s="39"/>
      <c r="AU69" s="9"/>
      <c r="AV69" s="9"/>
      <c r="AW69" s="39"/>
      <c r="AX69" s="39"/>
      <c r="AY69" s="40"/>
      <c r="AZ69" s="9"/>
      <c r="BA69" s="39"/>
      <c r="BB69" s="39"/>
      <c r="BC69" s="9"/>
      <c r="BD69" s="9"/>
      <c r="BE69" s="9"/>
      <c r="BF69" s="37"/>
      <c r="BG69" s="39"/>
      <c r="BH69" s="39"/>
      <c r="BI69" s="39"/>
      <c r="BJ69" s="9"/>
      <c r="BK69" s="39"/>
      <c r="BL69" s="40"/>
      <c r="BM69" s="37"/>
      <c r="BN69" s="37"/>
      <c r="BO69" s="40"/>
      <c r="BP69" s="40"/>
      <c r="BQ69" s="29"/>
      <c r="BR69" s="29"/>
    </row>
    <row r="70" spans="1:70" s="1" customFormat="1" x14ac:dyDescent="0.25">
      <c r="J70" s="3"/>
      <c r="K70" s="3"/>
      <c r="L70" s="3"/>
      <c r="M70" s="3"/>
      <c r="O70" s="34"/>
      <c r="P70" s="34"/>
      <c r="Q70" s="34"/>
      <c r="R70" s="35"/>
      <c r="S70" s="35"/>
      <c r="T70" s="35"/>
      <c r="U70" s="36"/>
      <c r="V70" s="35"/>
      <c r="AC70" s="29"/>
      <c r="AD70" s="29"/>
      <c r="AE70" s="29"/>
      <c r="AK70" s="9"/>
      <c r="AL70" s="9"/>
      <c r="AM70" s="9"/>
      <c r="AN70" s="9"/>
      <c r="AP70" s="9"/>
      <c r="AQ70" s="9"/>
      <c r="AR70" s="9"/>
      <c r="AU70" s="9"/>
      <c r="AV70" s="9"/>
      <c r="AW70" s="9"/>
      <c r="AX70" s="9"/>
      <c r="AY70" s="29"/>
      <c r="AZ70" s="9"/>
      <c r="BA70" s="9"/>
      <c r="BB70" s="9"/>
      <c r="BC70" s="9"/>
      <c r="BD70" s="9"/>
      <c r="BE70" s="9"/>
      <c r="BF70" s="37"/>
      <c r="BG70" s="9"/>
      <c r="BH70" s="9"/>
      <c r="BI70" s="9"/>
      <c r="BJ70" s="9"/>
      <c r="BK70" s="9"/>
      <c r="BL70" s="29"/>
      <c r="BM70" s="37"/>
      <c r="BN70" s="37"/>
      <c r="BO70" s="29"/>
      <c r="BP70" s="29"/>
      <c r="BQ70" s="29"/>
      <c r="BR70" s="29"/>
    </row>
    <row r="71" spans="1:70" s="1" customFormat="1" x14ac:dyDescent="0.25">
      <c r="J71" s="3"/>
      <c r="K71" s="3"/>
      <c r="L71" s="3"/>
      <c r="M71" s="3"/>
      <c r="O71" s="34"/>
      <c r="P71" s="34"/>
      <c r="Q71" s="34"/>
      <c r="R71" s="35"/>
      <c r="S71" s="35"/>
      <c r="T71" s="35"/>
      <c r="U71" s="36"/>
      <c r="V71" s="35"/>
      <c r="AC71" s="29"/>
      <c r="AD71" s="29"/>
      <c r="AE71" s="29"/>
      <c r="AK71" s="9"/>
      <c r="AL71" s="9"/>
      <c r="AM71" s="9"/>
      <c r="AN71" s="9"/>
      <c r="AP71" s="9"/>
      <c r="AQ71" s="9"/>
      <c r="AR71" s="9"/>
      <c r="AU71" s="9"/>
      <c r="AV71" s="9"/>
      <c r="AW71" s="9"/>
      <c r="AX71" s="9"/>
      <c r="AY71" s="29"/>
      <c r="AZ71" s="9"/>
      <c r="BA71" s="9"/>
      <c r="BB71" s="9"/>
      <c r="BC71" s="9"/>
      <c r="BD71" s="9"/>
      <c r="BE71" s="9"/>
      <c r="BF71" s="37"/>
      <c r="BG71" s="9"/>
      <c r="BH71" s="9"/>
      <c r="BI71" s="9"/>
      <c r="BJ71" s="9"/>
      <c r="BK71" s="9"/>
      <c r="BL71" s="29"/>
      <c r="BM71" s="37"/>
      <c r="BN71" s="37"/>
      <c r="BO71" s="29"/>
      <c r="BP71" s="29"/>
      <c r="BQ71" s="29"/>
      <c r="BR71" s="29"/>
    </row>
    <row r="72" spans="1:70" s="1" customFormat="1" x14ac:dyDescent="0.25">
      <c r="J72" s="3"/>
      <c r="K72" s="3"/>
      <c r="L72" s="3"/>
      <c r="M72" s="3"/>
    </row>
    <row r="73" spans="1:70" s="1" customFormat="1" x14ac:dyDescent="0.25">
      <c r="J73" s="3"/>
      <c r="K73" s="3"/>
      <c r="L73" s="3"/>
      <c r="M73" s="3"/>
    </row>
    <row r="74" spans="1:70" s="1" customFormat="1" x14ac:dyDescent="0.25">
      <c r="J74" s="3"/>
      <c r="K74" s="3"/>
      <c r="L74" s="3"/>
      <c r="M74" s="3"/>
    </row>
    <row r="75" spans="1:70" s="1" customFormat="1" x14ac:dyDescent="0.25">
      <c r="J75" s="3"/>
      <c r="K75" s="3"/>
      <c r="L75" s="3"/>
      <c r="M75" s="3"/>
    </row>
    <row r="76" spans="1:70" s="1" customFormat="1" x14ac:dyDescent="0.25">
      <c r="J76" s="3"/>
      <c r="K76" s="3"/>
      <c r="L76" s="3"/>
      <c r="M76" s="3"/>
    </row>
  </sheetData>
  <mergeCells count="2">
    <mergeCell ref="B2:C2"/>
    <mergeCell ref="E2:O2"/>
  </mergeCells>
  <conditionalFormatting sqref="W24:W34 W54:W55">
    <cfRule type="top10" dxfId="32" priority="8" bottom="1" rank="1"/>
  </conditionalFormatting>
  <conditionalFormatting sqref="Q27:Q28">
    <cfRule type="cellIs" dxfId="31" priority="6" operator="greaterThan">
      <formula>1.222</formula>
    </cfRule>
    <cfRule type="cellIs" dxfId="30" priority="7" operator="greaterThan">
      <formula>0</formula>
    </cfRule>
  </conditionalFormatting>
  <conditionalFormatting sqref="J23">
    <cfRule type="cellIs" dxfId="29" priority="5" operator="lessThan">
      <formula>0</formula>
    </cfRule>
  </conditionalFormatting>
  <conditionalFormatting sqref="J23:K24 J26:K27 J25 J29:K29">
    <cfRule type="cellIs" dxfId="28" priority="4" operator="lessThan">
      <formula>-0.0001</formula>
    </cfRule>
  </conditionalFormatting>
  <conditionalFormatting sqref="K25">
    <cfRule type="cellIs" dxfId="27" priority="3" operator="lessThan">
      <formula>0</formula>
    </cfRule>
  </conditionalFormatting>
  <conditionalFormatting sqref="J28">
    <cfRule type="cellIs" dxfId="26" priority="1" operator="lessThan">
      <formula>0</formula>
    </cfRule>
    <cfRule type="cellIs" dxfId="25" priority="2" operator="greaterThan">
      <formula>0</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3:U49"/>
  <sheetViews>
    <sheetView topLeftCell="A4" zoomScaleNormal="100" workbookViewId="0">
      <selection activeCell="B11" sqref="B11"/>
    </sheetView>
  </sheetViews>
  <sheetFormatPr defaultColWidth="9.109375" defaultRowHeight="13.8" x14ac:dyDescent="0.25"/>
  <cols>
    <col min="1" max="3" width="9.109375" style="108"/>
    <col min="4" max="4" width="11.109375" style="108" customWidth="1"/>
    <col min="5" max="6" width="9.109375" style="108"/>
    <col min="7" max="17" width="9.109375" style="108" customWidth="1"/>
    <col min="18" max="23" width="11" style="108" customWidth="1"/>
    <col min="24" max="16384" width="9.109375" style="108"/>
  </cols>
  <sheetData>
    <row r="3" spans="1:21" x14ac:dyDescent="0.25">
      <c r="P3" s="108" t="s">
        <v>198</v>
      </c>
      <c r="Q3" s="108" t="s">
        <v>199</v>
      </c>
      <c r="R3" s="108" t="s">
        <v>200</v>
      </c>
      <c r="S3" s="108" t="s">
        <v>265</v>
      </c>
      <c r="T3" s="108" t="s">
        <v>264</v>
      </c>
      <c r="U3" s="108" t="s">
        <v>266</v>
      </c>
    </row>
    <row r="5" spans="1:21" x14ac:dyDescent="0.25">
      <c r="A5" s="118" t="s">
        <v>0</v>
      </c>
      <c r="B5" s="118"/>
      <c r="C5" s="118"/>
      <c r="D5" s="118" t="s">
        <v>1</v>
      </c>
      <c r="G5" s="108" t="s">
        <v>190</v>
      </c>
      <c r="H5" s="108" t="s">
        <v>25</v>
      </c>
      <c r="I5" s="108" t="s">
        <v>191</v>
      </c>
      <c r="J5" s="108" t="s">
        <v>192</v>
      </c>
      <c r="K5" s="108" t="s">
        <v>193</v>
      </c>
      <c r="L5" s="108" t="s">
        <v>194</v>
      </c>
      <c r="M5" s="108" t="s">
        <v>195</v>
      </c>
      <c r="N5" s="108" t="s">
        <v>196</v>
      </c>
      <c r="O5" s="108" t="s">
        <v>197</v>
      </c>
      <c r="Q5" s="108">
        <f t="shared" ref="Q5:Q13" si="0">O7-O6</f>
        <v>-0.37574094060326146</v>
      </c>
      <c r="R5" s="108">
        <f t="shared" ref="R5:R24" si="1">P7/Q5</f>
        <v>-1.450000000000025</v>
      </c>
    </row>
    <row r="6" spans="1:21" x14ac:dyDescent="0.25">
      <c r="A6" s="118" t="s">
        <v>189</v>
      </c>
      <c r="B6" s="106">
        <v>1000</v>
      </c>
      <c r="G6" s="108">
        <v>0</v>
      </c>
      <c r="H6" s="108">
        <f t="shared" ref="H6:H26" si="2">G6/(1-G6+$B$7)</f>
        <v>0</v>
      </c>
      <c r="I6" s="108">
        <f t="shared" ref="I6:I26" si="3">(1/$B$7-H6)*$E$11</f>
        <v>400</v>
      </c>
      <c r="J6" s="108">
        <f t="shared" ref="J6:J26" si="4">(1+H6)*$E$12</f>
        <v>280</v>
      </c>
      <c r="K6" s="108">
        <f>I6+J6</f>
        <v>680</v>
      </c>
      <c r="L6" s="108">
        <f t="shared" ref="L6:L26" si="5">I6*$E$9</f>
        <v>30.9986275997692</v>
      </c>
      <c r="M6" s="108">
        <f>L6/(1-G6)</f>
        <v>30.9986275997692</v>
      </c>
      <c r="N6" s="108">
        <f>L6/$B$13+(1-$B$12)*L6/($B$13*(1-G6))+2*$B$12*L6/($B$13*(1-G6))+2*$B$15*G6*L6/($B$13*(1-G6))</f>
        <v>23.248970699826899</v>
      </c>
      <c r="O6" s="108">
        <f t="shared" ref="O6:O26" si="6">(1-G6-$B$11)*L6/(2*(1-G6))</f>
        <v>13.949382419896141</v>
      </c>
      <c r="Q6" s="108">
        <f t="shared" si="0"/>
        <v>-0.39922474939096908</v>
      </c>
      <c r="R6" s="108">
        <f t="shared" si="1"/>
        <v>-1.4499999999999758</v>
      </c>
      <c r="S6" s="108">
        <f t="shared" ref="S6:S26" si="7">M6*G6</f>
        <v>0</v>
      </c>
      <c r="T6" s="108" t="e">
        <f t="shared" ref="T6:T26" si="8">P7/S6</f>
        <v>#DIV/0!</v>
      </c>
      <c r="U6" s="108">
        <f>N6/K6</f>
        <v>3.4189662793863089E-2</v>
      </c>
    </row>
    <row r="7" spans="1:21" x14ac:dyDescent="0.25">
      <c r="A7" s="118" t="s">
        <v>201</v>
      </c>
      <c r="B7" s="106">
        <v>0.7</v>
      </c>
      <c r="D7" s="119" t="s">
        <v>209</v>
      </c>
      <c r="E7" s="119">
        <f>B7*B8</f>
        <v>0.27999999999999997</v>
      </c>
      <c r="G7" s="108">
        <v>0.05</v>
      </c>
      <c r="H7" s="108">
        <f t="shared" si="2"/>
        <v>3.0303030303030307E-2</v>
      </c>
      <c r="I7" s="108">
        <f t="shared" si="3"/>
        <v>391.51515151515156</v>
      </c>
      <c r="J7" s="108">
        <f t="shared" si="4"/>
        <v>288.4848484848485</v>
      </c>
      <c r="K7" s="108">
        <f t="shared" ref="K7:K25" si="9">I7+J7</f>
        <v>680</v>
      </c>
      <c r="L7" s="108">
        <f t="shared" si="5"/>
        <v>30.341080953713494</v>
      </c>
      <c r="M7" s="108">
        <f t="shared" ref="M7:M25" si="10">L7/(1-G7)</f>
        <v>31.937979951277363</v>
      </c>
      <c r="N7" s="108">
        <f t="shared" ref="N7:N26" si="11">L7/$B$13+(1-$B$12)*L7/($B$13*(1-G7))+2*$B$12*L7/($B$13*(1-G7))+2*$B$15*G7*L7/($B$13*(1-G7))</f>
        <v>23.793795063701637</v>
      </c>
      <c r="O7" s="108">
        <f t="shared" si="6"/>
        <v>13.573641479292879</v>
      </c>
      <c r="P7" s="108">
        <f t="shared" ref="P7:P26" si="12">N7-N6</f>
        <v>0.54482436387473854</v>
      </c>
      <c r="Q7" s="108">
        <f t="shared" si="0"/>
        <v>-0.42498118483554315</v>
      </c>
      <c r="R7" s="108">
        <f t="shared" si="1"/>
        <v>-1.4500000000000195</v>
      </c>
      <c r="S7" s="108">
        <f t="shared" si="7"/>
        <v>1.5968989975638683</v>
      </c>
      <c r="T7" s="108">
        <f t="shared" si="8"/>
        <v>0.36249999999999577</v>
      </c>
      <c r="U7" s="108">
        <f t="shared" ref="U7:U26" si="13">N7/K7</f>
        <v>3.4990875093678875E-2</v>
      </c>
    </row>
    <row r="8" spans="1:21" x14ac:dyDescent="0.25">
      <c r="A8" s="118" t="s">
        <v>202</v>
      </c>
      <c r="B8" s="106">
        <v>0.4</v>
      </c>
      <c r="D8" s="119" t="s">
        <v>210</v>
      </c>
      <c r="E8" s="119">
        <f>(($E$7*$B$6+$B$9-SQRT(($E$7*$B$6+$B$9)*($E$7*$B$6+$B$9)-(4*$B$10*$B$9*$E$7*$B$6)))/(2*$B$10))</f>
        <v>30.9986275997692</v>
      </c>
      <c r="G8" s="108">
        <v>0.1</v>
      </c>
      <c r="H8" s="108">
        <f t="shared" si="2"/>
        <v>6.25E-2</v>
      </c>
      <c r="I8" s="108">
        <f t="shared" si="3"/>
        <v>382.5</v>
      </c>
      <c r="J8" s="108">
        <f t="shared" si="4"/>
        <v>297.5</v>
      </c>
      <c r="K8" s="108">
        <f t="shared" si="9"/>
        <v>680</v>
      </c>
      <c r="L8" s="108">
        <f t="shared" si="5"/>
        <v>29.642437642279297</v>
      </c>
      <c r="M8" s="108">
        <f t="shared" si="10"/>
        <v>32.936041824754774</v>
      </c>
      <c r="N8" s="108">
        <f t="shared" si="11"/>
        <v>24.372670950318533</v>
      </c>
      <c r="O8" s="108">
        <f t="shared" si="6"/>
        <v>13.17441672990191</v>
      </c>
      <c r="P8" s="108">
        <f t="shared" si="12"/>
        <v>0.57887588661689549</v>
      </c>
      <c r="Q8" s="108">
        <f t="shared" si="0"/>
        <v>-0.45331326382458137</v>
      </c>
      <c r="R8" s="108">
        <f t="shared" si="1"/>
        <v>-1.4499999999999884</v>
      </c>
      <c r="S8" s="108">
        <f t="shared" si="7"/>
        <v>3.2936041824754776</v>
      </c>
      <c r="T8" s="108">
        <f t="shared" si="8"/>
        <v>0.18709677419354986</v>
      </c>
      <c r="U8" s="108">
        <f t="shared" si="13"/>
        <v>3.5842163162233133E-2</v>
      </c>
    </row>
    <row r="9" spans="1:21" x14ac:dyDescent="0.25">
      <c r="A9" s="118" t="s">
        <v>203</v>
      </c>
      <c r="B9" s="106">
        <f>Jsat_t</f>
        <v>32.542257506394193</v>
      </c>
      <c r="D9" s="119" t="s">
        <v>211</v>
      </c>
      <c r="E9" s="119">
        <f>E8/(B8*B6)</f>
        <v>7.7496568999423004E-2</v>
      </c>
      <c r="G9" s="108">
        <v>0.15</v>
      </c>
      <c r="H9" s="108">
        <f t="shared" si="2"/>
        <v>9.6774193548387108E-2</v>
      </c>
      <c r="I9" s="108">
        <f t="shared" si="3"/>
        <v>372.90322580645164</v>
      </c>
      <c r="J9" s="108">
        <f t="shared" si="4"/>
        <v>307.09677419354836</v>
      </c>
      <c r="K9" s="108">
        <f t="shared" si="9"/>
        <v>680</v>
      </c>
      <c r="L9" s="108">
        <f t="shared" si="5"/>
        <v>28.898720568817097</v>
      </c>
      <c r="M9" s="108">
        <f t="shared" si="10"/>
        <v>33.998494786843644</v>
      </c>
      <c r="N9" s="108">
        <f t="shared" si="11"/>
        <v>24.988893668330078</v>
      </c>
      <c r="O9" s="108">
        <f t="shared" si="6"/>
        <v>12.749435545066367</v>
      </c>
      <c r="P9" s="108">
        <f t="shared" si="12"/>
        <v>0.61622271801154582</v>
      </c>
      <c r="Q9" s="108">
        <f t="shared" si="0"/>
        <v>-0.48457624753662287</v>
      </c>
      <c r="R9" s="108">
        <f t="shared" si="1"/>
        <v>-1.4500000000000102</v>
      </c>
      <c r="S9" s="108">
        <f t="shared" si="7"/>
        <v>5.0997742180265462</v>
      </c>
      <c r="T9" s="108">
        <f t="shared" si="8"/>
        <v>0.12888888888888772</v>
      </c>
      <c r="U9" s="108">
        <f t="shared" si="13"/>
        <v>3.6748373041661883E-2</v>
      </c>
    </row>
    <row r="10" spans="1:21" x14ac:dyDescent="0.25">
      <c r="A10" s="118" t="s">
        <v>204</v>
      </c>
      <c r="B10" s="106">
        <v>0.6</v>
      </c>
      <c r="D10" s="119" t="s">
        <v>212</v>
      </c>
      <c r="E10" s="119">
        <f>B6*B8</f>
        <v>400</v>
      </c>
      <c r="G10" s="108">
        <v>0.2</v>
      </c>
      <c r="H10" s="108">
        <f t="shared" si="2"/>
        <v>0.13333333333333333</v>
      </c>
      <c r="I10" s="108">
        <f t="shared" si="3"/>
        <v>362.66666666666669</v>
      </c>
      <c r="J10" s="108">
        <f t="shared" si="4"/>
        <v>317.33333333333331</v>
      </c>
      <c r="K10" s="108">
        <f t="shared" si="9"/>
        <v>680</v>
      </c>
      <c r="L10" s="108">
        <f t="shared" si="5"/>
        <v>28.105422357124077</v>
      </c>
      <c r="M10" s="108">
        <f t="shared" si="10"/>
        <v>35.131777946405094</v>
      </c>
      <c r="N10" s="108">
        <f t="shared" si="11"/>
        <v>25.646197900875716</v>
      </c>
      <c r="O10" s="108">
        <f t="shared" si="6"/>
        <v>12.296122281241786</v>
      </c>
      <c r="P10" s="108">
        <f t="shared" si="12"/>
        <v>0.65730423254563775</v>
      </c>
      <c r="Q10" s="108">
        <f t="shared" si="0"/>
        <v>-0.51918883664638038</v>
      </c>
      <c r="R10" s="108">
        <f t="shared" si="1"/>
        <v>-1.4499999999999991</v>
      </c>
      <c r="S10" s="108">
        <f t="shared" si="7"/>
        <v>7.0263555892810192</v>
      </c>
      <c r="T10" s="108">
        <f t="shared" si="8"/>
        <v>0.10000000000000088</v>
      </c>
      <c r="U10" s="108">
        <f t="shared" si="13"/>
        <v>3.7714996913052523E-2</v>
      </c>
    </row>
    <row r="11" spans="1:21" x14ac:dyDescent="0.25">
      <c r="A11" s="118" t="s">
        <v>205</v>
      </c>
      <c r="B11" s="106">
        <v>0.1</v>
      </c>
      <c r="D11" s="119" t="s">
        <v>213</v>
      </c>
      <c r="E11" s="119">
        <f>E10*B7</f>
        <v>280</v>
      </c>
      <c r="G11" s="108">
        <v>0.25</v>
      </c>
      <c r="H11" s="108">
        <f t="shared" si="2"/>
        <v>0.17241379310344829</v>
      </c>
      <c r="I11" s="108">
        <f t="shared" si="3"/>
        <v>351.72413793103453</v>
      </c>
      <c r="J11" s="108">
        <f t="shared" si="4"/>
        <v>328.27586206896558</v>
      </c>
      <c r="K11" s="108">
        <f t="shared" si="9"/>
        <v>680.00000000000011</v>
      </c>
      <c r="L11" s="108">
        <f t="shared" si="5"/>
        <v>27.25741392393499</v>
      </c>
      <c r="M11" s="108">
        <f t="shared" si="10"/>
        <v>36.343218565246652</v>
      </c>
      <c r="N11" s="108">
        <f t="shared" si="11"/>
        <v>26.348833459803824</v>
      </c>
      <c r="O11" s="108">
        <f t="shared" si="6"/>
        <v>11.811546033705163</v>
      </c>
      <c r="P11" s="108">
        <f t="shared" si="12"/>
        <v>0.70263555892810814</v>
      </c>
      <c r="Q11" s="108">
        <f t="shared" si="0"/>
        <v>-0.55764726899056072</v>
      </c>
      <c r="R11" s="108">
        <f t="shared" si="1"/>
        <v>-1.4499999999999773</v>
      </c>
      <c r="S11" s="108">
        <f t="shared" si="7"/>
        <v>9.0858046413116629</v>
      </c>
      <c r="T11" s="108">
        <f t="shared" si="8"/>
        <v>8.2857142857142754E-2</v>
      </c>
      <c r="U11" s="108">
        <f t="shared" si="13"/>
        <v>3.8748284499711502E-2</v>
      </c>
    </row>
    <row r="12" spans="1:21" x14ac:dyDescent="0.25">
      <c r="A12" s="118" t="s">
        <v>206</v>
      </c>
      <c r="B12" s="106">
        <v>1</v>
      </c>
      <c r="D12" s="119" t="s">
        <v>214</v>
      </c>
      <c r="E12" s="119">
        <f>E11/B14</f>
        <v>280</v>
      </c>
      <c r="G12" s="108">
        <v>0.3</v>
      </c>
      <c r="H12" s="108">
        <f t="shared" si="2"/>
        <v>0.2142857142857143</v>
      </c>
      <c r="I12" s="108">
        <f t="shared" si="3"/>
        <v>340.00000000000006</v>
      </c>
      <c r="J12" s="108">
        <f t="shared" si="4"/>
        <v>340.00000000000006</v>
      </c>
      <c r="K12" s="108">
        <f t="shared" si="9"/>
        <v>680.00000000000011</v>
      </c>
      <c r="L12" s="108">
        <f t="shared" si="5"/>
        <v>26.348833459803824</v>
      </c>
      <c r="M12" s="108">
        <f t="shared" si="10"/>
        <v>37.641190656862605</v>
      </c>
      <c r="N12" s="108">
        <f t="shared" si="11"/>
        <v>27.101657272941075</v>
      </c>
      <c r="O12" s="108">
        <f t="shared" si="6"/>
        <v>11.292357197058783</v>
      </c>
      <c r="P12" s="108">
        <f t="shared" si="12"/>
        <v>0.75282381313725111</v>
      </c>
      <c r="Q12" s="108">
        <f t="shared" si="0"/>
        <v>-0.60054321275905842</v>
      </c>
      <c r="R12" s="108">
        <f t="shared" si="1"/>
        <v>-1.4500000000000188</v>
      </c>
      <c r="S12" s="108">
        <f t="shared" si="7"/>
        <v>11.292357197058781</v>
      </c>
      <c r="T12" s="108">
        <f t="shared" si="8"/>
        <v>7.1604938271604288E-2</v>
      </c>
      <c r="U12" s="108">
        <f t="shared" si="13"/>
        <v>3.9855378342560401E-2</v>
      </c>
    </row>
    <row r="13" spans="1:21" x14ac:dyDescent="0.25">
      <c r="A13" s="118" t="s">
        <v>99</v>
      </c>
      <c r="B13" s="106">
        <v>4</v>
      </c>
      <c r="D13" s="119" t="s">
        <v>258</v>
      </c>
      <c r="E13" s="119">
        <f>M6/J6</f>
        <v>0.11070938428489001</v>
      </c>
      <c r="G13" s="108">
        <v>0.35</v>
      </c>
      <c r="H13" s="108">
        <f t="shared" si="2"/>
        <v>0.25925925925925924</v>
      </c>
      <c r="I13" s="108">
        <f t="shared" si="3"/>
        <v>327.40740740740739</v>
      </c>
      <c r="J13" s="108">
        <f t="shared" si="4"/>
        <v>352.59259259259261</v>
      </c>
      <c r="K13" s="108">
        <f t="shared" si="9"/>
        <v>680</v>
      </c>
      <c r="L13" s="108">
        <f t="shared" si="5"/>
        <v>25.372950739070344</v>
      </c>
      <c r="M13" s="108">
        <f t="shared" si="10"/>
        <v>39.035308829338987</v>
      </c>
      <c r="N13" s="108">
        <f t="shared" si="11"/>
        <v>27.910245812977376</v>
      </c>
      <c r="O13" s="108">
        <f t="shared" si="6"/>
        <v>10.734709928068222</v>
      </c>
      <c r="P13" s="108">
        <f t="shared" si="12"/>
        <v>0.80858854003630043</v>
      </c>
      <c r="Q13" s="108">
        <f t="shared" si="0"/>
        <v>-0.64858666977978707</v>
      </c>
      <c r="R13" s="108">
        <f t="shared" si="1"/>
        <v>-1.4499999999999897</v>
      </c>
      <c r="S13" s="108">
        <f t="shared" si="7"/>
        <v>13.662358090268645</v>
      </c>
      <c r="T13" s="108">
        <f t="shared" si="8"/>
        <v>6.3736263736264259E-2</v>
      </c>
      <c r="U13" s="108">
        <f t="shared" si="13"/>
        <v>4.1044479136731433E-2</v>
      </c>
    </row>
    <row r="14" spans="1:21" x14ac:dyDescent="0.25">
      <c r="A14" s="118" t="s">
        <v>207</v>
      </c>
      <c r="B14" s="106">
        <v>1</v>
      </c>
      <c r="D14" s="119" t="s">
        <v>200</v>
      </c>
      <c r="E14" s="119">
        <f>P7/Q5</f>
        <v>-1.450000000000025</v>
      </c>
      <c r="G14" s="108">
        <v>0.4</v>
      </c>
      <c r="H14" s="108">
        <f t="shared" si="2"/>
        <v>0.30769230769230776</v>
      </c>
      <c r="I14" s="108">
        <f t="shared" si="3"/>
        <v>313.84615384615387</v>
      </c>
      <c r="J14" s="108">
        <f t="shared" si="4"/>
        <v>366.15384615384613</v>
      </c>
      <c r="K14" s="108">
        <f t="shared" si="9"/>
        <v>680</v>
      </c>
      <c r="L14" s="108">
        <f t="shared" si="5"/>
        <v>24.322000116741989</v>
      </c>
      <c r="M14" s="108">
        <f t="shared" si="10"/>
        <v>40.536666861236654</v>
      </c>
      <c r="N14" s="108">
        <f t="shared" si="11"/>
        <v>28.781033471478022</v>
      </c>
      <c r="O14" s="108">
        <f t="shared" si="6"/>
        <v>10.134166715309163</v>
      </c>
      <c r="P14" s="108">
        <f t="shared" si="12"/>
        <v>0.87078765850064599</v>
      </c>
      <c r="Q14" s="108">
        <f t="shared" ref="Q14:Q24" si="14">O16-O15</f>
        <v>-0.70263555892810281</v>
      </c>
      <c r="R14" s="108">
        <f t="shared" si="1"/>
        <v>-1.4500000000000028</v>
      </c>
      <c r="S14" s="108">
        <f t="shared" si="7"/>
        <v>16.214666744494661</v>
      </c>
      <c r="T14" s="108">
        <f t="shared" si="8"/>
        <v>5.7999999999999649E-2</v>
      </c>
      <c r="U14" s="108">
        <f t="shared" si="13"/>
        <v>4.2325049222761799E-2</v>
      </c>
    </row>
    <row r="15" spans="1:21" x14ac:dyDescent="0.25">
      <c r="A15" s="118" t="s">
        <v>208</v>
      </c>
      <c r="B15" s="106">
        <v>0.3</v>
      </c>
      <c r="D15" s="119"/>
      <c r="E15" s="119"/>
      <c r="G15" s="108">
        <v>0.45</v>
      </c>
      <c r="H15" s="108">
        <f t="shared" si="2"/>
        <v>0.36</v>
      </c>
      <c r="I15" s="108">
        <f t="shared" si="3"/>
        <v>299.2</v>
      </c>
      <c r="J15" s="108">
        <f t="shared" si="4"/>
        <v>380.79999999999995</v>
      </c>
      <c r="K15" s="108">
        <f t="shared" si="9"/>
        <v>680</v>
      </c>
      <c r="L15" s="108">
        <f t="shared" si="5"/>
        <v>23.186973444627363</v>
      </c>
      <c r="M15" s="108">
        <f t="shared" si="10"/>
        <v>42.158133535686112</v>
      </c>
      <c r="N15" s="108">
        <f t="shared" si="11"/>
        <v>29.721484142658706</v>
      </c>
      <c r="O15" s="108">
        <f t="shared" si="6"/>
        <v>9.4855800455293764</v>
      </c>
      <c r="P15" s="108">
        <f t="shared" si="12"/>
        <v>0.94045067118068459</v>
      </c>
      <c r="Q15" s="108">
        <f t="shared" si="14"/>
        <v>-0.76373430318271929</v>
      </c>
      <c r="R15" s="108">
        <f t="shared" si="1"/>
        <v>-1.4500000000000035</v>
      </c>
      <c r="S15" s="108">
        <f t="shared" si="7"/>
        <v>18.971160091058749</v>
      </c>
      <c r="T15" s="108">
        <f t="shared" si="8"/>
        <v>5.3703703703703885E-2</v>
      </c>
      <c r="U15" s="108">
        <f t="shared" si="13"/>
        <v>4.3708064915674569E-2</v>
      </c>
    </row>
    <row r="16" spans="1:21" x14ac:dyDescent="0.25">
      <c r="D16" s="119"/>
      <c r="E16" s="119"/>
      <c r="G16" s="108">
        <v>0.5</v>
      </c>
      <c r="H16" s="108">
        <f t="shared" si="2"/>
        <v>0.41666666666666669</v>
      </c>
      <c r="I16" s="108">
        <f t="shared" si="3"/>
        <v>283.33333333333331</v>
      </c>
      <c r="J16" s="108">
        <f t="shared" si="4"/>
        <v>396.66666666666669</v>
      </c>
      <c r="K16" s="108">
        <f t="shared" si="9"/>
        <v>680</v>
      </c>
      <c r="L16" s="108">
        <f t="shared" si="5"/>
        <v>21.957361216503184</v>
      </c>
      <c r="M16" s="108">
        <f t="shared" si="10"/>
        <v>43.914722433006368</v>
      </c>
      <c r="N16" s="108">
        <f t="shared" si="11"/>
        <v>30.740305703104458</v>
      </c>
      <c r="O16" s="108">
        <f t="shared" si="6"/>
        <v>8.7829444866012736</v>
      </c>
      <c r="P16" s="108">
        <f t="shared" si="12"/>
        <v>1.0188215604457511</v>
      </c>
      <c r="Q16" s="108">
        <f t="shared" si="14"/>
        <v>-0.83316469438114726</v>
      </c>
      <c r="R16" s="108">
        <f t="shared" si="1"/>
        <v>-1.4499999999999971</v>
      </c>
      <c r="S16" s="108">
        <f t="shared" si="7"/>
        <v>21.957361216503184</v>
      </c>
      <c r="T16" s="108">
        <f t="shared" si="8"/>
        <v>5.0434782608695765E-2</v>
      </c>
      <c r="U16" s="108">
        <f t="shared" si="13"/>
        <v>4.5206331916330084E-2</v>
      </c>
    </row>
    <row r="17" spans="4:21" x14ac:dyDescent="0.25">
      <c r="D17" s="120" t="s">
        <v>190</v>
      </c>
      <c r="E17" s="120">
        <f>fcyc</f>
        <v>0.27</v>
      </c>
      <c r="G17" s="108">
        <v>0.55000000000000004</v>
      </c>
      <c r="H17" s="108">
        <f t="shared" si="2"/>
        <v>0.47826086956521746</v>
      </c>
      <c r="I17" s="108">
        <f t="shared" si="3"/>
        <v>266.08695652173913</v>
      </c>
      <c r="J17" s="108">
        <f t="shared" si="4"/>
        <v>413.91304347826093</v>
      </c>
      <c r="K17" s="108">
        <f t="shared" si="9"/>
        <v>680</v>
      </c>
      <c r="L17" s="108">
        <f t="shared" si="5"/>
        <v>20.620826185933424</v>
      </c>
      <c r="M17" s="108">
        <f t="shared" si="10"/>
        <v>45.824058190963171</v>
      </c>
      <c r="N17" s="108">
        <f t="shared" si="11"/>
        <v>31.847720442719403</v>
      </c>
      <c r="O17" s="108">
        <f t="shared" si="6"/>
        <v>8.0192101834185543</v>
      </c>
      <c r="P17" s="108">
        <f t="shared" si="12"/>
        <v>1.1074147396149456</v>
      </c>
      <c r="Q17" s="108">
        <f t="shared" si="14"/>
        <v>-0.91251371289364247</v>
      </c>
      <c r="R17" s="108">
        <f t="shared" si="1"/>
        <v>-1.4499999999999931</v>
      </c>
      <c r="S17" s="108">
        <f t="shared" si="7"/>
        <v>25.203232005029747</v>
      </c>
      <c r="T17" s="108">
        <f t="shared" si="8"/>
        <v>4.793388429752049E-2</v>
      </c>
      <c r="U17" s="108">
        <f t="shared" si="13"/>
        <v>4.6834883003999121E-2</v>
      </c>
    </row>
    <row r="18" spans="4:21" x14ac:dyDescent="0.25">
      <c r="D18" s="119" t="s">
        <v>25</v>
      </c>
      <c r="E18" s="119">
        <f>E17/(1-E17+$B$7)</f>
        <v>0.18881118881118883</v>
      </c>
      <c r="G18" s="108">
        <v>0.6</v>
      </c>
      <c r="H18" s="108">
        <f t="shared" si="2"/>
        <v>0.54545454545454541</v>
      </c>
      <c r="I18" s="108">
        <f t="shared" si="3"/>
        <v>247.27272727272728</v>
      </c>
      <c r="J18" s="108">
        <f t="shared" si="4"/>
        <v>432.72727272727269</v>
      </c>
      <c r="K18" s="108">
        <f t="shared" si="9"/>
        <v>680</v>
      </c>
      <c r="L18" s="108">
        <f t="shared" si="5"/>
        <v>19.162787970766416</v>
      </c>
      <c r="M18" s="108">
        <f t="shared" si="10"/>
        <v>47.906969926916041</v>
      </c>
      <c r="N18" s="108">
        <f t="shared" si="11"/>
        <v>33.055809249572064</v>
      </c>
      <c r="O18" s="108">
        <f t="shared" si="6"/>
        <v>7.186045489037407</v>
      </c>
      <c r="P18" s="108">
        <f t="shared" si="12"/>
        <v>1.2080888068526612</v>
      </c>
      <c r="Q18" s="108">
        <f t="shared" si="14"/>
        <v>-1.0037650841829997</v>
      </c>
      <c r="R18" s="108">
        <f t="shared" si="1"/>
        <v>-1.4500000000000062</v>
      </c>
      <c r="S18" s="108">
        <f t="shared" si="7"/>
        <v>28.744181956149625</v>
      </c>
      <c r="T18" s="108">
        <f t="shared" si="8"/>
        <v>4.6031746031745993E-2</v>
      </c>
      <c r="U18" s="108">
        <f t="shared" si="13"/>
        <v>4.8611484190547151E-2</v>
      </c>
    </row>
    <row r="19" spans="4:21" x14ac:dyDescent="0.25">
      <c r="D19" s="119" t="s">
        <v>191</v>
      </c>
      <c r="E19" s="119">
        <f>(1/$B$7-E18)*$E$11</f>
        <v>347.13286713286715</v>
      </c>
      <c r="G19" s="108">
        <v>0.65</v>
      </c>
      <c r="H19" s="108">
        <f t="shared" si="2"/>
        <v>0.61904761904761918</v>
      </c>
      <c r="I19" s="108">
        <f t="shared" si="3"/>
        <v>226.66666666666663</v>
      </c>
      <c r="J19" s="108">
        <f t="shared" si="4"/>
        <v>453.33333333333331</v>
      </c>
      <c r="K19" s="108">
        <f t="shared" si="9"/>
        <v>680</v>
      </c>
      <c r="L19" s="108">
        <f t="shared" si="5"/>
        <v>17.565888973202544</v>
      </c>
      <c r="M19" s="108">
        <f t="shared" si="10"/>
        <v>50.188254209150131</v>
      </c>
      <c r="N19" s="108">
        <f t="shared" si="11"/>
        <v>34.37895413326784</v>
      </c>
      <c r="O19" s="108">
        <f t="shared" si="6"/>
        <v>6.2735317761437646</v>
      </c>
      <c r="P19" s="108">
        <f t="shared" si="12"/>
        <v>1.3231448836957753</v>
      </c>
      <c r="Q19" s="108">
        <f t="shared" si="14"/>
        <v>-1.1094245667285829</v>
      </c>
      <c r="R19" s="108">
        <f t="shared" si="1"/>
        <v>-1.4499999999999988</v>
      </c>
      <c r="S19" s="108">
        <f t="shared" si="7"/>
        <v>32.622365235947584</v>
      </c>
      <c r="T19" s="108">
        <f t="shared" si="8"/>
        <v>4.4615384615384675E-2</v>
      </c>
      <c r="U19" s="108">
        <f t="shared" si="13"/>
        <v>5.0557285490099767E-2</v>
      </c>
    </row>
    <row r="20" spans="4:21" x14ac:dyDescent="0.25">
      <c r="D20" s="119" t="s">
        <v>192</v>
      </c>
      <c r="E20" s="119">
        <f>(1+E18)*$E$12</f>
        <v>332.86713286713285</v>
      </c>
      <c r="G20" s="108">
        <v>0.7</v>
      </c>
      <c r="H20" s="108">
        <f t="shared" si="2"/>
        <v>0.7</v>
      </c>
      <c r="I20" s="108">
        <f t="shared" si="3"/>
        <v>204.00000000000003</v>
      </c>
      <c r="J20" s="108">
        <f t="shared" si="4"/>
        <v>476</v>
      </c>
      <c r="K20" s="108">
        <f t="shared" si="9"/>
        <v>680</v>
      </c>
      <c r="L20" s="108">
        <f t="shared" si="5"/>
        <v>15.809300075882295</v>
      </c>
      <c r="M20" s="108">
        <f t="shared" si="10"/>
        <v>52.697666919607641</v>
      </c>
      <c r="N20" s="108">
        <f t="shared" si="11"/>
        <v>35.834413505333195</v>
      </c>
      <c r="O20" s="108">
        <f t="shared" si="6"/>
        <v>5.2697666919607649</v>
      </c>
      <c r="P20" s="108">
        <f t="shared" si="12"/>
        <v>1.4554593720653557</v>
      </c>
      <c r="Q20" s="108">
        <f t="shared" si="14"/>
        <v>-1.2326939630317582</v>
      </c>
      <c r="R20" s="108">
        <f t="shared" si="1"/>
        <v>-1.4500000000000028</v>
      </c>
      <c r="S20" s="108">
        <f t="shared" si="7"/>
        <v>36.888366843725343</v>
      </c>
      <c r="T20" s="108">
        <f t="shared" si="8"/>
        <v>4.3609022556390986E-2</v>
      </c>
      <c r="U20" s="108">
        <f t="shared" si="13"/>
        <v>5.2697666919607637E-2</v>
      </c>
    </row>
    <row r="21" spans="4:21" x14ac:dyDescent="0.25">
      <c r="D21" s="119" t="s">
        <v>193</v>
      </c>
      <c r="E21" s="119">
        <f>E19+E20</f>
        <v>680</v>
      </c>
      <c r="G21" s="108">
        <v>0.75</v>
      </c>
      <c r="H21" s="108">
        <f t="shared" si="2"/>
        <v>0.78947368421052633</v>
      </c>
      <c r="I21" s="108">
        <f t="shared" si="3"/>
        <v>178.94736842105263</v>
      </c>
      <c r="J21" s="108">
        <f t="shared" si="4"/>
        <v>501.0526315789474</v>
      </c>
      <c r="K21" s="108">
        <f t="shared" si="9"/>
        <v>680</v>
      </c>
      <c r="L21" s="108">
        <f t="shared" si="5"/>
        <v>13.867807084107275</v>
      </c>
      <c r="M21" s="108">
        <f t="shared" si="10"/>
        <v>55.4712283364291</v>
      </c>
      <c r="N21" s="108">
        <f t="shared" si="11"/>
        <v>37.443079127089639</v>
      </c>
      <c r="O21" s="108">
        <f t="shared" si="6"/>
        <v>4.1603421252321819</v>
      </c>
      <c r="P21" s="108">
        <f t="shared" si="12"/>
        <v>1.6086656217564439</v>
      </c>
      <c r="Q21" s="108">
        <f t="shared" si="14"/>
        <v>-1.3777167822119634</v>
      </c>
      <c r="R21" s="108">
        <f t="shared" si="1"/>
        <v>-1.4499999999999977</v>
      </c>
      <c r="S21" s="108">
        <f t="shared" si="7"/>
        <v>41.603421252321823</v>
      </c>
      <c r="T21" s="108">
        <f t="shared" si="8"/>
        <v>4.2962962962963057E-2</v>
      </c>
      <c r="U21" s="108">
        <f t="shared" si="13"/>
        <v>5.5063351657484765E-2</v>
      </c>
    </row>
    <row r="22" spans="4:21" x14ac:dyDescent="0.25">
      <c r="D22" s="119" t="s">
        <v>194</v>
      </c>
      <c r="E22" s="119">
        <f>E19*$E$9</f>
        <v>26.901606189729776</v>
      </c>
      <c r="G22" s="108">
        <v>0.8</v>
      </c>
      <c r="H22" s="108">
        <f t="shared" si="2"/>
        <v>0.88888888888888906</v>
      </c>
      <c r="I22" s="108">
        <f t="shared" si="3"/>
        <v>151.11111111111109</v>
      </c>
      <c r="J22" s="108">
        <f t="shared" si="4"/>
        <v>528.88888888888891</v>
      </c>
      <c r="K22" s="108">
        <f t="shared" si="9"/>
        <v>680</v>
      </c>
      <c r="L22" s="108">
        <f t="shared" si="5"/>
        <v>11.710592648801697</v>
      </c>
      <c r="M22" s="108">
        <f t="shared" si="10"/>
        <v>58.552963244008495</v>
      </c>
      <c r="N22" s="108">
        <f t="shared" si="11"/>
        <v>39.230485373485692</v>
      </c>
      <c r="O22" s="108">
        <f t="shared" si="6"/>
        <v>2.9276481622004238</v>
      </c>
      <c r="P22" s="108">
        <f t="shared" si="12"/>
        <v>1.7874062463960527</v>
      </c>
      <c r="Q22" s="108">
        <f t="shared" si="14"/>
        <v>-1.5499313799884613</v>
      </c>
      <c r="R22" s="108">
        <f t="shared" si="1"/>
        <v>-1.4499999999999857</v>
      </c>
      <c r="S22" s="108">
        <f t="shared" si="7"/>
        <v>46.842370595206802</v>
      </c>
      <c r="T22" s="108">
        <f t="shared" si="8"/>
        <v>4.2647058823529302E-2</v>
      </c>
      <c r="U22" s="108">
        <f t="shared" si="13"/>
        <v>5.769189025512602E-2</v>
      </c>
    </row>
    <row r="23" spans="4:21" x14ac:dyDescent="0.25">
      <c r="D23" s="119" t="s">
        <v>195</v>
      </c>
      <c r="E23" s="119">
        <f>E22/(1-E17)</f>
        <v>36.851515328396957</v>
      </c>
      <c r="G23" s="108">
        <v>0.85</v>
      </c>
      <c r="H23" s="108">
        <f t="shared" si="2"/>
        <v>1</v>
      </c>
      <c r="I23" s="108">
        <f t="shared" si="3"/>
        <v>120.00000000000001</v>
      </c>
      <c r="J23" s="108">
        <f t="shared" si="4"/>
        <v>560</v>
      </c>
      <c r="K23" s="108">
        <f t="shared" si="9"/>
        <v>680</v>
      </c>
      <c r="L23" s="108">
        <f t="shared" si="5"/>
        <v>9.2995882799307612</v>
      </c>
      <c r="M23" s="108">
        <f t="shared" si="10"/>
        <v>61.997255199538401</v>
      </c>
      <c r="N23" s="108">
        <f t="shared" si="11"/>
        <v>41.228174707693036</v>
      </c>
      <c r="O23" s="108">
        <f t="shared" si="6"/>
        <v>1.5499313799884604</v>
      </c>
      <c r="P23" s="108">
        <f t="shared" si="12"/>
        <v>1.9976893342073438</v>
      </c>
      <c r="Q23" s="108">
        <f t="shared" si="14"/>
        <v>-1.7565888973202517</v>
      </c>
      <c r="R23" s="108">
        <f t="shared" si="1"/>
        <v>-1.4500000000000053</v>
      </c>
      <c r="S23" s="108">
        <f t="shared" si="7"/>
        <v>52.697666919607641</v>
      </c>
      <c r="T23" s="108">
        <f t="shared" si="8"/>
        <v>4.2647058823529024E-2</v>
      </c>
      <c r="U23" s="108">
        <f t="shared" si="13"/>
        <v>6.0629668687783876E-2</v>
      </c>
    </row>
    <row r="24" spans="4:21" x14ac:dyDescent="0.25">
      <c r="D24" s="119" t="s">
        <v>196</v>
      </c>
      <c r="E24" s="119">
        <f>E22/$B$13+2*$B$12*E22/($B$13*(1-E17))+2*$B$15*E17*E22/($B$13*(1-E17))+(1-$B$12)*E22/($B$13*(1-E17))</f>
        <v>26.643645582430999</v>
      </c>
      <c r="G24" s="108">
        <v>0.9</v>
      </c>
      <c r="H24" s="108">
        <f t="shared" si="2"/>
        <v>1.1250000000000002</v>
      </c>
      <c r="I24" s="108">
        <f t="shared" si="3"/>
        <v>84.999999999999943</v>
      </c>
      <c r="J24" s="108">
        <f t="shared" si="4"/>
        <v>595</v>
      </c>
      <c r="K24" s="108">
        <f t="shared" si="9"/>
        <v>680</v>
      </c>
      <c r="L24" s="108">
        <f t="shared" si="5"/>
        <v>6.5872083649509507</v>
      </c>
      <c r="M24" s="108">
        <f t="shared" si="10"/>
        <v>65.87208364950952</v>
      </c>
      <c r="N24" s="108">
        <f t="shared" si="11"/>
        <v>43.475575208676283</v>
      </c>
      <c r="O24" s="108">
        <f t="shared" si="6"/>
        <v>-9.1415879934649724E-16</v>
      </c>
      <c r="P24" s="108">
        <f t="shared" si="12"/>
        <v>2.2474005009832467</v>
      </c>
      <c r="Q24" s="108">
        <f t="shared" si="14"/>
        <v>-2.0075297245982711</v>
      </c>
      <c r="R24" s="108">
        <f t="shared" si="1"/>
        <v>-1.4499999218540927</v>
      </c>
      <c r="S24" s="108">
        <f t="shared" si="7"/>
        <v>59.284875284558566</v>
      </c>
      <c r="T24" s="108">
        <f t="shared" si="8"/>
        <v>4.2962962962963071E-2</v>
      </c>
      <c r="U24" s="108">
        <f t="shared" si="13"/>
        <v>6.3934669424523943E-2</v>
      </c>
    </row>
    <row r="25" spans="4:21" x14ac:dyDescent="0.25">
      <c r="D25" s="119" t="s">
        <v>197</v>
      </c>
      <c r="E25" s="119">
        <f>(1-E17-$B$11)*E22/(2*(1-E17))</f>
        <v>11.608227328445041</v>
      </c>
      <c r="G25" s="108">
        <v>0.95</v>
      </c>
      <c r="H25" s="108">
        <f t="shared" si="2"/>
        <v>1.2666666666666666</v>
      </c>
      <c r="I25" s="108">
        <f t="shared" si="3"/>
        <v>45.333333333333357</v>
      </c>
      <c r="J25" s="108">
        <f t="shared" si="4"/>
        <v>634.66666666666663</v>
      </c>
      <c r="K25" s="108">
        <f t="shared" si="9"/>
        <v>680</v>
      </c>
      <c r="L25" s="108">
        <f t="shared" si="5"/>
        <v>3.5131777946405114</v>
      </c>
      <c r="M25" s="108">
        <f t="shared" si="10"/>
        <v>70.26355589281016</v>
      </c>
      <c r="N25" s="108">
        <f t="shared" si="11"/>
        <v>46.022629109790657</v>
      </c>
      <c r="O25" s="108">
        <f t="shared" si="6"/>
        <v>-1.7565888973202526</v>
      </c>
      <c r="P25" s="108">
        <f t="shared" si="12"/>
        <v>2.5470539011143742</v>
      </c>
      <c r="S25" s="108">
        <f t="shared" si="7"/>
        <v>66.750378098169648</v>
      </c>
      <c r="T25" s="108">
        <f t="shared" si="8"/>
        <v>4.3609010566294917E-2</v>
      </c>
      <c r="U25" s="108">
        <f t="shared" si="13"/>
        <v>6.7680336926162737E-2</v>
      </c>
    </row>
    <row r="26" spans="4:21" x14ac:dyDescent="0.25">
      <c r="G26" s="108">
        <v>0.99999998999999995</v>
      </c>
      <c r="H26" s="108">
        <f t="shared" si="2"/>
        <v>1.4285713938775515</v>
      </c>
      <c r="I26" s="108">
        <f t="shared" si="3"/>
        <v>9.7142855892684565E-6</v>
      </c>
      <c r="J26" s="108">
        <f t="shared" si="4"/>
        <v>679.99999028571449</v>
      </c>
      <c r="K26" s="108">
        <f>I26+J26</f>
        <v>680.00000000000011</v>
      </c>
      <c r="L26" s="108">
        <f t="shared" si="5"/>
        <v>7.5282380344884347E-7</v>
      </c>
      <c r="M26" s="108">
        <f>L26/(1-G26)</f>
        <v>75.282379966608516</v>
      </c>
      <c r="N26" s="108">
        <f t="shared" si="11"/>
        <v>48.933547053577918</v>
      </c>
      <c r="O26" s="108">
        <f t="shared" si="6"/>
        <v>-3.7641186219185236</v>
      </c>
      <c r="P26" s="108">
        <f t="shared" si="12"/>
        <v>2.9109179437872612</v>
      </c>
      <c r="S26" s="108">
        <f t="shared" si="7"/>
        <v>75.282379213784708</v>
      </c>
      <c r="T26" s="108">
        <f t="shared" si="8"/>
        <v>0</v>
      </c>
      <c r="U26" s="108">
        <f t="shared" si="13"/>
        <v>7.1961098608202809E-2</v>
      </c>
    </row>
    <row r="29" spans="4:21" x14ac:dyDescent="0.25">
      <c r="E29" s="108">
        <f>E8</f>
        <v>30.9986275997692</v>
      </c>
    </row>
    <row r="30" spans="4:21" x14ac:dyDescent="0.25">
      <c r="D30" s="108">
        <v>100</v>
      </c>
      <c r="E30" s="108">
        <f t="dataTable" ref="E30:E49" dt2D="0" dtr="0" r1="B6"/>
        <v>18.408884538884543</v>
      </c>
    </row>
    <row r="31" spans="4:21" x14ac:dyDescent="0.25">
      <c r="D31" s="108">
        <v>200</v>
      </c>
      <c r="E31" s="108">
        <v>24.724226781327417</v>
      </c>
    </row>
    <row r="32" spans="4:21" x14ac:dyDescent="0.25">
      <c r="D32" s="108">
        <v>300</v>
      </c>
      <c r="E32" s="108">
        <v>27.289497380106198</v>
      </c>
    </row>
    <row r="33" spans="4:5" x14ac:dyDescent="0.25">
      <c r="D33" s="108">
        <v>400</v>
      </c>
      <c r="E33" s="108">
        <v>28.614519776348491</v>
      </c>
    </row>
    <row r="34" spans="4:5" x14ac:dyDescent="0.25">
      <c r="D34" s="108">
        <v>500</v>
      </c>
      <c r="E34" s="108">
        <v>29.413039143106541</v>
      </c>
    </row>
    <row r="35" spans="4:5" x14ac:dyDescent="0.25">
      <c r="D35" s="108">
        <v>600</v>
      </c>
      <c r="E35" s="108">
        <v>29.944290286803934</v>
      </c>
    </row>
    <row r="36" spans="4:5" x14ac:dyDescent="0.25">
      <c r="D36" s="108">
        <v>700</v>
      </c>
      <c r="E36" s="108">
        <v>30.322407740076947</v>
      </c>
    </row>
    <row r="37" spans="4:5" x14ac:dyDescent="0.25">
      <c r="D37" s="108">
        <v>800</v>
      </c>
      <c r="E37" s="108">
        <v>30.604952257628049</v>
      </c>
    </row>
    <row r="38" spans="4:5" x14ac:dyDescent="0.25">
      <c r="D38" s="108">
        <v>900</v>
      </c>
      <c r="E38" s="108">
        <v>30.823958521424711</v>
      </c>
    </row>
    <row r="39" spans="4:5" x14ac:dyDescent="0.25">
      <c r="D39" s="108">
        <v>1000</v>
      </c>
      <c r="E39" s="108">
        <v>30.9986275997692</v>
      </c>
    </row>
    <row r="40" spans="4:5" x14ac:dyDescent="0.25">
      <c r="D40" s="108">
        <v>1100</v>
      </c>
      <c r="E40" s="108">
        <v>31.141151727125685</v>
      </c>
    </row>
    <row r="41" spans="4:5" x14ac:dyDescent="0.25">
      <c r="D41" s="108">
        <v>1200</v>
      </c>
      <c r="E41" s="108">
        <v>31.259637835454537</v>
      </c>
    </row>
    <row r="42" spans="4:5" x14ac:dyDescent="0.25">
      <c r="D42" s="108">
        <v>1300</v>
      </c>
      <c r="E42" s="108">
        <v>31.359683199322273</v>
      </c>
    </row>
    <row r="43" spans="4:5" x14ac:dyDescent="0.25">
      <c r="D43" s="108">
        <v>1400</v>
      </c>
      <c r="E43" s="108">
        <v>31.445275253336387</v>
      </c>
    </row>
    <row r="44" spans="4:5" x14ac:dyDescent="0.25">
      <c r="D44" s="108">
        <v>1500</v>
      </c>
      <c r="E44" s="108">
        <v>31.519330717560194</v>
      </c>
    </row>
    <row r="45" spans="4:5" x14ac:dyDescent="0.25">
      <c r="D45" s="108">
        <v>1600</v>
      </c>
      <c r="E45" s="108">
        <v>31.584031934160304</v>
      </c>
    </row>
    <row r="46" spans="4:5" x14ac:dyDescent="0.25">
      <c r="D46" s="108">
        <v>1700</v>
      </c>
      <c r="E46" s="108">
        <v>31.641044056676531</v>
      </c>
    </row>
    <row r="47" spans="4:5" x14ac:dyDescent="0.25">
      <c r="D47" s="108">
        <v>1800</v>
      </c>
      <c r="E47" s="108">
        <v>31.691659540294051</v>
      </c>
    </row>
    <row r="48" spans="4:5" x14ac:dyDescent="0.25">
      <c r="D48" s="108">
        <v>1900</v>
      </c>
      <c r="E48" s="108">
        <v>31.73689679767989</v>
      </c>
    </row>
    <row r="49" spans="4:5" x14ac:dyDescent="0.25">
      <c r="D49" s="108">
        <v>2000</v>
      </c>
      <c r="E49" s="108">
        <v>31.777569117576359</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A1:BR76"/>
  <sheetViews>
    <sheetView workbookViewId="0">
      <selection activeCell="R12" sqref="R12"/>
    </sheetView>
  </sheetViews>
  <sheetFormatPr defaultColWidth="9.109375" defaultRowHeight="13.8" x14ac:dyDescent="0.25"/>
  <cols>
    <col min="1" max="1" width="12.33203125" style="1" customWidth="1"/>
    <col min="2" max="2" width="18.6640625" style="1" customWidth="1"/>
    <col min="3" max="4" width="8.6640625" style="1" customWidth="1"/>
    <col min="5" max="5" width="21.44140625" style="1" customWidth="1"/>
    <col min="6" max="7" width="8.6640625" style="1" customWidth="1"/>
    <col min="8" max="8" width="20.88671875" style="1" customWidth="1"/>
    <col min="9" max="9" width="8.6640625" style="1" customWidth="1"/>
    <col min="10" max="11" width="8.6640625" style="3" customWidth="1"/>
    <col min="12" max="12" width="12.33203125" style="3" customWidth="1"/>
    <col min="13" max="13" width="20.33203125" style="3" customWidth="1"/>
    <col min="14" max="14" width="12.33203125" style="1" customWidth="1"/>
    <col min="15" max="15" width="12" style="1" customWidth="1"/>
    <col min="16" max="16" width="12.33203125" style="1" customWidth="1"/>
    <col min="17" max="17" width="29.109375" style="1" customWidth="1"/>
    <col min="18" max="19" width="9.109375" style="1" customWidth="1"/>
    <col min="20" max="20" width="11.109375" style="1" customWidth="1"/>
    <col min="21" max="26" width="9.109375" style="1" customWidth="1"/>
    <col min="27" max="54" width="9.109375" style="1"/>
    <col min="55" max="16384" width="9.109375" style="4"/>
  </cols>
  <sheetData>
    <row r="1" spans="2:35" s="1" customFormat="1" x14ac:dyDescent="0.25">
      <c r="J1" s="2"/>
      <c r="K1" s="3"/>
      <c r="L1" s="3"/>
      <c r="M1" s="3"/>
    </row>
    <row r="2" spans="2:35" s="1" customFormat="1" ht="17.399999999999999" x14ac:dyDescent="0.3">
      <c r="B2" s="298" t="s">
        <v>0</v>
      </c>
      <c r="C2" s="299"/>
      <c r="E2" s="300" t="s">
        <v>1</v>
      </c>
      <c r="F2" s="301"/>
      <c r="G2" s="301"/>
      <c r="H2" s="301"/>
      <c r="I2" s="301"/>
      <c r="J2" s="301"/>
      <c r="K2" s="301"/>
      <c r="L2" s="301"/>
      <c r="M2" s="301"/>
      <c r="N2" s="301"/>
      <c r="O2" s="302"/>
    </row>
    <row r="3" spans="2:35" x14ac:dyDescent="0.25">
      <c r="L3" s="1"/>
      <c r="N3" s="3"/>
      <c r="O3" s="3"/>
      <c r="P3" s="3"/>
    </row>
    <row r="4" spans="2:35" s="1" customFormat="1" x14ac:dyDescent="0.25">
      <c r="B4" s="5" t="s">
        <v>2</v>
      </c>
      <c r="C4" s="6"/>
      <c r="E4" s="59" t="s">
        <v>3</v>
      </c>
      <c r="F4" s="6"/>
      <c r="H4" s="5" t="s">
        <v>4</v>
      </c>
      <c r="I4" s="7"/>
      <c r="J4" s="7"/>
      <c r="K4" s="6"/>
      <c r="L4" s="29"/>
      <c r="M4" s="75" t="s">
        <v>20</v>
      </c>
      <c r="N4" s="20"/>
      <c r="O4" s="29"/>
      <c r="AF4" s="9"/>
    </row>
    <row r="5" spans="2:35" s="1" customFormat="1" ht="16.2" x14ac:dyDescent="0.35">
      <c r="B5" s="94" t="s">
        <v>173</v>
      </c>
      <c r="C5" s="95">
        <f>Rlight_t</f>
        <v>0.11046368650843981</v>
      </c>
      <c r="E5" s="12" t="s">
        <v>6</v>
      </c>
      <c r="F5" s="13">
        <f>F7-0.5*F8</f>
        <v>4.3661285613809397</v>
      </c>
      <c r="H5" s="14"/>
      <c r="I5" s="15"/>
      <c r="J5" s="15" t="s">
        <v>7</v>
      </c>
      <c r="K5" s="16" t="s">
        <v>8</v>
      </c>
      <c r="L5" s="29"/>
      <c r="M5" s="76" t="s">
        <v>75</v>
      </c>
      <c r="N5" s="7"/>
      <c r="O5" s="77">
        <f>F16/F5</f>
        <v>6.0966111340587394</v>
      </c>
      <c r="R5" s="1" t="s">
        <v>46</v>
      </c>
      <c r="X5" s="9"/>
      <c r="AG5" s="9"/>
    </row>
    <row r="6" spans="2:35" s="1" customFormat="1" ht="16.2" x14ac:dyDescent="0.35">
      <c r="B6" s="90" t="s">
        <v>174</v>
      </c>
      <c r="C6" s="98">
        <f>SCO_t</f>
        <v>2337.4065000000001</v>
      </c>
      <c r="E6" s="10" t="s">
        <v>5</v>
      </c>
      <c r="F6" s="43">
        <f>F5-C5</f>
        <v>4.2556648748725001</v>
      </c>
      <c r="H6" s="14" t="s">
        <v>58</v>
      </c>
      <c r="I6" s="29"/>
      <c r="J6" s="46">
        <f>MIN(R22,R30)</f>
        <v>3.6097840119842215</v>
      </c>
      <c r="K6" s="17">
        <f>Z21*J6</f>
        <v>1.2418097884832697</v>
      </c>
      <c r="L6" s="51"/>
      <c r="M6" s="49" t="s">
        <v>65</v>
      </c>
      <c r="N6" s="29"/>
      <c r="O6" s="19">
        <f>IF(ISNUMBER(O19/C17),O19/C17,"-")</f>
        <v>0.18064161174450594</v>
      </c>
      <c r="Q6" s="1" t="s">
        <v>47</v>
      </c>
      <c r="R6" s="37">
        <f>K6+J6</f>
        <v>4.8515938004674908</v>
      </c>
    </row>
    <row r="7" spans="2:35" s="1" customFormat="1" ht="16.2" x14ac:dyDescent="0.35">
      <c r="B7" s="99" t="s">
        <v>175</v>
      </c>
      <c r="C7" s="98">
        <f>gBs_t</f>
        <v>2E-3</v>
      </c>
      <c r="E7" s="10" t="s">
        <v>105</v>
      </c>
      <c r="F7" s="17">
        <f>K6+J6</f>
        <v>4.8515938004674908</v>
      </c>
      <c r="H7" s="14" t="s">
        <v>59</v>
      </c>
      <c r="I7" s="29"/>
      <c r="J7" s="46">
        <f>MIN(R23,R31)</f>
        <v>0.58198872426030768</v>
      </c>
      <c r="K7" s="17">
        <f>K6*2*F22*K17/K15</f>
        <v>0.38894175391279528</v>
      </c>
      <c r="L7" s="51"/>
      <c r="M7" s="28" t="s">
        <v>73</v>
      </c>
      <c r="N7" s="29"/>
      <c r="O7" s="50">
        <f>F16/F15</f>
        <v>2.2930794898218578</v>
      </c>
      <c r="Q7" s="1" t="s">
        <v>48</v>
      </c>
      <c r="R7" s="52">
        <f>K7+J7</f>
        <v>0.97093047817310296</v>
      </c>
      <c r="T7" s="64"/>
      <c r="U7" s="29"/>
      <c r="V7" s="53"/>
      <c r="W7" s="30"/>
      <c r="X7" s="30"/>
      <c r="Y7" s="64"/>
      <c r="Z7" s="30"/>
      <c r="AA7" s="30"/>
      <c r="AB7" s="64"/>
      <c r="AC7" s="29"/>
      <c r="AD7" s="29"/>
      <c r="AE7" s="29"/>
      <c r="AF7" s="29"/>
      <c r="AG7" s="29"/>
      <c r="AH7" s="29"/>
      <c r="AI7" s="29"/>
    </row>
    <row r="8" spans="2:35" s="1" customFormat="1" ht="16.2" x14ac:dyDescent="0.35">
      <c r="B8" s="94" t="s">
        <v>179</v>
      </c>
      <c r="C8" s="101">
        <f>Jatp</f>
        <v>26.643645582430999</v>
      </c>
      <c r="E8" s="10" t="s">
        <v>11</v>
      </c>
      <c r="F8" s="17">
        <f>J7+K7</f>
        <v>0.97093047817310296</v>
      </c>
      <c r="H8" s="10" t="s">
        <v>30</v>
      </c>
      <c r="I8" s="29"/>
      <c r="J8" s="46">
        <f>J7+C24*K7</f>
        <v>0.58198872426030768</v>
      </c>
      <c r="K8" s="17">
        <f>K7*(1-C24)</f>
        <v>0.38894175391279528</v>
      </c>
      <c r="L8" s="51"/>
      <c r="M8" s="28" t="s">
        <v>21</v>
      </c>
      <c r="N8" s="29"/>
      <c r="O8" s="50">
        <f>J23/F15</f>
        <v>2.5067941374398762E-2</v>
      </c>
      <c r="Q8" s="1" t="s">
        <v>49</v>
      </c>
      <c r="R8" s="52">
        <f>K8+J8</f>
        <v>0.97093047817310296</v>
      </c>
      <c r="T8" s="29"/>
      <c r="U8" s="30"/>
      <c r="V8" s="29"/>
      <c r="W8" s="64"/>
      <c r="X8" s="64"/>
      <c r="Y8" s="64"/>
      <c r="Z8" s="64"/>
      <c r="AA8" s="64"/>
      <c r="AB8" s="64"/>
      <c r="AC8" s="64"/>
      <c r="AD8" s="64"/>
      <c r="AE8" s="64"/>
      <c r="AF8" s="64"/>
      <c r="AG8" s="29"/>
      <c r="AH8" s="29"/>
      <c r="AI8" s="29"/>
    </row>
    <row r="9" spans="2:35" s="1" customFormat="1" ht="16.2" x14ac:dyDescent="0.35">
      <c r="B9" s="94" t="s">
        <v>229</v>
      </c>
      <c r="C9" s="102">
        <f>jNADPH</f>
        <v>11.608227328445041</v>
      </c>
      <c r="E9" s="10" t="s">
        <v>10</v>
      </c>
      <c r="F9" s="50">
        <f>F8/F7</f>
        <v>0.20012608600488069</v>
      </c>
      <c r="G9" s="9"/>
      <c r="H9" s="10" t="s">
        <v>9</v>
      </c>
      <c r="I9" s="18"/>
      <c r="J9" s="18">
        <f>C5*C25</f>
        <v>4.4185474603375928E-2</v>
      </c>
      <c r="K9" s="19">
        <f>C5-J9</f>
        <v>6.6278211905063888E-2</v>
      </c>
      <c r="L9" s="51"/>
      <c r="M9" s="28" t="s">
        <v>22</v>
      </c>
      <c r="N9" s="29"/>
      <c r="O9" s="50">
        <f>J23/K23</f>
        <v>2.5712500837994791E-2</v>
      </c>
      <c r="Q9" s="1" t="s">
        <v>50</v>
      </c>
      <c r="R9" s="52">
        <f>K9+J9</f>
        <v>0.11046368650843982</v>
      </c>
      <c r="T9" s="64"/>
      <c r="U9" s="64"/>
      <c r="V9" s="64"/>
      <c r="W9" s="64"/>
      <c r="X9" s="64"/>
      <c r="Y9" s="64"/>
      <c r="Z9" s="64"/>
      <c r="AA9" s="64"/>
      <c r="AB9" s="64"/>
      <c r="AC9" s="29"/>
      <c r="AD9" s="29"/>
      <c r="AE9" s="29"/>
      <c r="AF9" s="29"/>
      <c r="AG9" s="29"/>
      <c r="AH9" s="29"/>
      <c r="AI9" s="29"/>
    </row>
    <row r="10" spans="2:35" s="1" customFormat="1" ht="16.2" x14ac:dyDescent="0.35">
      <c r="B10" s="90" t="s">
        <v>220</v>
      </c>
      <c r="C10" s="100">
        <f>cm</f>
        <v>286.85046474013137</v>
      </c>
      <c r="E10" s="10" t="s">
        <v>70</v>
      </c>
      <c r="F10" s="43">
        <f>F11-F12</f>
        <v>1.4185549582908337</v>
      </c>
      <c r="G10" s="51"/>
      <c r="H10" s="10" t="s">
        <v>60</v>
      </c>
      <c r="I10" s="29"/>
      <c r="J10" s="18">
        <f>F10*C28</f>
        <v>0</v>
      </c>
      <c r="K10" s="19">
        <f>F10-J10</f>
        <v>1.4185549582908337</v>
      </c>
      <c r="L10" s="29"/>
      <c r="M10" s="28" t="s">
        <v>24</v>
      </c>
      <c r="N10" s="29"/>
      <c r="O10" s="50">
        <f>IF(ISNUMBER(J29/K29),J29/K29,"-")</f>
        <v>0.2185305272103529</v>
      </c>
      <c r="Q10" s="1" t="s">
        <v>51</v>
      </c>
      <c r="R10" s="1">
        <f>F6+K9+1/2*K8-C17-K6</f>
        <v>-0.7219426621139573</v>
      </c>
      <c r="T10" s="64"/>
      <c r="U10" s="64"/>
      <c r="V10" s="64"/>
      <c r="W10" s="64"/>
      <c r="X10" s="64"/>
      <c r="Y10" s="64"/>
      <c r="Z10" s="64"/>
      <c r="AA10" s="64"/>
      <c r="AB10" s="64"/>
      <c r="AC10" s="29"/>
      <c r="AD10" s="29"/>
      <c r="AE10" s="29"/>
      <c r="AF10" s="29"/>
      <c r="AG10" s="29"/>
      <c r="AH10" s="29"/>
      <c r="AI10" s="29"/>
    </row>
    <row r="11" spans="2:35" s="1" customFormat="1" ht="16.2" x14ac:dyDescent="0.35">
      <c r="B11" s="90" t="s">
        <v>185</v>
      </c>
      <c r="C11" s="93">
        <f>OM</f>
        <v>210000</v>
      </c>
      <c r="E11" s="10" t="s">
        <v>71</v>
      </c>
      <c r="F11" s="19">
        <f>2*F7+3/2*F8-C5/3</f>
        <v>11.12276208935849</v>
      </c>
      <c r="H11" s="10" t="s">
        <v>13</v>
      </c>
      <c r="I11" s="29"/>
      <c r="J11" s="18">
        <f>$C$29*F29</f>
        <v>0</v>
      </c>
      <c r="K11" s="19">
        <f>F29-J11</f>
        <v>3.9965468373646496</v>
      </c>
      <c r="L11" s="29"/>
      <c r="M11" s="28" t="s">
        <v>36</v>
      </c>
      <c r="N11" s="29"/>
      <c r="O11" s="50">
        <f>J29/F16</f>
        <v>0.17933939473034502</v>
      </c>
      <c r="Q11" s="1" t="s">
        <v>5</v>
      </c>
      <c r="R11" s="52">
        <f>J6+K6-0.5*K8-0.5*J8-K9-J9-O19+O19-O26+O26</f>
        <v>4.2556648748724992</v>
      </c>
      <c r="T11" s="64"/>
      <c r="U11" s="64"/>
      <c r="V11" s="64"/>
      <c r="W11" s="64"/>
      <c r="X11" s="64"/>
      <c r="Y11" s="64"/>
      <c r="Z11" s="64"/>
      <c r="AA11" s="64"/>
      <c r="AB11" s="64"/>
      <c r="AC11" s="29"/>
      <c r="AD11" s="29"/>
      <c r="AE11" s="29"/>
      <c r="AF11" s="29"/>
      <c r="AG11" s="29"/>
      <c r="AH11" s="29"/>
      <c r="AI11" s="29"/>
    </row>
    <row r="12" spans="2:35" s="1" customFormat="1" ht="16.2" x14ac:dyDescent="0.35">
      <c r="B12" s="114" t="s">
        <v>90</v>
      </c>
      <c r="C12" s="117">
        <v>1</v>
      </c>
      <c r="E12" s="14" t="s">
        <v>14</v>
      </c>
      <c r="F12" s="19">
        <f>5/3*F13</f>
        <v>9.7042071310676565</v>
      </c>
      <c r="H12" s="10" t="s">
        <v>61</v>
      </c>
      <c r="I12" s="29"/>
      <c r="J12" s="18">
        <f>F11*$C$27</f>
        <v>0</v>
      </c>
      <c r="K12" s="19">
        <f>F11-J12</f>
        <v>11.12276208935849</v>
      </c>
      <c r="L12" s="29"/>
      <c r="M12" s="28" t="s">
        <v>39</v>
      </c>
      <c r="N12" s="29"/>
      <c r="O12" s="73" t="str">
        <f>IF(ISNUMBER(J29/J28),(J29/J28),IF(J29&gt;0,"CEF only","-"))</f>
        <v>CEF only</v>
      </c>
      <c r="Q12" s="1" t="s">
        <v>52</v>
      </c>
      <c r="R12" s="52">
        <f>O24-O27+O25-O26</f>
        <v>0</v>
      </c>
      <c r="T12" s="64"/>
      <c r="U12" s="64"/>
      <c r="V12" s="64"/>
      <c r="W12" s="64"/>
      <c r="X12" s="64"/>
      <c r="Y12" s="64"/>
      <c r="Z12" s="64"/>
      <c r="AA12" s="64"/>
      <c r="AB12" s="64"/>
      <c r="AC12" s="29"/>
      <c r="AD12" s="29"/>
      <c r="AE12" s="29"/>
      <c r="AF12" s="29"/>
      <c r="AG12" s="29"/>
      <c r="AH12" s="29"/>
      <c r="AI12" s="29"/>
    </row>
    <row r="13" spans="2:35" s="1" customFormat="1" ht="16.2" x14ac:dyDescent="0.35">
      <c r="E13" s="14" t="s">
        <v>16</v>
      </c>
      <c r="F13" s="19">
        <f>F7+F8</f>
        <v>5.8225242786405937</v>
      </c>
      <c r="H13" s="14" t="s">
        <v>14</v>
      </c>
      <c r="I13" s="29"/>
      <c r="J13" s="18">
        <f>5/3*J14</f>
        <v>6.9862878937408812</v>
      </c>
      <c r="K13" s="19">
        <f>5/3*K14</f>
        <v>2.7179192373267753</v>
      </c>
      <c r="L13" s="29"/>
      <c r="M13" s="28" t="s">
        <v>74</v>
      </c>
      <c r="N13" s="29"/>
      <c r="O13" s="45">
        <f>K29/K27</f>
        <v>1.8818400020486372</v>
      </c>
      <c r="Q13" s="1" t="s">
        <v>53</v>
      </c>
      <c r="R13" s="52">
        <f>4*O22+4*O24+3*O20+2*O25</f>
        <v>36.945051030681242</v>
      </c>
      <c r="T13" s="64"/>
      <c r="U13" s="64"/>
      <c r="V13" s="64"/>
      <c r="W13" s="64"/>
      <c r="X13" s="64"/>
      <c r="Y13" s="64"/>
      <c r="Z13" s="64"/>
      <c r="AA13" s="64"/>
      <c r="AB13" s="64"/>
      <c r="AC13" s="29"/>
      <c r="AD13" s="29"/>
      <c r="AE13" s="29"/>
      <c r="AF13" s="29"/>
      <c r="AG13" s="29"/>
      <c r="AH13" s="29"/>
      <c r="AI13" s="29"/>
    </row>
    <row r="14" spans="2:35" s="1" customFormat="1" ht="16.2" x14ac:dyDescent="0.35">
      <c r="E14" s="14" t="s">
        <v>69</v>
      </c>
      <c r="F14" s="17">
        <f>F8</f>
        <v>0.97093047817310296</v>
      </c>
      <c r="H14" s="14" t="s">
        <v>16</v>
      </c>
      <c r="I14" s="29"/>
      <c r="J14" s="18">
        <f>J6+J7</f>
        <v>4.1917727362445287</v>
      </c>
      <c r="K14" s="19">
        <f>K6+K7</f>
        <v>1.630751542396065</v>
      </c>
      <c r="L14" s="29"/>
      <c r="M14" s="28" t="s">
        <v>66</v>
      </c>
      <c r="N14" s="29"/>
      <c r="O14" s="72">
        <f>IF(ISNUMBER((F28+J24)/K24),(F28+J24)/K24,"-")</f>
        <v>12.734104015311139</v>
      </c>
      <c r="Q14" s="1" t="s">
        <v>54</v>
      </c>
      <c r="R14" s="52">
        <f>3*O23+O19+3*O27+3*O21+3*O28+3*O26+3*J10</f>
        <v>36.945051030681242</v>
      </c>
      <c r="T14" s="64"/>
      <c r="U14" s="64"/>
      <c r="V14" s="64"/>
      <c r="W14" s="64"/>
      <c r="X14" s="64"/>
      <c r="Y14" s="64"/>
      <c r="Z14" s="64"/>
      <c r="AA14" s="64"/>
      <c r="AB14" s="64"/>
      <c r="AC14" s="29"/>
      <c r="AD14" s="29"/>
      <c r="AE14" s="29"/>
      <c r="AF14" s="29"/>
      <c r="AG14" s="29"/>
      <c r="AH14" s="29"/>
      <c r="AI14" s="29"/>
    </row>
    <row r="15" spans="2:35" s="1" customFormat="1" ht="16.2" x14ac:dyDescent="0.35">
      <c r="E15" s="14" t="s">
        <v>33</v>
      </c>
      <c r="F15" s="19">
        <f>1/2*F8+F11</f>
        <v>11.608227328445041</v>
      </c>
      <c r="H15" s="14" t="s">
        <v>79</v>
      </c>
      <c r="I15" s="29"/>
      <c r="J15" s="57">
        <f>IF(J6=R22,R24,R32)</f>
        <v>647.82179579710998</v>
      </c>
      <c r="K15" s="78">
        <f>C10</f>
        <v>286.85046474013137</v>
      </c>
      <c r="L15" s="29"/>
      <c r="M15" s="28" t="s">
        <v>23</v>
      </c>
      <c r="N15" s="29"/>
      <c r="O15" s="50">
        <f>IF(ISNUMBER(K25/C17),K25/C17,"-")</f>
        <v>0.92718855202456796</v>
      </c>
      <c r="Q15" s="1" t="s">
        <v>56</v>
      </c>
      <c r="R15" s="52">
        <f>O26</f>
        <v>0</v>
      </c>
      <c r="T15" s="64"/>
      <c r="U15" s="64"/>
      <c r="V15" s="64"/>
      <c r="W15" s="64"/>
      <c r="X15" s="64"/>
      <c r="Y15" s="64"/>
      <c r="Z15" s="64"/>
      <c r="AA15" s="64"/>
      <c r="AB15" s="64"/>
      <c r="AC15" s="29"/>
      <c r="AD15" s="29"/>
      <c r="AE15" s="29"/>
      <c r="AF15" s="29"/>
      <c r="AG15" s="29"/>
      <c r="AH15" s="29"/>
      <c r="AI15" s="29"/>
    </row>
    <row r="16" spans="2:35" s="1" customFormat="1" ht="16.2" x14ac:dyDescent="0.35">
      <c r="B16" s="5" t="s">
        <v>29</v>
      </c>
      <c r="C16" s="6"/>
      <c r="E16" s="26" t="s">
        <v>34</v>
      </c>
      <c r="F16" s="25">
        <f>F11+F7+2*F8+0.5*F10+F28+2*F29</f>
        <v>26.618588000046902</v>
      </c>
      <c r="H16" s="10" t="s">
        <v>5</v>
      </c>
      <c r="I16" s="29"/>
      <c r="J16" s="46">
        <f>J6-0.5*J7-J9</f>
        <v>3.2746041752506918</v>
      </c>
      <c r="K16" s="17">
        <f>K6-0.5*K7-K9</f>
        <v>0.9810606996218082</v>
      </c>
      <c r="L16" s="29"/>
      <c r="M16" s="10" t="s">
        <v>32</v>
      </c>
      <c r="N16" s="29"/>
      <c r="O16" s="43">
        <f>J8/F8</f>
        <v>0.59941338473108208</v>
      </c>
      <c r="P16" s="29"/>
      <c r="Q16" s="55" t="s">
        <v>57</v>
      </c>
      <c r="R16" s="51">
        <f>R15+K25</f>
        <v>3.7055524752344957</v>
      </c>
      <c r="T16" s="64"/>
      <c r="U16" s="64"/>
      <c r="V16" s="64"/>
      <c r="W16" s="64"/>
      <c r="X16" s="64"/>
      <c r="Y16" s="64"/>
      <c r="Z16" s="64"/>
      <c r="AA16" s="64"/>
      <c r="AB16" s="64"/>
      <c r="AC16" s="29"/>
      <c r="AD16" s="29"/>
      <c r="AE16" s="29"/>
      <c r="AF16" s="29"/>
      <c r="AG16" s="29"/>
      <c r="AH16" s="29"/>
      <c r="AI16" s="29"/>
    </row>
    <row r="17" spans="2:35" s="1" customFormat="1" ht="16.2" x14ac:dyDescent="0.35">
      <c r="B17" s="90" t="s">
        <v>186</v>
      </c>
      <c r="C17" s="115">
        <f>Vp_LL</f>
        <v>3.9965468373646496</v>
      </c>
      <c r="H17" s="26" t="s">
        <v>81</v>
      </c>
      <c r="I17" s="33"/>
      <c r="J17" s="79">
        <f>IF(J6=R22,R25,R33)</f>
        <v>244131.12726963434</v>
      </c>
      <c r="K17" s="80">
        <f>C11</f>
        <v>210000</v>
      </c>
      <c r="L17" s="29"/>
      <c r="M17" s="28" t="s">
        <v>108</v>
      </c>
      <c r="N17" s="29"/>
      <c r="O17" s="17">
        <f>(F16+F15)/F5</f>
        <v>8.7553114369132068</v>
      </c>
      <c r="P17" s="29"/>
      <c r="Q17" s="1" t="s">
        <v>68</v>
      </c>
      <c r="R17" s="1">
        <f>4*O22+4*O24+3*O20+2*O25-O19-3*O23-3*O28-3*O27-3*O21-3*O26-3*J10</f>
        <v>-3.5527136788005009E-15</v>
      </c>
      <c r="T17" s="64"/>
      <c r="U17" s="64"/>
      <c r="V17" s="64"/>
      <c r="W17" s="64"/>
      <c r="X17" s="64"/>
      <c r="Y17" s="64"/>
      <c r="Z17" s="64"/>
      <c r="AA17" s="64"/>
      <c r="AB17" s="64"/>
      <c r="AC17" s="29"/>
      <c r="AD17" s="29"/>
      <c r="AE17" s="29"/>
      <c r="AF17" s="29"/>
      <c r="AG17" s="29"/>
      <c r="AH17" s="29"/>
      <c r="AI17" s="29"/>
    </row>
    <row r="18" spans="2:35" s="1" customFormat="1" ht="15.6" x14ac:dyDescent="0.35">
      <c r="B18" s="88" t="s">
        <v>166</v>
      </c>
      <c r="C18" s="89">
        <f>rPEPCK</f>
        <v>0</v>
      </c>
      <c r="L18" s="37"/>
      <c r="M18" s="23" t="s">
        <v>15</v>
      </c>
      <c r="N18" s="27"/>
      <c r="O18" s="6"/>
      <c r="P18" s="58"/>
      <c r="T18" s="64"/>
      <c r="U18" s="64"/>
      <c r="V18" s="64"/>
      <c r="W18" s="64"/>
      <c r="X18" s="64"/>
      <c r="Y18" s="64"/>
      <c r="Z18" s="64"/>
      <c r="AA18" s="64"/>
      <c r="AB18" s="64"/>
      <c r="AC18" s="29"/>
      <c r="AD18" s="29"/>
      <c r="AE18" s="29"/>
      <c r="AF18" s="29"/>
      <c r="AG18" s="29"/>
      <c r="AH18" s="29"/>
      <c r="AI18" s="29"/>
    </row>
    <row r="19" spans="2:35" s="1" customFormat="1" ht="16.2" x14ac:dyDescent="0.3">
      <c r="E19" s="5" t="s">
        <v>88</v>
      </c>
      <c r="F19" s="6"/>
      <c r="L19" s="37"/>
      <c r="M19" s="24" t="s">
        <v>89</v>
      </c>
      <c r="N19" s="29"/>
      <c r="O19" s="121">
        <f>(C17+J9+1/2*J8-J6)</f>
        <v>0.72194266211395819</v>
      </c>
      <c r="Q19" s="59" t="s">
        <v>227</v>
      </c>
      <c r="R19" s="7"/>
      <c r="S19" s="6"/>
      <c r="T19" s="64"/>
      <c r="U19" s="64"/>
      <c r="V19" s="64"/>
      <c r="W19" s="64"/>
      <c r="X19" s="64"/>
      <c r="Y19" s="64"/>
      <c r="Z19" s="64"/>
      <c r="AA19" s="64"/>
      <c r="AB19" s="64"/>
      <c r="AC19" s="29"/>
      <c r="AD19" s="29"/>
      <c r="AE19" s="29"/>
      <c r="AF19" s="29"/>
      <c r="AG19" s="29"/>
      <c r="AH19" s="29"/>
      <c r="AI19" s="29"/>
    </row>
    <row r="20" spans="2:35" s="1" customFormat="1" ht="14.4" x14ac:dyDescent="0.3">
      <c r="E20" s="14" t="s">
        <v>85</v>
      </c>
      <c r="F20" s="31">
        <f>C11+C12*C24*0.5*K7/(0.047*C7)+C12*C10/0.047+C12*C17/(0.047*C7)</f>
        <v>258619.65709409481</v>
      </c>
      <c r="H20" s="5" t="s">
        <v>31</v>
      </c>
      <c r="I20" s="7"/>
      <c r="J20" s="41"/>
      <c r="K20" s="42"/>
      <c r="L20" s="37"/>
      <c r="M20" s="48" t="s">
        <v>63</v>
      </c>
      <c r="N20" s="29"/>
      <c r="O20" s="19">
        <f>K12-K10-K13</f>
        <v>6.9862878937408812</v>
      </c>
      <c r="Q20" s="14" t="s">
        <v>82</v>
      </c>
      <c r="R20" s="29" t="s">
        <v>83</v>
      </c>
      <c r="S20" s="31" t="s">
        <v>96</v>
      </c>
      <c r="T20" s="64" t="s">
        <v>98</v>
      </c>
      <c r="U20" s="64" t="s">
        <v>99</v>
      </c>
      <c r="V20" s="64" t="s">
        <v>100</v>
      </c>
      <c r="W20" s="64" t="s">
        <v>101</v>
      </c>
      <c r="X20" s="64" t="s">
        <v>102</v>
      </c>
      <c r="Y20" s="64" t="s">
        <v>103</v>
      </c>
      <c r="Z20" s="64" t="s">
        <v>104</v>
      </c>
      <c r="AA20" s="64"/>
      <c r="AB20" s="64"/>
      <c r="AC20" s="29"/>
      <c r="AD20" s="29"/>
      <c r="AE20" s="29"/>
      <c r="AF20" s="29"/>
      <c r="AG20" s="29"/>
      <c r="AH20" s="29"/>
      <c r="AI20" s="29"/>
    </row>
    <row r="21" spans="2:35" s="1" customFormat="1" ht="14.4" x14ac:dyDescent="0.3">
      <c r="B21" s="5" t="s">
        <v>26</v>
      </c>
      <c r="C21" s="6"/>
      <c r="E21" s="14" t="s">
        <v>84</v>
      </c>
      <c r="F21" s="63">
        <f>-C7*(C10-J15)</f>
        <v>0.72194266211395719</v>
      </c>
      <c r="H21" s="14"/>
      <c r="I21" s="15"/>
      <c r="J21" s="15" t="s">
        <v>7</v>
      </c>
      <c r="K21" s="16" t="s">
        <v>8</v>
      </c>
      <c r="L21" s="29"/>
      <c r="M21" s="48" t="s">
        <v>64</v>
      </c>
      <c r="N21" s="29"/>
      <c r="O21" s="19">
        <f>2*J6+1.5*J7-J12-1/3*J9</f>
        <v>8.0778226188244453</v>
      </c>
      <c r="P21" s="52"/>
      <c r="Q21" s="67">
        <f>(0.5-41*Y21/(38*T21))/C7-41/19*F22*V21/T21</f>
        <v>615.26932498079532</v>
      </c>
      <c r="R21" s="68">
        <f>Y21*W21/(T21*C7)+41*F22*U21/(19*T21)+X21+2*F22*V21*W21/T21</f>
        <v>387.17995724486036</v>
      </c>
      <c r="S21" s="69">
        <f>-2*F22*U21*W21/T21</f>
        <v>-436.69178662380114</v>
      </c>
      <c r="T21" s="70">
        <f>(1+Z21*(1+41/38*(2*F22*K17/K15)))</f>
        <v>1.4602650642865695</v>
      </c>
      <c r="U21" s="66">
        <f>K17+C12*W21/(0.047*T21*C7)-K9/(0.047*C7)</f>
        <v>252329.13999946768</v>
      </c>
      <c r="V21" s="66">
        <f>(41/(38*T21)+0.5)/(0.047*C7)</f>
        <v>13179.477704255054</v>
      </c>
      <c r="W21" s="66">
        <f>6*C8/19+3*C5/19-6*C17/19*(2-C18)</f>
        <v>5.9070896055650293</v>
      </c>
      <c r="X21" s="66">
        <f>K15+(C17+J9)/C7</f>
        <v>2307.2166207241444</v>
      </c>
      <c r="Y21" s="66">
        <f>0.5*C24*Z21*2*F22*K17/K15-1</f>
        <v>-1</v>
      </c>
      <c r="Z21" s="66">
        <f>(1-C23)/C23</f>
        <v>0.34401221357304235</v>
      </c>
      <c r="AA21" s="66"/>
      <c r="AB21" s="66"/>
    </row>
    <row r="22" spans="2:35" s="1" customFormat="1" ht="14.4" x14ac:dyDescent="0.3">
      <c r="B22" s="44" t="s">
        <v>28</v>
      </c>
      <c r="C22" s="31"/>
      <c r="E22" s="26" t="s">
        <v>80</v>
      </c>
      <c r="F22" s="60">
        <f>0.5/C6</f>
        <v>2.1391229980750033E-4</v>
      </c>
      <c r="H22" s="56" t="s">
        <v>67</v>
      </c>
      <c r="I22" s="29"/>
      <c r="J22" s="46">
        <f>C17-F28</f>
        <v>3.9965468373646496</v>
      </c>
      <c r="K22" s="54" t="s">
        <v>35</v>
      </c>
      <c r="L22" s="29"/>
      <c r="M22" s="14" t="s">
        <v>40</v>
      </c>
      <c r="N22" s="29"/>
      <c r="O22" s="17">
        <f>K24</f>
        <v>0.29099436213015384</v>
      </c>
      <c r="P22" s="29"/>
      <c r="Q22" s="29" t="s">
        <v>230</v>
      </c>
      <c r="R22" s="29">
        <f>(W21-41/38*J7)/T21</f>
        <v>3.6152028369266236</v>
      </c>
      <c r="S22" s="29"/>
      <c r="T22" s="66"/>
      <c r="U22" s="66"/>
      <c r="V22" s="66"/>
      <c r="W22" s="66"/>
      <c r="X22" s="66"/>
      <c r="Y22" s="66"/>
      <c r="Z22" s="66"/>
      <c r="AA22" s="66"/>
      <c r="AB22" s="66"/>
    </row>
    <row r="23" spans="2:35" s="1" customFormat="1" ht="15.6" x14ac:dyDescent="0.35">
      <c r="B23" s="90" t="s">
        <v>167</v>
      </c>
      <c r="C23" s="91">
        <f>fC</f>
        <v>0.74404085759124949</v>
      </c>
      <c r="E23" s="29"/>
      <c r="F23" s="29"/>
      <c r="H23" s="14" t="s">
        <v>37</v>
      </c>
      <c r="I23" s="29"/>
      <c r="J23" s="20">
        <f>J12-0.5*(J8-J7)+0.5*J7</f>
        <v>0.29099436213015384</v>
      </c>
      <c r="K23" s="43">
        <f>K12+0.5*K7-0.5*(K8-K7)</f>
        <v>11.317232966314888</v>
      </c>
      <c r="L23" s="29"/>
      <c r="M23" s="14" t="s">
        <v>41</v>
      </c>
      <c r="N23" s="29"/>
      <c r="O23" s="19">
        <f>F28+J11</f>
        <v>0</v>
      </c>
      <c r="Q23" s="29" t="s">
        <v>231</v>
      </c>
      <c r="R23" s="29">
        <f>(-R21+SQRT(R21*R21-4*Q21*S21))/(2*Q21)</f>
        <v>0.58466658854987574</v>
      </c>
      <c r="S23" s="29"/>
      <c r="T23" s="66"/>
      <c r="U23" s="66"/>
      <c r="V23" s="66"/>
      <c r="W23" s="66"/>
      <c r="X23" s="66"/>
      <c r="Y23" s="66"/>
      <c r="Z23" s="66"/>
      <c r="AA23" s="66"/>
      <c r="AB23" s="66"/>
    </row>
    <row r="24" spans="2:35" s="1" customFormat="1" ht="15.6" x14ac:dyDescent="0.35">
      <c r="B24" s="92" t="s">
        <v>168</v>
      </c>
      <c r="C24" s="93">
        <f>csiGDC</f>
        <v>0</v>
      </c>
      <c r="H24" s="10" t="s">
        <v>17</v>
      </c>
      <c r="I24" s="18"/>
      <c r="J24" s="20">
        <f>K25-F28</f>
        <v>3.7055524752344957</v>
      </c>
      <c r="K24" s="43">
        <f>IF(J22&gt;=J23,J23,J22)</f>
        <v>0.29099436213015384</v>
      </c>
      <c r="L24" s="29"/>
      <c r="M24" s="14" t="s">
        <v>42</v>
      </c>
      <c r="N24" s="29"/>
      <c r="O24" s="19">
        <f>K25</f>
        <v>3.7055524752344957</v>
      </c>
      <c r="Q24" s="29" t="s">
        <v>232</v>
      </c>
      <c r="R24" s="125">
        <f>X21+(Y21*W21/T21+J7*(0.5-41/38*Y21/T21))/C7</f>
        <v>645.11238332590983</v>
      </c>
      <c r="S24" s="29"/>
      <c r="T24" s="29"/>
    </row>
    <row r="25" spans="2:35" s="1" customFormat="1" ht="16.2" x14ac:dyDescent="0.35">
      <c r="B25" s="94" t="s">
        <v>169</v>
      </c>
      <c r="C25" s="91">
        <f>frlight</f>
        <v>0.4</v>
      </c>
      <c r="E25" s="5" t="s">
        <v>29</v>
      </c>
      <c r="F25" s="6"/>
      <c r="H25" s="24" t="s">
        <v>62</v>
      </c>
      <c r="I25" s="29"/>
      <c r="J25" s="46">
        <f>K25</f>
        <v>3.7055524752344957</v>
      </c>
      <c r="K25" s="19">
        <f>C17-K24</f>
        <v>3.7055524752344957</v>
      </c>
      <c r="L25" s="29"/>
      <c r="M25" s="14" t="s">
        <v>45</v>
      </c>
      <c r="N25" s="29"/>
      <c r="O25" s="17">
        <f>K7-K8</f>
        <v>0</v>
      </c>
      <c r="P25" s="29"/>
      <c r="Q25" s="1" t="s">
        <v>233</v>
      </c>
      <c r="R25" s="1">
        <f>U21-V21*J7</f>
        <v>244658.83258395109</v>
      </c>
      <c r="T25" s="29"/>
    </row>
    <row r="26" spans="2:35" s="1" customFormat="1" ht="14.4" x14ac:dyDescent="0.3">
      <c r="B26" s="44" t="s">
        <v>27</v>
      </c>
      <c r="C26" s="31"/>
      <c r="E26" s="10" t="s">
        <v>25</v>
      </c>
      <c r="F26" s="43">
        <f>2*C17/(3*F7+3.5*F8+2*C17)</f>
        <v>0.30806494593592454</v>
      </c>
      <c r="H26" s="10" t="s">
        <v>18</v>
      </c>
      <c r="I26" s="18"/>
      <c r="J26" s="20">
        <f>K24+J24</f>
        <v>3.9965468373646496</v>
      </c>
      <c r="K26" s="43" t="s">
        <v>35</v>
      </c>
      <c r="L26" s="37"/>
      <c r="M26" s="14" t="s">
        <v>76</v>
      </c>
      <c r="N26" s="29"/>
      <c r="O26" s="17">
        <f>1/2*O25</f>
        <v>0</v>
      </c>
      <c r="P26" s="29"/>
      <c r="T26" s="29"/>
    </row>
    <row r="27" spans="2:35" s="1" customFormat="1" ht="16.2" x14ac:dyDescent="0.35">
      <c r="B27" s="94" t="s">
        <v>170</v>
      </c>
      <c r="C27" s="91">
        <f>fPR</f>
        <v>0</v>
      </c>
      <c r="E27" s="14" t="s">
        <v>72</v>
      </c>
      <c r="F27" s="17">
        <f>C17</f>
        <v>3.9965468373646496</v>
      </c>
      <c r="H27" s="14" t="s">
        <v>38</v>
      </c>
      <c r="I27" s="29"/>
      <c r="J27" s="20">
        <f>-K24+J12-0.5*(J8-J7)+0.5*J7</f>
        <v>0</v>
      </c>
      <c r="K27" s="43">
        <f>K24+K12+0.5*K7-0.5*(K8-K7)</f>
        <v>11.608227328445043</v>
      </c>
      <c r="L27" s="37"/>
      <c r="M27" s="14" t="s">
        <v>43</v>
      </c>
      <c r="N27" s="29"/>
      <c r="O27" s="17">
        <f>O24+O26</f>
        <v>3.7055524752344957</v>
      </c>
      <c r="P27" s="29"/>
      <c r="Q27" s="59" t="s">
        <v>228</v>
      </c>
      <c r="R27" s="7"/>
      <c r="S27" s="6"/>
      <c r="T27" s="64"/>
      <c r="U27" s="64"/>
      <c r="V27" s="64"/>
      <c r="W27" s="64"/>
    </row>
    <row r="28" spans="2:35" s="1" customFormat="1" ht="16.2" x14ac:dyDescent="0.35">
      <c r="B28" s="94" t="s">
        <v>171</v>
      </c>
      <c r="C28" s="91">
        <f>fCS</f>
        <v>0</v>
      </c>
      <c r="E28" s="10" t="s">
        <v>12</v>
      </c>
      <c r="F28" s="17">
        <f>C18*F27</f>
        <v>0</v>
      </c>
      <c r="H28" s="14" t="s">
        <v>55</v>
      </c>
      <c r="I28" s="29"/>
      <c r="J28" s="46">
        <f>IF(K24&lt;J23,J23-K24,0)</f>
        <v>0</v>
      </c>
      <c r="K28" s="17">
        <f>K27</f>
        <v>11.608227328445043</v>
      </c>
      <c r="L28" s="37"/>
      <c r="M28" s="14" t="s">
        <v>44</v>
      </c>
      <c r="N28" s="29"/>
      <c r="O28" s="17">
        <f>J26-K25-O26-J11</f>
        <v>0.29099436213015384</v>
      </c>
      <c r="P28" s="29"/>
      <c r="Q28" s="14" t="s">
        <v>82</v>
      </c>
      <c r="R28" s="29" t="s">
        <v>83</v>
      </c>
      <c r="S28" s="31" t="s">
        <v>96</v>
      </c>
      <c r="T28" s="64" t="s">
        <v>235</v>
      </c>
      <c r="U28" s="64" t="s">
        <v>236</v>
      </c>
      <c r="V28" s="64" t="s">
        <v>237</v>
      </c>
      <c r="W28" s="64" t="s">
        <v>238</v>
      </c>
      <c r="Y28" s="1" t="s">
        <v>234</v>
      </c>
      <c r="Z28" s="64" t="s">
        <v>104</v>
      </c>
    </row>
    <row r="29" spans="2:35" s="1" customFormat="1" ht="16.2" x14ac:dyDescent="0.35">
      <c r="B29" s="96" t="s">
        <v>172</v>
      </c>
      <c r="C29" s="116">
        <f>fPPDK</f>
        <v>0</v>
      </c>
      <c r="E29" s="22" t="s">
        <v>77</v>
      </c>
      <c r="F29" s="25">
        <f>C17-F28</f>
        <v>3.9965468373646496</v>
      </c>
      <c r="H29" s="26" t="s">
        <v>19</v>
      </c>
      <c r="I29" s="33"/>
      <c r="J29" s="32">
        <f>J12+J6+2*J7+2*J11+F28+0.5*J10+0.5*(J8-J7)</f>
        <v>4.7737614605048364</v>
      </c>
      <c r="K29" s="47">
        <f>2*K11++K6+2*K7+K10/2+K12+0.5*(K8-K7)</f>
        <v>21.844826539542066</v>
      </c>
      <c r="M29" s="26" t="s">
        <v>109</v>
      </c>
      <c r="N29" s="33"/>
      <c r="O29" s="74">
        <f>ABS(O19)+ABS(O20)+ABS(O21)+ABS(O22)+ABS(O23)+ABS(O24)+ABS(O25)+ABS(O26)+ABS(O27)+ABS(O28)</f>
        <v>23.77914684940858</v>
      </c>
      <c r="P29" s="29"/>
      <c r="Q29" s="124">
        <f>2*W29*C12*F22-V29*0.047*(1+Z29+Y29*Z29)</f>
        <v>-0.11702297003602803</v>
      </c>
      <c r="R29" s="68">
        <f>2*F22*C7*0.047*K17-T29*$C$12*F22-2*C12*F22*C5+0.047*U29*(1+Z29+Y29*Z29)+V29*T29*0.047</f>
        <v>0.99295252099119258</v>
      </c>
      <c r="S29" s="69">
        <f>-0.047*T29*U29</f>
        <v>-2.0594715712043872</v>
      </c>
      <c r="T29" s="70">
        <f>1/2*C9+1/6*C5</f>
        <v>5.8225242786405937</v>
      </c>
      <c r="U29" s="66">
        <f>C7*K15+1/2*T29+C17+J9</f>
        <v>7.5256953807685854</v>
      </c>
      <c r="V29" s="66">
        <f>1+0.5*(1+Z29*(1+Y29*(1-C24)))</f>
        <v>1.7258793790683997</v>
      </c>
      <c r="W29" s="66">
        <f>(1+0.5*(1+Z29+Y29*Z29))</f>
        <v>1.7258793790683997</v>
      </c>
      <c r="Y29" s="1">
        <f>2*F22*K17/K15</f>
        <v>0.31320557908296381</v>
      </c>
      <c r="Z29" s="66">
        <f>(1-C23)/C23</f>
        <v>0.34401221357304235</v>
      </c>
    </row>
    <row r="30" spans="2:35" s="1" customFormat="1" ht="14.4" x14ac:dyDescent="0.3">
      <c r="P30" s="29"/>
      <c r="Q30" s="29" t="s">
        <v>230</v>
      </c>
      <c r="R30" s="126">
        <f>(-R29+SQRT(R29*R29-4*Q29*S29))/(2*Q29)</f>
        <v>3.6097840119842215</v>
      </c>
      <c r="S30" s="29"/>
      <c r="T30" s="66"/>
      <c r="U30" s="66"/>
      <c r="V30" s="66"/>
      <c r="W30" s="66"/>
    </row>
    <row r="31" spans="2:35" s="1" customFormat="1" ht="14.4" x14ac:dyDescent="0.3">
      <c r="P31" s="29"/>
      <c r="Q31" s="29" t="s">
        <v>231</v>
      </c>
      <c r="R31" s="126">
        <f>T29-R30*(1+Z29+Y29*Z29)</f>
        <v>0.58198872426030768</v>
      </c>
      <c r="S31" s="29"/>
      <c r="T31" s="66">
        <v>1</v>
      </c>
      <c r="U31" s="66"/>
      <c r="V31" s="66"/>
      <c r="W31" s="66"/>
    </row>
    <row r="32" spans="2:35" s="1" customFormat="1" x14ac:dyDescent="0.25">
      <c r="P32" s="29"/>
      <c r="Q32" s="29" t="s">
        <v>232</v>
      </c>
      <c r="R32" s="125">
        <f>(U29-V29*R30)/C7</f>
        <v>647.82179579710998</v>
      </c>
      <c r="S32" s="29"/>
      <c r="T32" s="29">
        <f>T31-0.5*(-T31)</f>
        <v>1.5</v>
      </c>
    </row>
    <row r="33" spans="5:43" s="1" customFormat="1" x14ac:dyDescent="0.25">
      <c r="P33" s="29"/>
      <c r="Q33" s="1" t="s">
        <v>233</v>
      </c>
      <c r="R33" s="1">
        <f>K17+C12*(W29*R30-0.5*T29-C5)/(0.047*C7)</f>
        <v>244131.12726963434</v>
      </c>
      <c r="T33" s="29"/>
    </row>
    <row r="34" spans="5:43" s="1" customFormat="1" x14ac:dyDescent="0.25">
      <c r="P34" s="29"/>
      <c r="T34" s="29"/>
    </row>
    <row r="35" spans="5:43" s="1" customFormat="1" x14ac:dyDescent="0.25">
      <c r="P35" s="29"/>
      <c r="T35" s="29"/>
    </row>
    <row r="36" spans="5:43" s="1" customFormat="1" x14ac:dyDescent="0.25">
      <c r="P36" s="29"/>
      <c r="T36" s="29"/>
    </row>
    <row r="37" spans="5:43" s="1" customFormat="1" x14ac:dyDescent="0.25">
      <c r="P37" s="29"/>
      <c r="T37" s="29"/>
    </row>
    <row r="38" spans="5:43" s="1" customFormat="1" x14ac:dyDescent="0.25">
      <c r="P38" s="29"/>
      <c r="T38" s="29"/>
    </row>
    <row r="39" spans="5:43" s="1" customFormat="1" x14ac:dyDescent="0.25">
      <c r="P39" s="29"/>
      <c r="T39" s="29"/>
    </row>
    <row r="40" spans="5:43" s="1" customFormat="1" x14ac:dyDescent="0.25">
      <c r="P40" s="29"/>
      <c r="Q40" s="29"/>
      <c r="R40" s="29"/>
      <c r="S40" s="29"/>
      <c r="T40" s="29"/>
      <c r="AE40" s="9"/>
    </row>
    <row r="41" spans="5:43" s="1" customFormat="1" x14ac:dyDescent="0.25">
      <c r="M41" s="29"/>
      <c r="P41" s="29"/>
      <c r="Q41" s="29"/>
      <c r="R41" s="29"/>
      <c r="S41" s="29"/>
      <c r="T41" s="29"/>
      <c r="AE41" s="9"/>
    </row>
    <row r="42" spans="5:43" s="1" customFormat="1" x14ac:dyDescent="0.25">
      <c r="M42" s="29"/>
      <c r="P42" s="29"/>
      <c r="Q42" s="29"/>
      <c r="R42" s="29"/>
      <c r="S42" s="29"/>
      <c r="T42" s="29"/>
      <c r="AE42" s="9"/>
      <c r="AQ42" s="1" t="s">
        <v>78</v>
      </c>
    </row>
    <row r="43" spans="5:43" s="1" customFormat="1" x14ac:dyDescent="0.25">
      <c r="E43" s="30"/>
      <c r="F43" s="20"/>
      <c r="P43" s="29"/>
      <c r="Q43" s="29"/>
      <c r="R43" s="29"/>
      <c r="S43" s="29"/>
      <c r="T43" s="29"/>
      <c r="AE43" s="9"/>
    </row>
    <row r="44" spans="5:43" s="1" customFormat="1" x14ac:dyDescent="0.25">
      <c r="E44" s="30"/>
      <c r="F44" s="20"/>
      <c r="O44" s="9"/>
      <c r="P44" s="29"/>
      <c r="Q44" s="29"/>
      <c r="R44" s="29"/>
      <c r="S44" s="29"/>
      <c r="T44" s="29"/>
      <c r="AE44" s="9"/>
    </row>
    <row r="45" spans="5:43" s="1" customFormat="1" x14ac:dyDescent="0.25"/>
    <row r="46" spans="5:43" s="1" customFormat="1" x14ac:dyDescent="0.25">
      <c r="O46" s="3"/>
      <c r="P46" s="3"/>
      <c r="Q46" s="3"/>
      <c r="R46" s="3"/>
    </row>
    <row r="47" spans="5:43" s="1" customFormat="1" x14ac:dyDescent="0.25">
      <c r="O47" s="3"/>
      <c r="P47" s="3"/>
      <c r="Q47" s="3"/>
      <c r="R47" s="3"/>
    </row>
    <row r="48" spans="5:43" s="3" customFormat="1" x14ac:dyDescent="0.25">
      <c r="N48" s="1"/>
    </row>
    <row r="49" spans="1:70" s="3" customFormat="1" x14ac:dyDescent="0.25"/>
    <row r="50" spans="1:70" s="3" customFormat="1" x14ac:dyDescent="0.25"/>
    <row r="51" spans="1:70" s="3" customFormat="1" x14ac:dyDescent="0.25"/>
    <row r="52" spans="1:70" s="3" customFormat="1" x14ac:dyDescent="0.25"/>
    <row r="53" spans="1:70" s="3" customFormat="1" x14ac:dyDescent="0.25"/>
    <row r="54" spans="1:70" s="3" customFormat="1" x14ac:dyDescent="0.25"/>
    <row r="55" spans="1:70" s="3" customFormat="1" x14ac:dyDescent="0.25"/>
    <row r="56" spans="1:70" s="3" customFormat="1" x14ac:dyDescent="0.25"/>
    <row r="57" spans="1:70" s="3" customFormat="1" x14ac:dyDescent="0.25"/>
    <row r="58" spans="1:70" s="3" customFormat="1" x14ac:dyDescent="0.25"/>
    <row r="59" spans="1:70" s="3" customFormat="1" x14ac:dyDescent="0.25"/>
    <row r="60" spans="1:70" s="30" customFormat="1" x14ac:dyDescent="0.25">
      <c r="A60" s="3"/>
      <c r="C60" s="3"/>
      <c r="I60" s="3"/>
      <c r="R60" s="3"/>
      <c r="S60" s="3"/>
      <c r="V60" s="3"/>
      <c r="AI60" s="3"/>
    </row>
    <row r="61" spans="1:70" s="1" customFormat="1" x14ac:dyDescent="0.25">
      <c r="J61" s="3"/>
      <c r="K61" s="3"/>
      <c r="L61" s="3"/>
      <c r="M61" s="3"/>
      <c r="O61" s="34"/>
      <c r="P61" s="34"/>
      <c r="Q61" s="34"/>
      <c r="R61" s="35"/>
      <c r="S61" s="35"/>
      <c r="T61" s="35"/>
      <c r="U61" s="36"/>
      <c r="V61" s="35"/>
      <c r="AC61" s="29"/>
      <c r="AD61" s="29"/>
      <c r="AE61" s="29"/>
      <c r="AK61" s="9"/>
      <c r="AL61" s="9"/>
      <c r="AM61" s="9"/>
      <c r="AN61" s="9"/>
      <c r="AP61" s="9"/>
      <c r="AQ61" s="9"/>
      <c r="AR61" s="9"/>
      <c r="AU61" s="9"/>
      <c r="AV61" s="9"/>
      <c r="AW61" s="9"/>
      <c r="AX61" s="9"/>
      <c r="AY61" s="29"/>
      <c r="AZ61" s="9"/>
      <c r="BA61" s="9"/>
      <c r="BB61" s="9"/>
      <c r="BC61" s="9"/>
      <c r="BD61" s="9"/>
      <c r="BE61" s="9"/>
      <c r="BF61" s="37"/>
      <c r="BG61" s="9"/>
      <c r="BH61" s="9"/>
      <c r="BI61" s="9"/>
      <c r="BJ61" s="9"/>
      <c r="BK61" s="9"/>
      <c r="BL61" s="29"/>
      <c r="BM61" s="37"/>
      <c r="BN61" s="37"/>
      <c r="BO61" s="29"/>
      <c r="BP61" s="29"/>
      <c r="BQ61" s="29"/>
      <c r="BR61" s="29"/>
    </row>
    <row r="62" spans="1:70" s="1" customFormat="1" x14ac:dyDescent="0.25">
      <c r="J62" s="3"/>
      <c r="K62" s="3"/>
      <c r="L62" s="3"/>
      <c r="M62" s="3"/>
      <c r="O62" s="34"/>
      <c r="P62" s="34"/>
      <c r="Q62" s="34"/>
      <c r="R62" s="35"/>
      <c r="S62" s="35"/>
      <c r="T62" s="35"/>
      <c r="U62" s="36"/>
      <c r="V62" s="35"/>
      <c r="AC62" s="29"/>
      <c r="AD62" s="29"/>
      <c r="AE62" s="29"/>
      <c r="AK62" s="9"/>
      <c r="AL62" s="9"/>
      <c r="AM62" s="9"/>
      <c r="AN62" s="9"/>
      <c r="AP62" s="9"/>
      <c r="AQ62" s="9"/>
      <c r="AR62" s="9"/>
      <c r="AU62" s="9"/>
      <c r="AV62" s="9"/>
      <c r="AW62" s="9"/>
      <c r="AX62" s="9"/>
      <c r="AY62" s="29"/>
      <c r="AZ62" s="9"/>
      <c r="BA62" s="9"/>
      <c r="BB62" s="9"/>
      <c r="BC62" s="9"/>
      <c r="BD62" s="9"/>
      <c r="BE62" s="9"/>
      <c r="BF62" s="37"/>
      <c r="BG62" s="9"/>
      <c r="BH62" s="9"/>
      <c r="BI62" s="9"/>
      <c r="BJ62" s="9"/>
      <c r="BK62" s="9"/>
      <c r="BL62" s="29"/>
      <c r="BM62" s="37"/>
      <c r="BN62" s="37"/>
      <c r="BO62" s="29"/>
      <c r="BP62" s="29"/>
      <c r="BQ62" s="29"/>
      <c r="BR62" s="29"/>
    </row>
    <row r="63" spans="1:70" s="1" customFormat="1" x14ac:dyDescent="0.25">
      <c r="E63" s="29"/>
      <c r="J63" s="3"/>
      <c r="K63" s="3"/>
      <c r="L63" s="3"/>
      <c r="M63" s="3"/>
      <c r="O63" s="34"/>
      <c r="P63" s="34"/>
      <c r="Q63" s="34"/>
      <c r="R63" s="35"/>
      <c r="S63" s="35"/>
      <c r="T63" s="35"/>
      <c r="U63" s="36"/>
      <c r="V63" s="35"/>
      <c r="AC63" s="29"/>
      <c r="AD63" s="29"/>
      <c r="AE63" s="29"/>
      <c r="AK63" s="9"/>
      <c r="AL63" s="9"/>
      <c r="AM63" s="9"/>
      <c r="AN63" s="9"/>
      <c r="AP63" s="9"/>
      <c r="AQ63" s="9"/>
      <c r="AR63" s="9"/>
      <c r="AU63" s="9"/>
      <c r="AV63" s="9"/>
      <c r="AW63" s="9"/>
      <c r="AX63" s="9"/>
      <c r="AY63" s="29"/>
      <c r="AZ63" s="9"/>
      <c r="BA63" s="9"/>
      <c r="BB63" s="9"/>
      <c r="BC63" s="9"/>
      <c r="BD63" s="9"/>
      <c r="BE63" s="9"/>
      <c r="BF63" s="37"/>
      <c r="BG63" s="9"/>
      <c r="BH63" s="9"/>
      <c r="BI63" s="9"/>
      <c r="BJ63" s="9"/>
      <c r="BK63" s="9"/>
      <c r="BL63" s="29"/>
      <c r="BM63" s="37"/>
      <c r="BN63" s="37"/>
      <c r="BO63" s="29"/>
      <c r="BP63" s="29"/>
      <c r="BQ63" s="29"/>
      <c r="BR63" s="29"/>
    </row>
    <row r="64" spans="1:70" s="1" customFormat="1" x14ac:dyDescent="0.25">
      <c r="J64" s="3"/>
      <c r="K64" s="3"/>
      <c r="L64" s="3"/>
      <c r="M64" s="3"/>
      <c r="O64" s="34"/>
      <c r="P64" s="34"/>
      <c r="Q64" s="34"/>
      <c r="R64" s="35"/>
      <c r="S64" s="35"/>
      <c r="T64" s="35"/>
      <c r="U64" s="36"/>
      <c r="V64" s="35"/>
      <c r="AC64" s="29"/>
      <c r="AD64" s="29"/>
      <c r="AE64" s="29"/>
      <c r="AK64" s="9"/>
      <c r="AL64" s="9"/>
      <c r="AM64" s="9"/>
      <c r="AN64" s="9"/>
      <c r="AP64" s="9"/>
      <c r="AQ64" s="9"/>
      <c r="AR64" s="9"/>
      <c r="AU64" s="9"/>
      <c r="AV64" s="9"/>
      <c r="AW64" s="9"/>
      <c r="AX64" s="9"/>
      <c r="AY64" s="29"/>
      <c r="AZ64" s="9"/>
      <c r="BA64" s="9"/>
      <c r="BB64" s="9"/>
      <c r="BC64" s="9"/>
      <c r="BD64" s="9"/>
      <c r="BE64" s="9"/>
      <c r="BF64" s="37"/>
      <c r="BG64" s="9"/>
      <c r="BH64" s="9"/>
      <c r="BI64" s="9"/>
      <c r="BJ64" s="9"/>
      <c r="BK64" s="9"/>
      <c r="BL64" s="29"/>
      <c r="BM64" s="37"/>
      <c r="BN64" s="37"/>
      <c r="BO64" s="29"/>
      <c r="BP64" s="29"/>
      <c r="BQ64" s="29"/>
      <c r="BR64" s="29"/>
    </row>
    <row r="65" spans="1:70" s="1" customFormat="1" x14ac:dyDescent="0.25">
      <c r="J65" s="3"/>
      <c r="K65" s="3"/>
      <c r="L65" s="3"/>
      <c r="M65" s="3"/>
      <c r="O65" s="34"/>
      <c r="P65" s="34"/>
      <c r="Q65" s="34"/>
      <c r="R65" s="35"/>
      <c r="S65" s="35"/>
      <c r="T65" s="35"/>
      <c r="U65" s="36"/>
      <c r="V65" s="35"/>
      <c r="AC65" s="29"/>
      <c r="AD65" s="29"/>
      <c r="AE65" s="29"/>
      <c r="AK65" s="9"/>
      <c r="AL65" s="9"/>
      <c r="AM65" s="9"/>
      <c r="AN65" s="9"/>
      <c r="AP65" s="9"/>
      <c r="AQ65" s="9"/>
      <c r="AR65" s="9"/>
      <c r="AU65" s="9"/>
      <c r="AV65" s="9"/>
      <c r="AW65" s="9"/>
      <c r="AX65" s="9"/>
      <c r="AY65" s="29"/>
      <c r="AZ65" s="9"/>
      <c r="BA65" s="9"/>
      <c r="BB65" s="9"/>
      <c r="BC65" s="9"/>
      <c r="BD65" s="9"/>
      <c r="BE65" s="9"/>
      <c r="BF65" s="37"/>
      <c r="BG65" s="9"/>
      <c r="BH65" s="9"/>
      <c r="BI65" s="9"/>
      <c r="BJ65" s="9"/>
      <c r="BK65" s="9"/>
      <c r="BL65" s="29"/>
      <c r="BM65" s="37"/>
      <c r="BN65" s="37"/>
      <c r="BO65" s="29"/>
      <c r="BP65" s="29"/>
      <c r="BQ65" s="29"/>
      <c r="BR65" s="29"/>
    </row>
    <row r="66" spans="1:70" s="1" customFormat="1" x14ac:dyDescent="0.25">
      <c r="J66" s="3"/>
      <c r="K66" s="3"/>
      <c r="L66" s="30"/>
      <c r="M66" s="3"/>
      <c r="O66" s="34"/>
      <c r="P66" s="34"/>
      <c r="Q66" s="34"/>
      <c r="R66" s="35"/>
      <c r="S66" s="35"/>
      <c r="T66" s="35"/>
      <c r="U66" s="36"/>
      <c r="V66" s="35"/>
      <c r="AC66" s="29"/>
      <c r="AD66" s="29"/>
      <c r="AE66" s="29"/>
      <c r="AK66" s="9"/>
      <c r="AL66" s="9"/>
      <c r="AM66" s="9"/>
      <c r="AN66" s="9"/>
      <c r="AP66" s="9"/>
      <c r="AQ66" s="9"/>
      <c r="AR66" s="9"/>
      <c r="AU66" s="9"/>
      <c r="AV66" s="9"/>
      <c r="AW66" s="9"/>
      <c r="AX66" s="9"/>
      <c r="AY66" s="29"/>
      <c r="AZ66" s="9"/>
      <c r="BA66" s="9"/>
      <c r="BB66" s="9"/>
      <c r="BC66" s="9"/>
      <c r="BD66" s="9"/>
      <c r="BE66" s="9"/>
      <c r="BF66" s="37"/>
      <c r="BG66" s="9"/>
      <c r="BH66" s="9"/>
      <c r="BI66" s="9"/>
      <c r="BJ66" s="9"/>
      <c r="BK66" s="9"/>
      <c r="BL66" s="29"/>
      <c r="BM66" s="37"/>
      <c r="BN66" s="37"/>
      <c r="BO66" s="29"/>
      <c r="BP66" s="29"/>
      <c r="BQ66" s="29"/>
      <c r="BR66" s="29"/>
    </row>
    <row r="67" spans="1:70" s="3" customFormat="1" x14ac:dyDescent="0.25">
      <c r="A67" s="1"/>
      <c r="B67" s="1"/>
      <c r="D67" s="1"/>
      <c r="N67" s="1"/>
      <c r="O67" s="34"/>
      <c r="P67" s="34"/>
      <c r="Q67" s="34"/>
      <c r="R67" s="35"/>
      <c r="S67" s="35"/>
      <c r="T67" s="35"/>
      <c r="U67" s="36"/>
      <c r="V67" s="35"/>
      <c r="W67" s="1"/>
      <c r="AC67" s="29"/>
      <c r="AD67" s="29"/>
      <c r="AE67" s="29"/>
      <c r="AK67" s="8"/>
      <c r="AL67" s="8"/>
      <c r="AM67" s="8"/>
      <c r="AN67" s="8"/>
      <c r="AP67" s="9"/>
      <c r="AQ67" s="8"/>
      <c r="AR67" s="8"/>
      <c r="AU67" s="9"/>
      <c r="AV67" s="9"/>
      <c r="AW67" s="8"/>
      <c r="AX67" s="8"/>
      <c r="AY67" s="30"/>
      <c r="AZ67" s="9"/>
      <c r="BA67" s="8"/>
      <c r="BB67" s="8"/>
      <c r="BC67" s="9"/>
      <c r="BD67" s="9"/>
      <c r="BE67" s="9"/>
      <c r="BF67" s="37"/>
      <c r="BG67" s="8"/>
      <c r="BH67" s="8"/>
      <c r="BI67" s="8"/>
      <c r="BJ67" s="9"/>
      <c r="BK67" s="8"/>
      <c r="BL67" s="30"/>
      <c r="BM67" s="37"/>
      <c r="BN67" s="37"/>
      <c r="BO67" s="30"/>
      <c r="BP67" s="30"/>
      <c r="BQ67" s="29"/>
      <c r="BR67" s="29"/>
    </row>
    <row r="68" spans="1:70" s="3" customFormat="1" x14ac:dyDescent="0.25">
      <c r="A68" s="1"/>
      <c r="B68" s="1"/>
      <c r="D68" s="1"/>
      <c r="N68" s="1"/>
      <c r="O68" s="34"/>
      <c r="P68" s="34"/>
      <c r="Q68" s="34"/>
      <c r="R68" s="35"/>
      <c r="S68" s="35"/>
      <c r="T68" s="35"/>
      <c r="U68" s="36"/>
      <c r="V68" s="35"/>
      <c r="W68" s="1"/>
      <c r="AC68" s="29"/>
      <c r="AD68" s="29"/>
      <c r="AE68" s="29"/>
      <c r="AK68" s="8"/>
      <c r="AL68" s="8"/>
      <c r="AM68" s="8"/>
      <c r="AN68" s="8"/>
      <c r="AP68" s="9"/>
      <c r="AQ68" s="8"/>
      <c r="AR68" s="8"/>
      <c r="AU68" s="9"/>
      <c r="AV68" s="9"/>
      <c r="AW68" s="8"/>
      <c r="AX68" s="8"/>
      <c r="AY68" s="30"/>
      <c r="AZ68" s="9"/>
      <c r="BA68" s="8"/>
      <c r="BB68" s="8"/>
      <c r="BC68" s="9"/>
      <c r="BD68" s="9"/>
      <c r="BE68" s="9"/>
      <c r="BF68" s="37"/>
      <c r="BG68" s="8"/>
      <c r="BH68" s="8"/>
      <c r="BI68" s="8"/>
      <c r="BJ68" s="9"/>
      <c r="BK68" s="8"/>
      <c r="BL68" s="30"/>
      <c r="BM68" s="37"/>
      <c r="BN68" s="37"/>
      <c r="BO68" s="30"/>
      <c r="BP68" s="30"/>
      <c r="BQ68" s="29"/>
      <c r="BR68" s="29"/>
    </row>
    <row r="69" spans="1:70" s="38" customFormat="1" x14ac:dyDescent="0.25">
      <c r="A69" s="1"/>
      <c r="B69" s="1"/>
      <c r="D69" s="1"/>
      <c r="J69" s="3"/>
      <c r="K69" s="3"/>
      <c r="L69" s="3"/>
      <c r="M69" s="3"/>
      <c r="N69" s="1"/>
      <c r="O69" s="34"/>
      <c r="P69" s="34"/>
      <c r="Q69" s="34"/>
      <c r="R69" s="35"/>
      <c r="S69" s="35"/>
      <c r="T69" s="35"/>
      <c r="U69" s="36"/>
      <c r="V69" s="35"/>
      <c r="W69" s="1"/>
      <c r="AC69" s="29"/>
      <c r="AD69" s="29"/>
      <c r="AE69" s="29"/>
      <c r="AK69" s="39"/>
      <c r="AL69" s="39"/>
      <c r="AM69" s="39"/>
      <c r="AN69" s="39"/>
      <c r="AP69" s="9"/>
      <c r="AQ69" s="39"/>
      <c r="AR69" s="39"/>
      <c r="AU69" s="9"/>
      <c r="AV69" s="9"/>
      <c r="AW69" s="39"/>
      <c r="AX69" s="39"/>
      <c r="AY69" s="40"/>
      <c r="AZ69" s="9"/>
      <c r="BA69" s="39"/>
      <c r="BB69" s="39"/>
      <c r="BC69" s="9"/>
      <c r="BD69" s="9"/>
      <c r="BE69" s="9"/>
      <c r="BF69" s="37"/>
      <c r="BG69" s="39"/>
      <c r="BH69" s="39"/>
      <c r="BI69" s="39"/>
      <c r="BJ69" s="9"/>
      <c r="BK69" s="39"/>
      <c r="BL69" s="40"/>
      <c r="BM69" s="37"/>
      <c r="BN69" s="37"/>
      <c r="BO69" s="40"/>
      <c r="BP69" s="40"/>
      <c r="BQ69" s="29"/>
      <c r="BR69" s="29"/>
    </row>
    <row r="70" spans="1:70" s="1" customFormat="1" x14ac:dyDescent="0.25">
      <c r="J70" s="3"/>
      <c r="K70" s="3"/>
      <c r="L70" s="3"/>
      <c r="M70" s="3"/>
      <c r="O70" s="34"/>
      <c r="P70" s="34"/>
      <c r="Q70" s="34"/>
      <c r="R70" s="35"/>
      <c r="S70" s="35"/>
      <c r="T70" s="35"/>
      <c r="U70" s="36"/>
      <c r="V70" s="35"/>
      <c r="AC70" s="29"/>
      <c r="AD70" s="29"/>
      <c r="AE70" s="29"/>
      <c r="AK70" s="9"/>
      <c r="AL70" s="9"/>
      <c r="AM70" s="9"/>
      <c r="AN70" s="9"/>
      <c r="AP70" s="9"/>
      <c r="AQ70" s="9"/>
      <c r="AR70" s="9"/>
      <c r="AU70" s="9"/>
      <c r="AV70" s="9"/>
      <c r="AW70" s="9"/>
      <c r="AX70" s="9"/>
      <c r="AY70" s="29"/>
      <c r="AZ70" s="9"/>
      <c r="BA70" s="9"/>
      <c r="BB70" s="9"/>
      <c r="BC70" s="9"/>
      <c r="BD70" s="9"/>
      <c r="BE70" s="9"/>
      <c r="BF70" s="37"/>
      <c r="BG70" s="9"/>
      <c r="BH70" s="9"/>
      <c r="BI70" s="9"/>
      <c r="BJ70" s="9"/>
      <c r="BK70" s="9"/>
      <c r="BL70" s="29"/>
      <c r="BM70" s="37"/>
      <c r="BN70" s="37"/>
      <c r="BO70" s="29"/>
      <c r="BP70" s="29"/>
      <c r="BQ70" s="29"/>
      <c r="BR70" s="29"/>
    </row>
    <row r="71" spans="1:70" s="1" customFormat="1" x14ac:dyDescent="0.25">
      <c r="J71" s="3"/>
      <c r="K71" s="3"/>
      <c r="L71" s="3"/>
      <c r="M71" s="3"/>
      <c r="O71" s="34"/>
      <c r="P71" s="34"/>
      <c r="Q71" s="34"/>
      <c r="R71" s="35"/>
      <c r="S71" s="35"/>
      <c r="T71" s="35"/>
      <c r="U71" s="36"/>
      <c r="V71" s="35"/>
      <c r="AC71" s="29"/>
      <c r="AD71" s="29"/>
      <c r="AE71" s="29"/>
      <c r="AK71" s="9"/>
      <c r="AL71" s="9"/>
      <c r="AM71" s="9"/>
      <c r="AN71" s="9"/>
      <c r="AP71" s="9"/>
      <c r="AQ71" s="9"/>
      <c r="AR71" s="9"/>
      <c r="AU71" s="9"/>
      <c r="AV71" s="9"/>
      <c r="AW71" s="9"/>
      <c r="AX71" s="9"/>
      <c r="AY71" s="29"/>
      <c r="AZ71" s="9"/>
      <c r="BA71" s="9"/>
      <c r="BB71" s="9"/>
      <c r="BC71" s="9"/>
      <c r="BD71" s="9"/>
      <c r="BE71" s="9"/>
      <c r="BF71" s="37"/>
      <c r="BG71" s="9"/>
      <c r="BH71" s="9"/>
      <c r="BI71" s="9"/>
      <c r="BJ71" s="9"/>
      <c r="BK71" s="9"/>
      <c r="BL71" s="29"/>
      <c r="BM71" s="37"/>
      <c r="BN71" s="37"/>
      <c r="BO71" s="29"/>
      <c r="BP71" s="29"/>
      <c r="BQ71" s="29"/>
      <c r="BR71" s="29"/>
    </row>
    <row r="72" spans="1:70" s="1" customFormat="1" x14ac:dyDescent="0.25">
      <c r="J72" s="3"/>
      <c r="K72" s="3"/>
      <c r="L72" s="3"/>
      <c r="M72" s="3"/>
    </row>
    <row r="73" spans="1:70" s="1" customFormat="1" x14ac:dyDescent="0.25">
      <c r="J73" s="3"/>
      <c r="K73" s="3"/>
      <c r="L73" s="3"/>
      <c r="M73" s="3"/>
    </row>
    <row r="74" spans="1:70" s="1" customFormat="1" x14ac:dyDescent="0.25">
      <c r="J74" s="3"/>
      <c r="K74" s="3"/>
      <c r="L74" s="3"/>
      <c r="M74" s="3"/>
    </row>
    <row r="75" spans="1:70" s="1" customFormat="1" x14ac:dyDescent="0.25">
      <c r="J75" s="3"/>
      <c r="K75" s="3"/>
      <c r="L75" s="3"/>
      <c r="M75" s="3"/>
    </row>
    <row r="76" spans="1:70" s="1" customFormat="1" x14ac:dyDescent="0.25">
      <c r="J76" s="3"/>
      <c r="K76" s="3"/>
      <c r="L76" s="3"/>
      <c r="M76" s="3"/>
    </row>
  </sheetData>
  <mergeCells count="2">
    <mergeCell ref="B2:C2"/>
    <mergeCell ref="E2:O2"/>
  </mergeCells>
  <conditionalFormatting sqref="W24:W26 W54:W55 W34">
    <cfRule type="top10" dxfId="24" priority="8" bottom="1" rank="1"/>
  </conditionalFormatting>
  <conditionalFormatting sqref="J23">
    <cfRule type="cellIs" dxfId="23" priority="7" operator="lessThan">
      <formula>0</formula>
    </cfRule>
  </conditionalFormatting>
  <conditionalFormatting sqref="J23:K24 J26:K27 J25 J29:K29">
    <cfRule type="cellIs" dxfId="22" priority="6" operator="lessThan">
      <formula>-0.0001</formula>
    </cfRule>
  </conditionalFormatting>
  <conditionalFormatting sqref="K25">
    <cfRule type="cellIs" dxfId="21" priority="5" operator="lessThan">
      <formula>0</formula>
    </cfRule>
  </conditionalFormatting>
  <conditionalFormatting sqref="J28">
    <cfRule type="cellIs" dxfId="20" priority="3" operator="lessThan">
      <formula>0</formula>
    </cfRule>
    <cfRule type="cellIs" dxfId="19" priority="4" operator="greaterThan">
      <formula>0</formula>
    </cfRule>
  </conditionalFormatting>
  <conditionalFormatting sqref="J6:K17">
    <cfRule type="cellIs" dxfId="18" priority="2" operator="lessThan">
      <formula>0</formula>
    </cfRule>
  </conditionalFormatting>
  <conditionalFormatting sqref="W32:W33">
    <cfRule type="top10" dxfId="17" priority="1" bottom="1" rank="1"/>
  </conditionalFormatting>
  <pageMargins left="0.7" right="0.7" top="0.75" bottom="0.75" header="0.3" footer="0.3"/>
  <pageSetup paperSize="9" scale="64" orientation="landscape"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pageSetUpPr fitToPage="1"/>
  </sheetPr>
  <dimension ref="A1:BR76"/>
  <sheetViews>
    <sheetView zoomScaleNormal="100" workbookViewId="0">
      <selection activeCell="C5" sqref="C5"/>
    </sheetView>
  </sheetViews>
  <sheetFormatPr defaultColWidth="9.109375" defaultRowHeight="13.8" x14ac:dyDescent="0.25"/>
  <cols>
    <col min="1" max="1" width="12.33203125" style="1" customWidth="1"/>
    <col min="2" max="2" width="18.6640625" style="1" customWidth="1"/>
    <col min="3" max="4" width="8.6640625" style="1" customWidth="1"/>
    <col min="5" max="5" width="21.44140625" style="1" customWidth="1"/>
    <col min="6" max="7" width="8.6640625" style="1" customWidth="1"/>
    <col min="8" max="8" width="20.88671875" style="1" customWidth="1"/>
    <col min="9" max="9" width="8.6640625" style="1" customWidth="1"/>
    <col min="10" max="11" width="8.6640625" style="3" customWidth="1"/>
    <col min="12" max="12" width="12.33203125" style="3" customWidth="1"/>
    <col min="13" max="13" width="20.33203125" style="3" customWidth="1"/>
    <col min="14" max="14" width="12.33203125" style="1" customWidth="1"/>
    <col min="15" max="15" width="12" style="1" customWidth="1"/>
    <col min="16" max="16" width="12.33203125" style="1" customWidth="1"/>
    <col min="17" max="17" width="29.109375" style="1" customWidth="1"/>
    <col min="18" max="18" width="13" style="1" customWidth="1"/>
    <col min="19" max="19" width="9.109375" style="1" customWidth="1"/>
    <col min="20" max="20" width="11.109375" style="1" customWidth="1"/>
    <col min="21" max="26" width="9.109375" style="1" customWidth="1"/>
    <col min="27" max="54" width="9.109375" style="1"/>
    <col min="55" max="16384" width="9.109375" style="4"/>
  </cols>
  <sheetData>
    <row r="1" spans="2:35" s="1" customFormat="1" x14ac:dyDescent="0.25">
      <c r="J1" s="2"/>
      <c r="K1" s="3"/>
      <c r="L1" s="3"/>
      <c r="M1" s="3"/>
    </row>
    <row r="2" spans="2:35" s="1" customFormat="1" ht="17.399999999999999" x14ac:dyDescent="0.3">
      <c r="B2" s="298" t="s">
        <v>0</v>
      </c>
      <c r="C2" s="299"/>
      <c r="E2" s="300" t="s">
        <v>1</v>
      </c>
      <c r="F2" s="301"/>
      <c r="G2" s="301"/>
      <c r="H2" s="301"/>
      <c r="I2" s="301"/>
      <c r="J2" s="301"/>
      <c r="K2" s="301"/>
      <c r="L2" s="301"/>
      <c r="M2" s="301"/>
      <c r="N2" s="301"/>
      <c r="O2" s="302"/>
    </row>
    <row r="3" spans="2:35" x14ac:dyDescent="0.25">
      <c r="L3" s="1"/>
      <c r="N3" s="3"/>
      <c r="O3" s="3"/>
      <c r="P3" s="3"/>
    </row>
    <row r="4" spans="2:35" s="1" customFormat="1" x14ac:dyDescent="0.25">
      <c r="B4" s="5" t="s">
        <v>2</v>
      </c>
      <c r="C4" s="6"/>
      <c r="E4" s="59" t="s">
        <v>3</v>
      </c>
      <c r="F4" s="6"/>
      <c r="H4" s="5" t="s">
        <v>4</v>
      </c>
      <c r="I4" s="7"/>
      <c r="J4" s="7"/>
      <c r="K4" s="6"/>
      <c r="L4" s="29"/>
      <c r="M4" s="75" t="s">
        <v>20</v>
      </c>
      <c r="N4" s="20"/>
      <c r="O4" s="29"/>
      <c r="AF4" s="9"/>
    </row>
    <row r="5" spans="2:35" s="1" customFormat="1" ht="16.2" x14ac:dyDescent="0.35">
      <c r="B5" s="10" t="s">
        <v>9</v>
      </c>
      <c r="C5" s="95">
        <f>Rlight_t</f>
        <v>0.11046368650843981</v>
      </c>
      <c r="E5" s="12" t="s">
        <v>6</v>
      </c>
      <c r="F5" s="13">
        <f>F7-0.5*F8</f>
        <v>4.0017053976332155</v>
      </c>
      <c r="H5" s="14"/>
      <c r="I5" s="15"/>
      <c r="J5" s="15" t="s">
        <v>7</v>
      </c>
      <c r="K5" s="16" t="s">
        <v>8</v>
      </c>
      <c r="L5" s="29"/>
      <c r="M5" s="76" t="s">
        <v>75</v>
      </c>
      <c r="N5" s="7"/>
      <c r="O5" s="77">
        <f>F16/F5</f>
        <v>6.121577774864031</v>
      </c>
      <c r="R5" s="1" t="s">
        <v>46</v>
      </c>
      <c r="X5" s="9"/>
      <c r="AG5" s="9"/>
    </row>
    <row r="6" spans="2:35" s="1" customFormat="1" ht="16.2" x14ac:dyDescent="0.35">
      <c r="B6" s="14" t="s">
        <v>87</v>
      </c>
      <c r="C6" s="98">
        <f>SCO_t</f>
        <v>2337.4065000000001</v>
      </c>
      <c r="E6" s="10" t="s">
        <v>5</v>
      </c>
      <c r="F6" s="50">
        <f>F5-C5</f>
        <v>3.8912417111247759</v>
      </c>
      <c r="G6" s="51"/>
      <c r="H6" s="14" t="s">
        <v>58</v>
      </c>
      <c r="I6" s="30"/>
      <c r="J6" s="183">
        <f>((D46+E46-SQRT((D46+E46)*(D46+E46)-4*$C$14*D46*E46))/(2*$C$14))</f>
        <v>3.2815779839448784</v>
      </c>
      <c r="K6" s="13">
        <f>((D47+E47-SQRT((D47+E47)*(D47+E47)-4*$C$14*D47*E47))/(2*$C$14))</f>
        <v>1.1289029062694393</v>
      </c>
      <c r="L6" s="51"/>
      <c r="M6" s="49" t="s">
        <v>65</v>
      </c>
      <c r="N6" s="29"/>
      <c r="O6" s="19">
        <f>IF(ISNUMBER(O19/C17),O19/C17,"-")</f>
        <v>0.22860770034891581</v>
      </c>
      <c r="Q6" s="1" t="s">
        <v>47</v>
      </c>
      <c r="R6" s="37">
        <f>K6+J6</f>
        <v>4.410480890214318</v>
      </c>
    </row>
    <row r="7" spans="2:35" s="1" customFormat="1" ht="16.2" x14ac:dyDescent="0.35">
      <c r="B7" s="44" t="s">
        <v>86</v>
      </c>
      <c r="C7" s="98">
        <f>gBs_t</f>
        <v>2E-3</v>
      </c>
      <c r="E7" s="10" t="s">
        <v>219</v>
      </c>
      <c r="F7" s="17">
        <f>K6+J6</f>
        <v>4.410480890214318</v>
      </c>
      <c r="H7" s="14" t="s">
        <v>59</v>
      </c>
      <c r="I7" s="30"/>
      <c r="J7" s="187">
        <f>2*F22*J6*J17/J15</f>
        <v>0.46397229667564432</v>
      </c>
      <c r="K7" s="13">
        <f>2*K6*F22*K17/K15</f>
        <v>0.3535786884865606</v>
      </c>
      <c r="L7" s="172"/>
      <c r="M7" s="28" t="s">
        <v>73</v>
      </c>
      <c r="N7" s="29"/>
      <c r="O7" s="50">
        <f>F16/F15</f>
        <v>2.3511066924659785</v>
      </c>
      <c r="Q7" s="1" t="s">
        <v>48</v>
      </c>
      <c r="R7" s="52">
        <f>K7+J7</f>
        <v>0.81755098516220492</v>
      </c>
      <c r="T7" s="64"/>
      <c r="U7" s="29"/>
      <c r="V7" s="53"/>
      <c r="W7" s="30"/>
      <c r="X7" s="30"/>
      <c r="Y7" s="64"/>
      <c r="Z7" s="30"/>
      <c r="AA7" s="30"/>
      <c r="AB7" s="64"/>
      <c r="AC7" s="29"/>
      <c r="AD7" s="29"/>
      <c r="AE7" s="29"/>
      <c r="AF7" s="29"/>
      <c r="AG7" s="29"/>
      <c r="AH7" s="29"/>
      <c r="AI7" s="29"/>
    </row>
    <row r="8" spans="2:35" s="1" customFormat="1" ht="16.2" x14ac:dyDescent="0.35">
      <c r="B8" s="10" t="s">
        <v>97</v>
      </c>
      <c r="C8" s="101">
        <f>Jatp</f>
        <v>26.643645582430999</v>
      </c>
      <c r="E8" s="10" t="s">
        <v>11</v>
      </c>
      <c r="F8" s="17">
        <f>J7+K7</f>
        <v>0.81755098516220492</v>
      </c>
      <c r="H8" s="10" t="s">
        <v>30</v>
      </c>
      <c r="I8" s="30"/>
      <c r="J8" s="183">
        <f>J7+C24*K7</f>
        <v>0.46397229667564432</v>
      </c>
      <c r="K8" s="13">
        <f>K7*(1-C24)</f>
        <v>0.3535786884865606</v>
      </c>
      <c r="L8" s="51"/>
      <c r="M8" s="28" t="s">
        <v>21</v>
      </c>
      <c r="N8" s="29"/>
      <c r="O8" s="50">
        <f>J23/F15</f>
        <v>2.2265164463715938E-2</v>
      </c>
      <c r="Q8" s="1" t="s">
        <v>49</v>
      </c>
      <c r="R8" s="52">
        <f>K8+J8</f>
        <v>0.81755098516220492</v>
      </c>
      <c r="T8" s="29"/>
      <c r="U8" s="30"/>
      <c r="V8" s="29"/>
      <c r="W8" s="64"/>
      <c r="X8" s="64"/>
      <c r="Y8" s="64"/>
      <c r="Z8" s="64"/>
      <c r="AA8" s="64"/>
      <c r="AB8" s="64"/>
      <c r="AC8" s="64"/>
      <c r="AD8" s="64"/>
      <c r="AE8" s="64"/>
      <c r="AF8" s="64"/>
      <c r="AG8" s="29"/>
      <c r="AH8" s="29"/>
      <c r="AI8" s="29"/>
    </row>
    <row r="9" spans="2:35" s="1" customFormat="1" ht="16.2" x14ac:dyDescent="0.35">
      <c r="B9" s="10" t="s">
        <v>322</v>
      </c>
      <c r="C9" s="50">
        <f>J18+K18</f>
        <v>9.8539280307985706</v>
      </c>
      <c r="E9" s="10" t="s">
        <v>10</v>
      </c>
      <c r="F9" s="50">
        <f>F8/F7</f>
        <v>0.18536549766628233</v>
      </c>
      <c r="G9" s="9"/>
      <c r="H9" s="10" t="s">
        <v>9</v>
      </c>
      <c r="I9" s="20"/>
      <c r="J9" s="20">
        <f>C5*C25</f>
        <v>4.4185474603375928E-2</v>
      </c>
      <c r="K9" s="43">
        <f>C5-J9</f>
        <v>6.6278211905063888E-2</v>
      </c>
      <c r="L9" s="51"/>
      <c r="M9" s="28" t="s">
        <v>22</v>
      </c>
      <c r="N9" s="29"/>
      <c r="O9" s="50">
        <f>J23/K23</f>
        <v>2.2772191042475822E-2</v>
      </c>
      <c r="Q9" s="1" t="s">
        <v>50</v>
      </c>
      <c r="R9" s="52">
        <f>K9+J9</f>
        <v>0.11046368650843982</v>
      </c>
      <c r="T9" s="64"/>
      <c r="U9" s="64"/>
      <c r="V9" s="64"/>
      <c r="W9" s="64"/>
      <c r="X9" s="64"/>
      <c r="Y9" s="64"/>
      <c r="Z9" s="64"/>
      <c r="AA9" s="64"/>
      <c r="AB9" s="64"/>
      <c r="AC9" s="29"/>
      <c r="AD9" s="29"/>
      <c r="AE9" s="29"/>
      <c r="AF9" s="29"/>
      <c r="AG9" s="29"/>
      <c r="AH9" s="29"/>
      <c r="AI9" s="29"/>
    </row>
    <row r="10" spans="2:35" s="1" customFormat="1" ht="16.2" x14ac:dyDescent="0.35">
      <c r="B10" s="14" t="s">
        <v>106</v>
      </c>
      <c r="C10" s="17">
        <f>IF($C$13="L",'light limited'!C10,'enzyme limited'!C11)</f>
        <v>286.85046474013137</v>
      </c>
      <c r="E10" s="10" t="s">
        <v>70</v>
      </c>
      <c r="F10" s="43">
        <f>F11-F12</f>
        <v>1.2970805703749235</v>
      </c>
      <c r="G10" s="51"/>
      <c r="H10" s="10" t="s">
        <v>60</v>
      </c>
      <c r="I10" s="30"/>
      <c r="J10" s="20">
        <f>F10*C28</f>
        <v>0</v>
      </c>
      <c r="K10" s="43">
        <f>F10-J10</f>
        <v>1.2970805703749235</v>
      </c>
      <c r="L10" s="29"/>
      <c r="M10" s="28" t="s">
        <v>24</v>
      </c>
      <c r="N10" s="29"/>
      <c r="O10" s="50">
        <f>IF(ISNUMBER(J29/K29),J29/K29,"-")</f>
        <v>0.2074961905178612</v>
      </c>
      <c r="Q10" s="1" t="s">
        <v>51</v>
      </c>
      <c r="R10" s="1">
        <f>F6+K9+1/2*K8-C17-K6</f>
        <v>-0.89067396331778848</v>
      </c>
      <c r="T10" s="64"/>
      <c r="U10" s="64"/>
      <c r="V10" s="64"/>
      <c r="W10" s="64"/>
      <c r="X10" s="64"/>
      <c r="Y10" s="64"/>
      <c r="Z10" s="64"/>
      <c r="AA10" s="64"/>
      <c r="AB10" s="64"/>
      <c r="AC10" s="29"/>
      <c r="AD10" s="29"/>
      <c r="AE10" s="29"/>
      <c r="AF10" s="29"/>
      <c r="AG10" s="29"/>
      <c r="AH10" s="29"/>
      <c r="AI10" s="29"/>
    </row>
    <row r="11" spans="2:35" s="1" customFormat="1" ht="16.2" x14ac:dyDescent="0.35">
      <c r="B11" s="14" t="s">
        <v>107</v>
      </c>
      <c r="C11" s="93">
        <f>OM</f>
        <v>210000</v>
      </c>
      <c r="E11" s="10" t="s">
        <v>71</v>
      </c>
      <c r="F11" s="19">
        <f>2*F7+3/2*F8-C5/3</f>
        <v>10.010467029335796</v>
      </c>
      <c r="H11" s="10" t="s">
        <v>13</v>
      </c>
      <c r="I11" s="30"/>
      <c r="J11" s="20">
        <f>$C$29*F29</f>
        <v>0</v>
      </c>
      <c r="K11" s="43">
        <f>F29-J11</f>
        <v>3.8960803243214692</v>
      </c>
      <c r="L11" s="29"/>
      <c r="M11" s="28" t="s">
        <v>36</v>
      </c>
      <c r="N11" s="29"/>
      <c r="O11" s="50">
        <f>J29/F16</f>
        <v>0.17184003738253778</v>
      </c>
      <c r="Q11" s="1" t="s">
        <v>5</v>
      </c>
      <c r="R11" s="52">
        <f>J6+K6-0.5*K8-0.5*J8-K9-J9-O19+O19-O26+O26</f>
        <v>3.8912417111247759</v>
      </c>
      <c r="T11" s="64"/>
      <c r="U11" s="64"/>
      <c r="V11" s="64"/>
      <c r="W11" s="64"/>
      <c r="X11" s="64"/>
      <c r="Y11" s="64"/>
      <c r="Z11" s="64"/>
      <c r="AA11" s="64"/>
      <c r="AB11" s="64"/>
      <c r="AC11" s="29"/>
      <c r="AD11" s="29"/>
      <c r="AE11" s="29"/>
      <c r="AF11" s="29"/>
      <c r="AG11" s="29"/>
      <c r="AH11" s="29"/>
      <c r="AI11" s="29"/>
    </row>
    <row r="12" spans="2:35" s="1" customFormat="1" ht="16.2" x14ac:dyDescent="0.35">
      <c r="B12" s="176" t="s">
        <v>90</v>
      </c>
      <c r="C12" s="93">
        <f>alpha</f>
        <v>1</v>
      </c>
      <c r="E12" s="14" t="s">
        <v>14</v>
      </c>
      <c r="F12" s="19">
        <f>5/3*F13</f>
        <v>8.7133864589608727</v>
      </c>
      <c r="H12" s="10" t="s">
        <v>61</v>
      </c>
      <c r="I12" s="30"/>
      <c r="J12" s="20">
        <f>F11*$C$27</f>
        <v>0</v>
      </c>
      <c r="K12" s="43">
        <f>F11-J12</f>
        <v>10.010467029335796</v>
      </c>
      <c r="L12" s="29"/>
      <c r="M12" s="28" t="s">
        <v>39</v>
      </c>
      <c r="N12" s="29"/>
      <c r="O12" s="73" t="str">
        <f>IF(ISNUMBER(J29/J28),(J29/J28),IF(J29&gt;0,"CEF only","-"))</f>
        <v>CEF only</v>
      </c>
      <c r="Q12" s="1" t="s">
        <v>52</v>
      </c>
      <c r="R12" s="52">
        <f>O24-O27+O25-O26</f>
        <v>0</v>
      </c>
      <c r="T12" s="64"/>
      <c r="U12" s="64"/>
      <c r="V12" s="64"/>
      <c r="W12" s="64"/>
      <c r="X12" s="64"/>
      <c r="Y12" s="64"/>
      <c r="Z12" s="64"/>
      <c r="AA12" s="64"/>
      <c r="AB12" s="64"/>
      <c r="AC12" s="29"/>
      <c r="AD12" s="29"/>
      <c r="AE12" s="29"/>
      <c r="AF12" s="29"/>
      <c r="AG12" s="29"/>
      <c r="AH12" s="29"/>
      <c r="AI12" s="29"/>
    </row>
    <row r="13" spans="2:35" s="1" customFormat="1" ht="16.2" x14ac:dyDescent="0.35">
      <c r="B13" s="14" t="s">
        <v>218</v>
      </c>
      <c r="C13" s="54" t="str">
        <f>IF('light limited'!F6&lt;='enzyme limited'!F6,"L","E")</f>
        <v>L</v>
      </c>
      <c r="E13" s="14" t="s">
        <v>16</v>
      </c>
      <c r="F13" s="19">
        <f>F7+F8</f>
        <v>5.2280318753765229</v>
      </c>
      <c r="H13" s="14" t="s">
        <v>14</v>
      </c>
      <c r="I13" s="30"/>
      <c r="J13" s="20">
        <f>5/3*J14</f>
        <v>6.242583801034205</v>
      </c>
      <c r="K13" s="43">
        <f>5/3*K14</f>
        <v>2.4708026579266669</v>
      </c>
      <c r="L13" s="29"/>
      <c r="M13" s="28" t="s">
        <v>74</v>
      </c>
      <c r="N13" s="29"/>
      <c r="O13" s="45">
        <f>K29/K27</f>
        <v>1.9470924305422903</v>
      </c>
      <c r="Q13" s="1" t="s">
        <v>53</v>
      </c>
      <c r="R13" s="52">
        <f>4*O22+4*O24+3*O20+2*O25</f>
        <v>34.312072700388491</v>
      </c>
      <c r="T13" s="64"/>
      <c r="U13" s="64"/>
      <c r="V13" s="64"/>
      <c r="W13" s="64"/>
      <c r="X13" s="64"/>
      <c r="Y13" s="64"/>
      <c r="Z13" s="64"/>
      <c r="AA13" s="64"/>
      <c r="AB13" s="64"/>
      <c r="AC13" s="29"/>
      <c r="AD13" s="29"/>
      <c r="AE13" s="29"/>
      <c r="AF13" s="29"/>
      <c r="AG13" s="29"/>
      <c r="AH13" s="29"/>
      <c r="AI13" s="29"/>
    </row>
    <row r="14" spans="2:35" s="1" customFormat="1" ht="16.2" x14ac:dyDescent="0.35">
      <c r="B14" s="177" t="s">
        <v>311</v>
      </c>
      <c r="C14" s="178">
        <v>0.95</v>
      </c>
      <c r="E14" s="14" t="s">
        <v>69</v>
      </c>
      <c r="F14" s="17">
        <f>F8</f>
        <v>0.81755098516220492</v>
      </c>
      <c r="H14" s="14" t="s">
        <v>16</v>
      </c>
      <c r="I14" s="30"/>
      <c r="J14" s="20">
        <f>J6+J7</f>
        <v>3.745550280620523</v>
      </c>
      <c r="K14" s="43">
        <f>K6+K7</f>
        <v>1.4824815947559999</v>
      </c>
      <c r="L14" s="29"/>
      <c r="M14" s="28" t="s">
        <v>66</v>
      </c>
      <c r="N14" s="29"/>
      <c r="O14" s="72">
        <f>IF(ISNUMBER((F28+J24)/K24),(F28+J24)/K24,"-")</f>
        <v>15.794452393976261</v>
      </c>
      <c r="Q14" s="1" t="s">
        <v>54</v>
      </c>
      <c r="R14" s="52">
        <f>3*O23+O19+3*O27+3*O21+3*O28+3*O26+3*J10</f>
        <v>34.312072700388491</v>
      </c>
      <c r="T14" s="64"/>
      <c r="U14" s="64"/>
      <c r="V14" s="64"/>
      <c r="W14" s="64"/>
      <c r="X14" s="64"/>
      <c r="Y14" s="64"/>
      <c r="Z14" s="64"/>
      <c r="AA14" s="64"/>
      <c r="AB14" s="64"/>
      <c r="AC14" s="29"/>
      <c r="AD14" s="29"/>
      <c r="AE14" s="29"/>
      <c r="AF14" s="29"/>
      <c r="AG14" s="29"/>
      <c r="AH14" s="29"/>
      <c r="AI14" s="29"/>
    </row>
    <row r="15" spans="2:35" s="1" customFormat="1" ht="16.2" x14ac:dyDescent="0.35">
      <c r="E15" s="14" t="s">
        <v>33</v>
      </c>
      <c r="F15" s="19">
        <f>1/2*F8+F11</f>
        <v>10.4192425219169</v>
      </c>
      <c r="H15" s="14" t="s">
        <v>79</v>
      </c>
      <c r="I15" s="30"/>
      <c r="J15" s="188">
        <f>T21</f>
        <v>732.18744639902548</v>
      </c>
      <c r="K15" s="13">
        <f>C10</f>
        <v>286.85046474013137</v>
      </c>
      <c r="M15" s="28" t="s">
        <v>23</v>
      </c>
      <c r="N15" s="29"/>
      <c r="O15" s="50">
        <f>IF(ISNUMBER(K25/C17),K25/C17,"-")</f>
        <v>0.94045652834988092</v>
      </c>
      <c r="Q15" s="1" t="s">
        <v>56</v>
      </c>
      <c r="R15" s="52">
        <f>O26</f>
        <v>0</v>
      </c>
      <c r="T15" s="64"/>
      <c r="U15" s="64"/>
      <c r="V15" s="64"/>
      <c r="W15" s="64"/>
      <c r="X15" s="64"/>
      <c r="Y15" s="64"/>
      <c r="Z15" s="64"/>
      <c r="AA15" s="64"/>
      <c r="AB15" s="64"/>
      <c r="AC15" s="29"/>
      <c r="AD15" s="29"/>
      <c r="AE15" s="29"/>
      <c r="AF15" s="29"/>
      <c r="AG15" s="29"/>
      <c r="AH15" s="29"/>
      <c r="AI15" s="29"/>
    </row>
    <row r="16" spans="2:35" s="1" customFormat="1" ht="16.2" x14ac:dyDescent="0.35">
      <c r="B16" s="5" t="s">
        <v>29</v>
      </c>
      <c r="C16" s="6"/>
      <c r="E16" s="26" t="s">
        <v>34</v>
      </c>
      <c r="F16" s="25">
        <f>F11+F7+2*F8+0.5*F10+F28+2*F29</f>
        <v>24.496750823704922</v>
      </c>
      <c r="H16" s="10" t="s">
        <v>5</v>
      </c>
      <c r="I16" s="30"/>
      <c r="J16" s="183">
        <f>J6-0.5*J7-J9</f>
        <v>3.0054063610036805</v>
      </c>
      <c r="K16" s="13">
        <f>K6-0.5*K7-K9</f>
        <v>0.88583535012109516</v>
      </c>
      <c r="L16" s="29"/>
      <c r="M16" s="10" t="s">
        <v>32</v>
      </c>
      <c r="N16" s="29"/>
      <c r="O16" s="43">
        <f>J8/F8</f>
        <v>0.56751481570729267</v>
      </c>
      <c r="P16" s="29"/>
      <c r="Q16" s="55" t="s">
        <v>57</v>
      </c>
      <c r="R16" s="51">
        <f>R15+K25</f>
        <v>3.6640941759836472</v>
      </c>
      <c r="T16" s="64"/>
      <c r="U16" s="64"/>
      <c r="V16" s="64"/>
      <c r="W16" s="64"/>
      <c r="X16" s="64"/>
      <c r="Y16" s="64"/>
      <c r="Z16" s="64"/>
      <c r="AA16" s="64"/>
      <c r="AB16" s="64"/>
      <c r="AC16" s="29"/>
      <c r="AD16" s="29"/>
      <c r="AE16" s="29"/>
      <c r="AF16" s="29"/>
      <c r="AG16" s="29"/>
      <c r="AH16" s="29"/>
      <c r="AI16" s="29"/>
    </row>
    <row r="17" spans="2:35" s="1" customFormat="1" ht="16.2" x14ac:dyDescent="0.35">
      <c r="B17" s="14" t="s">
        <v>118</v>
      </c>
      <c r="C17" s="13">
        <f>((D48+E48-SQRT((D48+E48)*(D48+E48)-4*$C$14*D48*E48))/(2*$C$14))</f>
        <v>3.8960803243214692</v>
      </c>
      <c r="H17" s="14" t="s">
        <v>81</v>
      </c>
      <c r="I17" s="30"/>
      <c r="J17" s="193">
        <f>(0.047*C7*K17+C12*J6-C12*J9)/(0.047*C7+C12*F22*J6/J15)</f>
        <v>241972.40809578379</v>
      </c>
      <c r="K17" s="194">
        <f>IF(C13="l",'light limited'!K17,'enzyme limited'!K17)</f>
        <v>210000</v>
      </c>
      <c r="L17" s="29"/>
      <c r="M17" s="28" t="s">
        <v>108</v>
      </c>
      <c r="N17" s="29"/>
      <c r="O17" s="17">
        <f>(F16+F15)/F5</f>
        <v>8.7252783191567964</v>
      </c>
      <c r="P17" s="29"/>
      <c r="Q17" s="1" t="s">
        <v>68</v>
      </c>
      <c r="R17" s="1">
        <f>4*O22+4*O24+3*O20+2*O25-O19-3*O23-3*O28-3*O27-3*O21-3*O26-3*J10</f>
        <v>0</v>
      </c>
      <c r="T17" s="64"/>
      <c r="U17" s="64"/>
      <c r="V17" s="64"/>
      <c r="W17" s="64"/>
      <c r="X17" s="64"/>
      <c r="Y17" s="64"/>
      <c r="Z17" s="64"/>
      <c r="AA17" s="64"/>
      <c r="AB17" s="64"/>
      <c r="AC17" s="29"/>
      <c r="AD17" s="29"/>
      <c r="AE17" s="29"/>
      <c r="AF17" s="29"/>
      <c r="AG17" s="29"/>
      <c r="AH17" s="29"/>
      <c r="AI17" s="29"/>
    </row>
    <row r="18" spans="2:35" s="1" customFormat="1" ht="16.2" x14ac:dyDescent="0.35">
      <c r="B18" s="71"/>
      <c r="C18" s="179"/>
      <c r="H18" s="195" t="s">
        <v>321</v>
      </c>
      <c r="I18" s="33"/>
      <c r="J18" s="196">
        <f>J6*(J15+Kc_t*(1+J17/KO_t))/J15</f>
        <v>6.263501215519879</v>
      </c>
      <c r="K18" s="84">
        <f>K6*(K15+Kc_t*(1+K17/KO_t))/K15</f>
        <v>3.590426815278692</v>
      </c>
      <c r="L18" s="37"/>
      <c r="M18" s="23" t="s">
        <v>15</v>
      </c>
      <c r="N18" s="27"/>
      <c r="O18" s="6"/>
      <c r="P18" s="58"/>
      <c r="T18" s="64"/>
      <c r="U18" s="64"/>
      <c r="V18" s="64"/>
      <c r="W18" s="64"/>
      <c r="X18" s="64"/>
      <c r="Y18" s="64"/>
      <c r="Z18" s="64"/>
      <c r="AA18" s="64"/>
      <c r="AB18" s="64"/>
      <c r="AC18" s="29"/>
      <c r="AD18" s="29"/>
      <c r="AE18" s="29"/>
      <c r="AF18" s="29"/>
      <c r="AG18" s="29"/>
      <c r="AH18" s="29"/>
      <c r="AI18" s="29"/>
    </row>
    <row r="19" spans="2:35" s="1" customFormat="1" ht="16.2" x14ac:dyDescent="0.3">
      <c r="E19" s="5" t="s">
        <v>88</v>
      </c>
      <c r="F19" s="6"/>
      <c r="L19" s="37"/>
      <c r="M19" s="24" t="s">
        <v>89</v>
      </c>
      <c r="N19" s="29"/>
      <c r="O19" s="19">
        <f>(C17+J9+1/2*J8-J6)</f>
        <v>0.89067396331778914</v>
      </c>
      <c r="Q19" s="173" t="s">
        <v>315</v>
      </c>
      <c r="R19" s="7"/>
      <c r="S19" s="6"/>
      <c r="T19" s="64"/>
      <c r="U19" s="64"/>
      <c r="V19" s="64"/>
      <c r="W19" s="64"/>
      <c r="X19" s="64"/>
      <c r="Y19" s="64"/>
      <c r="Z19" s="64"/>
      <c r="AA19" s="64"/>
      <c r="AB19" s="64"/>
      <c r="AC19" s="29"/>
      <c r="AD19" s="29"/>
      <c r="AE19" s="29"/>
      <c r="AF19" s="29"/>
      <c r="AG19" s="29"/>
      <c r="AH19" s="29"/>
      <c r="AI19" s="29"/>
    </row>
    <row r="20" spans="2:35" s="1" customFormat="1" ht="14.4" x14ac:dyDescent="0.3">
      <c r="B20" s="5" t="s">
        <v>26</v>
      </c>
      <c r="C20" s="6"/>
      <c r="E20" s="14"/>
      <c r="F20" s="78"/>
      <c r="H20" s="5" t="s">
        <v>31</v>
      </c>
      <c r="I20" s="7"/>
      <c r="J20" s="41"/>
      <c r="K20" s="42"/>
      <c r="L20" s="37"/>
      <c r="M20" s="48" t="s">
        <v>63</v>
      </c>
      <c r="N20" s="29"/>
      <c r="O20" s="19">
        <f>K12-K10-K13</f>
        <v>6.2425838010342058</v>
      </c>
      <c r="Q20" s="14" t="s">
        <v>82</v>
      </c>
      <c r="R20" s="29" t="s">
        <v>83</v>
      </c>
      <c r="S20" s="31" t="s">
        <v>96</v>
      </c>
      <c r="T20" s="64"/>
      <c r="U20" s="64"/>
      <c r="V20" s="64"/>
      <c r="W20" s="64"/>
      <c r="X20" s="64"/>
      <c r="Y20" s="64"/>
      <c r="Z20" s="64"/>
      <c r="AA20" s="64"/>
      <c r="AB20" s="64"/>
      <c r="AC20" s="29"/>
      <c r="AD20" s="29"/>
      <c r="AE20" s="29"/>
      <c r="AF20" s="29"/>
      <c r="AG20" s="29"/>
      <c r="AH20" s="29"/>
      <c r="AI20" s="29"/>
    </row>
    <row r="21" spans="2:35" s="1" customFormat="1" ht="14.4" x14ac:dyDescent="0.3">
      <c r="B21" s="44" t="s">
        <v>28</v>
      </c>
      <c r="C21" s="31"/>
      <c r="E21" s="14" t="s">
        <v>84</v>
      </c>
      <c r="F21" s="63">
        <f>-C7*(C10-J15)</f>
        <v>0.89067396331778825</v>
      </c>
      <c r="H21" s="14"/>
      <c r="I21" s="15"/>
      <c r="J21" s="15" t="s">
        <v>7</v>
      </c>
      <c r="K21" s="16" t="s">
        <v>8</v>
      </c>
      <c r="L21" s="29"/>
      <c r="M21" s="48" t="s">
        <v>64</v>
      </c>
      <c r="N21" s="29"/>
      <c r="O21" s="19">
        <f>2*J6+1.5*J7-J12-1/3*J9</f>
        <v>7.2443859213687647</v>
      </c>
      <c r="P21" s="52"/>
      <c r="Q21" s="174">
        <f>0.047*gBs_t*gBs_t</f>
        <v>1.8800000000000002E-7</v>
      </c>
      <c r="R21" s="175">
        <f>gBs_t*$C$12*$F$22*$J$6-$C$10*gBs_t*gBs_t*0.047-0.047*$C$17*gBs_t-0.047*$J$9*gBs_t+$J$6*0.047*gBs_t-$C$24*0.5*$K$7*0.047*gBs_t</f>
        <v>-1.1444060219217492E-4</v>
      </c>
      <c r="S21" s="199">
        <f>-$C$10*gBs_t*$C$12*F22*J6-C17*C12*F22*J6-J9*C12*F22*J6-F22*J6*0.047*gBs_t*C11-F22*J6*C12*J6+F22*J6*C12*J9+J6*J6*C12*F22-C24*0.5*K7*C12*F22*J6</f>
        <v>-1.6994537569438011E-2</v>
      </c>
      <c r="T21" s="52">
        <f>(-R21+SQRT(R21*R21-4*Q21*S21))/(2*Q21)</f>
        <v>732.18744639902548</v>
      </c>
      <c r="U21" s="66"/>
      <c r="V21" s="66"/>
      <c r="W21" s="66"/>
      <c r="X21" s="66"/>
      <c r="Y21" s="66"/>
      <c r="Z21" s="66"/>
      <c r="AA21" s="66"/>
      <c r="AB21" s="66"/>
    </row>
    <row r="22" spans="2:35" s="1" customFormat="1" ht="16.2" x14ac:dyDescent="0.35">
      <c r="B22" s="90" t="s">
        <v>183</v>
      </c>
      <c r="C22" s="31">
        <f>J18/C9</f>
        <v>0.6356349666796054</v>
      </c>
      <c r="E22" s="26" t="s">
        <v>80</v>
      </c>
      <c r="F22" s="60">
        <f>0.5/C6</f>
        <v>2.1391229980750033E-4</v>
      </c>
      <c r="H22" s="56" t="s">
        <v>67</v>
      </c>
      <c r="I22" s="29"/>
      <c r="J22" s="46">
        <f>C17-F28</f>
        <v>3.8960803243214692</v>
      </c>
      <c r="K22" s="54" t="s">
        <v>35</v>
      </c>
      <c r="L22" s="29"/>
      <c r="M22" s="14" t="s">
        <v>40</v>
      </c>
      <c r="N22" s="29"/>
      <c r="O22" s="17">
        <f>K24</f>
        <v>0.23198614833782216</v>
      </c>
      <c r="P22" s="29"/>
      <c r="Q22" s="29"/>
      <c r="S22" s="29"/>
      <c r="T22" s="66"/>
      <c r="U22" s="66"/>
      <c r="V22" s="66"/>
      <c r="W22" s="66"/>
      <c r="X22" s="66"/>
      <c r="Y22" s="66"/>
      <c r="Z22" s="66"/>
      <c r="AA22" s="66"/>
      <c r="AB22" s="66"/>
    </row>
    <row r="23" spans="2:35" s="1" customFormat="1" ht="15.6" x14ac:dyDescent="0.35">
      <c r="B23" s="94" t="s">
        <v>319</v>
      </c>
      <c r="C23" s="91">
        <f>fC</f>
        <v>0.74404085759124949</v>
      </c>
      <c r="E23" s="29"/>
      <c r="F23" s="29"/>
      <c r="H23" s="14" t="s">
        <v>37</v>
      </c>
      <c r="I23" s="29"/>
      <c r="J23" s="20">
        <f>J12-0.5*(J8-J7)+0.5*J7</f>
        <v>0.23198614833782216</v>
      </c>
      <c r="K23" s="43">
        <f>K12+0.5*K7-0.5*(K8-K7)</f>
        <v>10.187256373579077</v>
      </c>
      <c r="L23" s="29"/>
      <c r="M23" s="14" t="s">
        <v>41</v>
      </c>
      <c r="N23" s="29"/>
      <c r="O23" s="19">
        <f>F28+J11</f>
        <v>0</v>
      </c>
      <c r="Q23" s="149" t="s">
        <v>317</v>
      </c>
      <c r="R23" s="29">
        <f>K15+O19/C7</f>
        <v>732.18744639902593</v>
      </c>
      <c r="S23" s="200">
        <f>-$C$10*gBs_t*$C$12*F22*J6-C17*C12*F22*J6-J9*C12*F22*J6-F22*J6*0.047*gBs_t*C11+F22*J6*C12*J9-C24*0.5*K7*C12*F22*J6</f>
        <v>-1.6994537569438011E-2</v>
      </c>
      <c r="T23" s="66"/>
      <c r="U23" s="66"/>
      <c r="V23" s="66"/>
      <c r="W23" s="66"/>
      <c r="X23" s="66"/>
      <c r="Y23" s="66"/>
      <c r="Z23" s="66"/>
      <c r="AA23" s="66"/>
      <c r="AB23" s="66"/>
    </row>
    <row r="24" spans="2:35" s="1" customFormat="1" ht="15.6" x14ac:dyDescent="0.35">
      <c r="B24" s="92" t="s">
        <v>320</v>
      </c>
      <c r="C24" s="93">
        <f>csiGDC</f>
        <v>0</v>
      </c>
      <c r="H24" s="10" t="s">
        <v>17</v>
      </c>
      <c r="I24" s="18"/>
      <c r="J24" s="20">
        <f>K25-F28</f>
        <v>3.6640941759836472</v>
      </c>
      <c r="K24" s="43">
        <f>IF(J22&gt;=J23,J23,J22)</f>
        <v>0.23198614833782216</v>
      </c>
      <c r="L24" s="29"/>
      <c r="M24" s="14" t="s">
        <v>42</v>
      </c>
      <c r="N24" s="29"/>
      <c r="O24" s="19">
        <f>K25</f>
        <v>3.6640941759836472</v>
      </c>
      <c r="Q24" s="29"/>
      <c r="R24" s="52"/>
      <c r="S24" s="29"/>
      <c r="T24" s="29"/>
    </row>
    <row r="25" spans="2:35" s="1" customFormat="1" ht="16.2" x14ac:dyDescent="0.35">
      <c r="B25" s="94" t="s">
        <v>169</v>
      </c>
      <c r="C25" s="91">
        <f>frlight</f>
        <v>0.4</v>
      </c>
      <c r="E25" s="5" t="s">
        <v>29</v>
      </c>
      <c r="F25" s="6"/>
      <c r="H25" s="24" t="s">
        <v>62</v>
      </c>
      <c r="I25" s="29"/>
      <c r="J25" s="46">
        <f>K25</f>
        <v>3.6640941759836472</v>
      </c>
      <c r="K25" s="19">
        <f>C17-K24</f>
        <v>3.6640941759836472</v>
      </c>
      <c r="L25" s="29"/>
      <c r="M25" s="14" t="s">
        <v>45</v>
      </c>
      <c r="N25" s="29"/>
      <c r="O25" s="17">
        <f>K7-K8</f>
        <v>0</v>
      </c>
      <c r="P25" s="29"/>
      <c r="T25" s="29"/>
    </row>
    <row r="26" spans="2:35" s="1" customFormat="1" ht="14.4" x14ac:dyDescent="0.3">
      <c r="B26" s="44" t="s">
        <v>27</v>
      </c>
      <c r="C26" s="31"/>
      <c r="E26" s="10" t="s">
        <v>25</v>
      </c>
      <c r="F26" s="43">
        <f>2*C17/(3*F7+3.5*F8+2*C17)</f>
        <v>0.32623614339476703</v>
      </c>
      <c r="H26" s="10" t="s">
        <v>18</v>
      </c>
      <c r="I26" s="18"/>
      <c r="J26" s="20">
        <f>K24+J24</f>
        <v>3.8960803243214692</v>
      </c>
      <c r="K26" s="43" t="s">
        <v>35</v>
      </c>
      <c r="L26" s="37"/>
      <c r="M26" s="14" t="s">
        <v>76</v>
      </c>
      <c r="N26" s="29"/>
      <c r="O26" s="17">
        <f>1/2*O25</f>
        <v>0</v>
      </c>
      <c r="P26" s="29"/>
      <c r="T26" s="29"/>
    </row>
    <row r="27" spans="2:35" s="1" customFormat="1" ht="16.2" x14ac:dyDescent="0.35">
      <c r="B27" s="94" t="s">
        <v>170</v>
      </c>
      <c r="C27" s="91">
        <f>fPR</f>
        <v>0</v>
      </c>
      <c r="E27" s="14"/>
      <c r="F27" s="17"/>
      <c r="H27" s="14" t="s">
        <v>38</v>
      </c>
      <c r="I27" s="29"/>
      <c r="J27" s="20">
        <f>-K24+J12-0.5*(J8-J7)+0.5*J7</f>
        <v>0</v>
      </c>
      <c r="K27" s="43">
        <f>K24+K12+0.5*K7-0.5*(K8-K7)</f>
        <v>10.4192425219169</v>
      </c>
      <c r="L27" s="37"/>
      <c r="M27" s="14" t="s">
        <v>43</v>
      </c>
      <c r="N27" s="29"/>
      <c r="O27" s="17">
        <f>O24+O26</f>
        <v>3.6640941759836472</v>
      </c>
      <c r="P27" s="29"/>
      <c r="T27" s="29"/>
    </row>
    <row r="28" spans="2:35" s="1" customFormat="1" ht="16.2" x14ac:dyDescent="0.35">
      <c r="B28" s="94" t="s">
        <v>171</v>
      </c>
      <c r="C28" s="91">
        <f>fCS</f>
        <v>0</v>
      </c>
      <c r="E28" s="10" t="s">
        <v>12</v>
      </c>
      <c r="F28" s="17">
        <f>MIN('light limited'!F28,'enzyme limited'!F28)</f>
        <v>0</v>
      </c>
      <c r="H28" s="14" t="s">
        <v>55</v>
      </c>
      <c r="I28" s="29"/>
      <c r="J28" s="46">
        <f>IF(K24&lt;J23,J23-K24,0)</f>
        <v>0</v>
      </c>
      <c r="K28" s="17">
        <f>K27</f>
        <v>10.4192425219169</v>
      </c>
      <c r="L28" s="37"/>
      <c r="M28" s="14" t="s">
        <v>44</v>
      </c>
      <c r="N28" s="29"/>
      <c r="O28" s="17">
        <f>J26-K25-O26-J11</f>
        <v>0.23198614833782205</v>
      </c>
      <c r="P28" s="29"/>
      <c r="T28" s="29"/>
    </row>
    <row r="29" spans="2:35" s="1" customFormat="1" ht="16.2" x14ac:dyDescent="0.35">
      <c r="B29" s="96" t="s">
        <v>172</v>
      </c>
      <c r="C29" s="116">
        <f>fPPDK</f>
        <v>0</v>
      </c>
      <c r="E29" s="22" t="s">
        <v>77</v>
      </c>
      <c r="F29" s="25">
        <f>C17-F28</f>
        <v>3.8960803243214692</v>
      </c>
      <c r="H29" s="26" t="s">
        <v>19</v>
      </c>
      <c r="I29" s="33"/>
      <c r="J29" s="32">
        <f>J12+J6+2*J7+2*J11+F28+0.5*J10+0.5*(J8-J7)</f>
        <v>4.2095225772961671</v>
      </c>
      <c r="K29" s="47">
        <f>2*K11++K6+2*K7+K10/2+K12+0.5*(K8-K7)</f>
        <v>20.287228246408759</v>
      </c>
      <c r="M29" s="26" t="s">
        <v>109</v>
      </c>
      <c r="N29" s="33"/>
      <c r="O29" s="74">
        <f>ABS(O19)+ABS(O20)+ABS(O21)+ABS(O22)+ABS(O23)+ABS(O24)+ABS(O25)+ABS(O26)+ABS(O27)+ABS(O28)</f>
        <v>22.169804334363697</v>
      </c>
      <c r="P29" s="29"/>
      <c r="T29" s="29"/>
    </row>
    <row r="30" spans="2:35" s="1" customFormat="1" x14ac:dyDescent="0.25">
      <c r="P30" s="29"/>
      <c r="T30" s="29"/>
    </row>
    <row r="31" spans="2:35" s="1" customFormat="1" x14ac:dyDescent="0.25">
      <c r="P31" s="29"/>
      <c r="T31" s="29"/>
    </row>
    <row r="32" spans="2:35" s="1" customFormat="1" x14ac:dyDescent="0.25">
      <c r="P32" s="29"/>
      <c r="T32" s="29"/>
    </row>
    <row r="33" spans="2:43" s="1" customFormat="1" x14ac:dyDescent="0.25">
      <c r="P33" s="29"/>
      <c r="T33" s="29"/>
    </row>
    <row r="34" spans="2:43" s="1" customFormat="1" x14ac:dyDescent="0.25">
      <c r="P34" s="29"/>
      <c r="T34" s="29"/>
    </row>
    <row r="35" spans="2:43" s="1" customFormat="1" x14ac:dyDescent="0.25">
      <c r="P35" s="29"/>
      <c r="T35" s="29"/>
    </row>
    <row r="36" spans="2:43" s="1" customFormat="1" x14ac:dyDescent="0.25">
      <c r="P36" s="29"/>
      <c r="T36" s="29"/>
    </row>
    <row r="37" spans="2:43" s="1" customFormat="1" x14ac:dyDescent="0.25">
      <c r="P37" s="29"/>
      <c r="T37" s="29"/>
    </row>
    <row r="38" spans="2:43" s="1" customFormat="1" x14ac:dyDescent="0.25">
      <c r="P38" s="29"/>
      <c r="T38" s="29"/>
    </row>
    <row r="39" spans="2:43" s="1" customFormat="1" x14ac:dyDescent="0.25">
      <c r="P39" s="29"/>
      <c r="T39" s="29"/>
    </row>
    <row r="40" spans="2:43" s="1" customFormat="1" x14ac:dyDescent="0.25">
      <c r="P40" s="29"/>
      <c r="Q40" s="29"/>
      <c r="R40" s="29"/>
      <c r="S40" s="29"/>
      <c r="T40" s="29"/>
      <c r="AE40" s="9"/>
    </row>
    <row r="41" spans="2:43" s="1" customFormat="1" x14ac:dyDescent="0.25">
      <c r="M41" s="29"/>
      <c r="P41" s="29"/>
      <c r="Q41" s="29"/>
      <c r="R41" s="29"/>
      <c r="S41" s="29"/>
      <c r="T41" s="29"/>
      <c r="AE41" s="9"/>
    </row>
    <row r="42" spans="2:43" s="1" customFormat="1" x14ac:dyDescent="0.25">
      <c r="M42" s="29"/>
      <c r="P42" s="29"/>
      <c r="Q42" s="29"/>
      <c r="R42" s="29"/>
      <c r="S42" s="29"/>
      <c r="T42" s="29"/>
      <c r="AE42" s="9"/>
      <c r="AQ42" s="1" t="s">
        <v>78</v>
      </c>
    </row>
    <row r="43" spans="2:43" s="1" customFormat="1" x14ac:dyDescent="0.25">
      <c r="E43" s="30"/>
      <c r="F43" s="20"/>
      <c r="P43" s="29"/>
      <c r="Q43" s="29"/>
      <c r="R43" s="29"/>
      <c r="S43" s="29"/>
      <c r="T43" s="29"/>
      <c r="AE43" s="9"/>
    </row>
    <row r="44" spans="2:43" s="1" customFormat="1" x14ac:dyDescent="0.25">
      <c r="E44" s="30"/>
      <c r="F44" s="20"/>
      <c r="O44" s="9"/>
      <c r="P44" s="29"/>
      <c r="Q44" s="29"/>
      <c r="R44" s="29"/>
      <c r="S44" s="29"/>
      <c r="T44" s="29"/>
      <c r="AE44" s="9"/>
    </row>
    <row r="45" spans="2:43" s="1" customFormat="1" x14ac:dyDescent="0.25">
      <c r="B45" s="59"/>
      <c r="C45" s="181" t="s">
        <v>316</v>
      </c>
      <c r="D45" s="181" t="s">
        <v>96</v>
      </c>
      <c r="E45" s="182" t="s">
        <v>312</v>
      </c>
    </row>
    <row r="46" spans="2:43" s="1" customFormat="1" x14ac:dyDescent="0.25">
      <c r="B46" s="28" t="s">
        <v>314</v>
      </c>
      <c r="C46" s="180">
        <f>IF(((D46+E46-SQRT((D46+E46)*(D46+E46)-4*$C$14*D46*E46))/(2*$C$14))&lt;&gt;0,((D46+E46-SQRT((D46+E46)*(D46+E46)-4*$C$14*D46*E46))/(2*$C$14)),"")</f>
        <v>3.2815779839448784</v>
      </c>
      <c r="D46" s="183">
        <f>'enzyme limited'!$J$6</f>
        <v>4.9221258631296072</v>
      </c>
      <c r="E46" s="13">
        <f>'light limited'!$J$6</f>
        <v>3.6097840119842215</v>
      </c>
      <c r="O46" s="3"/>
      <c r="P46" s="3"/>
      <c r="Q46" s="3"/>
      <c r="R46" s="3"/>
    </row>
    <row r="47" spans="2:43" s="1" customFormat="1" x14ac:dyDescent="0.25">
      <c r="B47" s="28" t="s">
        <v>313</v>
      </c>
      <c r="C47" s="180">
        <f>IF(((D47+E47-SQRT((D47+E47)*(D47+E47)-4*$C$14*D47*E47))/(2*$C$14))&lt;&gt;0,((D47+E47-SQRT((D47+E47)*(D47+E47)-4*$C$14*D47*E47))/(2*$C$14)),"")</f>
        <v>1.1289029062694393</v>
      </c>
      <c r="D47" s="183">
        <f>'enzyme limited'!$K$6</f>
        <v>1.6932714136603382</v>
      </c>
      <c r="E47" s="13">
        <f>'light limited'!$K$6</f>
        <v>1.2418097884832697</v>
      </c>
      <c r="O47" s="3"/>
      <c r="P47" s="3"/>
      <c r="Q47" s="3"/>
      <c r="R47" s="3"/>
    </row>
    <row r="48" spans="2:43" s="3" customFormat="1" x14ac:dyDescent="0.25">
      <c r="B48" s="28" t="s">
        <v>305</v>
      </c>
      <c r="C48" s="180">
        <f>((D48+E48-SQRT((D48+E48)*(D48+E48)-4*$C$14*D48*E48))/(2*$C$14))</f>
        <v>3.8960803243214692</v>
      </c>
      <c r="D48" s="183">
        <f>'enzyme limited'!$F$25</f>
        <v>11.450558644396517</v>
      </c>
      <c r="E48" s="13">
        <f>'light limited'!$C$17</f>
        <v>3.9965468373646496</v>
      </c>
      <c r="N48" s="1"/>
    </row>
    <row r="49" spans="1:70" s="3" customFormat="1" x14ac:dyDescent="0.25">
      <c r="B49" s="28" t="s">
        <v>5</v>
      </c>
      <c r="C49" s="180">
        <f>IF(((D49+E49-SQRT((D49+E49)*(D49+E49)-4*$C$14*D49*E49))/(2*$C$14))&lt;&gt;0,((D49+E49-SQRT((D49+E49)*(D49+E49)-4*$C$14*D49*E49))/(2*$C$14)),"")</f>
        <v>3.914889772157776</v>
      </c>
      <c r="D49" s="183">
        <f>'enzyme limited'!$F$6</f>
        <v>6.1636400191756469</v>
      </c>
      <c r="E49" s="13">
        <f>'light limited'!$F$6</f>
        <v>4.2556648748725001</v>
      </c>
    </row>
    <row r="50" spans="1:70" s="3" customFormat="1" x14ac:dyDescent="0.25">
      <c r="B50" s="83" t="s">
        <v>51</v>
      </c>
      <c r="C50" s="184">
        <f>gBs_t*(J15-K15)</f>
        <v>0.89067396331778825</v>
      </c>
      <c r="D50" s="185"/>
      <c r="E50" s="186"/>
    </row>
    <row r="51" spans="1:70" s="3" customFormat="1" x14ac:dyDescent="0.25">
      <c r="C51" s="167"/>
      <c r="D51" s="171"/>
      <c r="E51" s="171"/>
    </row>
    <row r="52" spans="1:70" s="3" customFormat="1" x14ac:dyDescent="0.25">
      <c r="C52" s="168"/>
      <c r="E52" s="170"/>
    </row>
    <row r="53" spans="1:70" s="3" customFormat="1" x14ac:dyDescent="0.25"/>
    <row r="54" spans="1:70" s="3" customFormat="1" x14ac:dyDescent="0.25"/>
    <row r="55" spans="1:70" s="3" customFormat="1" x14ac:dyDescent="0.25"/>
    <row r="56" spans="1:70" s="3" customFormat="1" x14ac:dyDescent="0.25"/>
    <row r="57" spans="1:70" s="3" customFormat="1" x14ac:dyDescent="0.25"/>
    <row r="58" spans="1:70" s="3" customFormat="1" x14ac:dyDescent="0.25"/>
    <row r="59" spans="1:70" s="3" customFormat="1" x14ac:dyDescent="0.25">
      <c r="B59" s="152"/>
      <c r="C59" s="169"/>
    </row>
    <row r="60" spans="1:70" s="30" customFormat="1" x14ac:dyDescent="0.25">
      <c r="A60" s="3"/>
      <c r="B60" s="152"/>
      <c r="C60" s="169"/>
      <c r="I60" s="3"/>
      <c r="R60" s="3"/>
      <c r="S60" s="3"/>
      <c r="V60" s="3"/>
      <c r="AI60" s="3"/>
    </row>
    <row r="61" spans="1:70" s="1" customFormat="1" x14ac:dyDescent="0.25">
      <c r="B61" s="152"/>
      <c r="C61" s="167"/>
      <c r="J61" s="3"/>
      <c r="K61" s="3"/>
      <c r="L61" s="3"/>
      <c r="M61" s="3"/>
      <c r="O61" s="34"/>
      <c r="P61" s="34"/>
      <c r="Q61" s="34"/>
      <c r="R61" s="35"/>
      <c r="S61" s="35"/>
      <c r="T61" s="35"/>
      <c r="U61" s="36"/>
      <c r="V61" s="35"/>
      <c r="AC61" s="29"/>
      <c r="AD61" s="29"/>
      <c r="AE61" s="29"/>
      <c r="AK61" s="9"/>
      <c r="AL61" s="9"/>
      <c r="AM61" s="9"/>
      <c r="AN61" s="9"/>
      <c r="AP61" s="9"/>
      <c r="AQ61" s="9"/>
      <c r="AR61" s="9"/>
      <c r="AU61" s="9"/>
      <c r="AV61" s="9"/>
      <c r="AW61" s="9"/>
      <c r="AX61" s="9"/>
      <c r="AY61" s="29"/>
      <c r="AZ61" s="9"/>
      <c r="BA61" s="9"/>
      <c r="BB61" s="9"/>
      <c r="BC61" s="9"/>
      <c r="BD61" s="9"/>
      <c r="BE61" s="9"/>
      <c r="BF61" s="37"/>
      <c r="BG61" s="9"/>
      <c r="BH61" s="9"/>
      <c r="BI61" s="9"/>
      <c r="BJ61" s="9"/>
      <c r="BK61" s="9"/>
      <c r="BL61" s="29"/>
      <c r="BM61" s="37"/>
      <c r="BN61" s="37"/>
      <c r="BO61" s="29"/>
      <c r="BP61" s="29"/>
      <c r="BQ61" s="29"/>
      <c r="BR61" s="29"/>
    </row>
    <row r="62" spans="1:70" s="1" customFormat="1" x14ac:dyDescent="0.25">
      <c r="B62" s="152"/>
      <c r="C62" s="169"/>
      <c r="J62" s="3"/>
      <c r="K62" s="3"/>
      <c r="L62" s="3"/>
      <c r="M62" s="3"/>
      <c r="O62" s="34"/>
      <c r="P62" s="34"/>
      <c r="Q62" s="34"/>
      <c r="R62" s="35"/>
      <c r="S62" s="35"/>
      <c r="T62" s="35"/>
      <c r="U62" s="36"/>
      <c r="V62" s="35"/>
      <c r="AC62" s="29"/>
      <c r="AD62" s="29"/>
      <c r="AE62" s="29"/>
      <c r="AK62" s="9"/>
      <c r="AL62" s="9"/>
      <c r="AM62" s="9"/>
      <c r="AN62" s="9"/>
      <c r="AP62" s="9"/>
      <c r="AQ62" s="9"/>
      <c r="AR62" s="9"/>
      <c r="AU62" s="9"/>
      <c r="AV62" s="9"/>
      <c r="AW62" s="9"/>
      <c r="AX62" s="9"/>
      <c r="AY62" s="29"/>
      <c r="AZ62" s="9"/>
      <c r="BA62" s="9"/>
      <c r="BB62" s="9"/>
      <c r="BC62" s="9"/>
      <c r="BD62" s="9"/>
      <c r="BE62" s="9"/>
      <c r="BF62" s="37"/>
      <c r="BG62" s="9"/>
      <c r="BH62" s="9"/>
      <c r="BI62" s="9"/>
      <c r="BJ62" s="9"/>
      <c r="BK62" s="9"/>
      <c r="BL62" s="29"/>
      <c r="BM62" s="37"/>
      <c r="BN62" s="37"/>
      <c r="BO62" s="29"/>
      <c r="BP62" s="29"/>
      <c r="BQ62" s="29"/>
      <c r="BR62" s="29"/>
    </row>
    <row r="63" spans="1:70" s="1" customFormat="1" x14ac:dyDescent="0.25">
      <c r="B63" s="30"/>
      <c r="C63" s="3"/>
      <c r="E63" s="29"/>
      <c r="J63" s="3"/>
      <c r="K63" s="3"/>
      <c r="L63" s="3"/>
      <c r="M63" s="3"/>
      <c r="O63" s="34"/>
      <c r="P63" s="34"/>
      <c r="Q63" s="34"/>
      <c r="R63" s="35"/>
      <c r="S63" s="35"/>
      <c r="T63" s="35"/>
      <c r="U63" s="36"/>
      <c r="V63" s="35"/>
      <c r="AC63" s="29"/>
      <c r="AD63" s="29"/>
      <c r="AE63" s="29"/>
      <c r="AK63" s="9"/>
      <c r="AL63" s="9"/>
      <c r="AM63" s="9"/>
      <c r="AN63" s="9"/>
      <c r="AP63" s="9"/>
      <c r="AQ63" s="9"/>
      <c r="AR63" s="9"/>
      <c r="AU63" s="9"/>
      <c r="AV63" s="9"/>
      <c r="AW63" s="9"/>
      <c r="AX63" s="9"/>
      <c r="AY63" s="29"/>
      <c r="AZ63" s="9"/>
      <c r="BA63" s="9"/>
      <c r="BB63" s="9"/>
      <c r="BC63" s="9"/>
      <c r="BD63" s="9"/>
      <c r="BE63" s="9"/>
      <c r="BF63" s="37"/>
      <c r="BG63" s="9"/>
      <c r="BH63" s="9"/>
      <c r="BI63" s="9"/>
      <c r="BJ63" s="9"/>
      <c r="BK63" s="9"/>
      <c r="BL63" s="29"/>
      <c r="BM63" s="37"/>
      <c r="BN63" s="37"/>
      <c r="BO63" s="29"/>
      <c r="BP63" s="29"/>
      <c r="BQ63" s="29"/>
      <c r="BR63" s="29"/>
    </row>
    <row r="64" spans="1:70" s="1" customFormat="1" x14ac:dyDescent="0.25">
      <c r="B64" s="148"/>
      <c r="C64" s="9"/>
      <c r="J64" s="3"/>
      <c r="K64" s="3"/>
      <c r="L64" s="3"/>
      <c r="M64" s="3"/>
      <c r="O64" s="34"/>
      <c r="P64" s="34"/>
      <c r="Q64" s="34"/>
      <c r="R64" s="35"/>
      <c r="S64" s="35"/>
      <c r="T64" s="35"/>
      <c r="U64" s="36"/>
      <c r="V64" s="35"/>
      <c r="AC64" s="29"/>
      <c r="AD64" s="29"/>
      <c r="AE64" s="29"/>
      <c r="AK64" s="9"/>
      <c r="AL64" s="9"/>
      <c r="AM64" s="9"/>
      <c r="AN64" s="9"/>
      <c r="AP64" s="9"/>
      <c r="AQ64" s="9"/>
      <c r="AR64" s="9"/>
      <c r="AU64" s="9"/>
      <c r="AV64" s="9"/>
      <c r="AW64" s="9"/>
      <c r="AX64" s="9"/>
      <c r="AY64" s="29"/>
      <c r="AZ64" s="9"/>
      <c r="BA64" s="9"/>
      <c r="BB64" s="9"/>
      <c r="BC64" s="9"/>
      <c r="BD64" s="9"/>
      <c r="BE64" s="9"/>
      <c r="BF64" s="37"/>
      <c r="BG64" s="9"/>
      <c r="BH64" s="9"/>
      <c r="BI64" s="9"/>
      <c r="BJ64" s="9"/>
      <c r="BK64" s="9"/>
      <c r="BL64" s="29"/>
      <c r="BM64" s="37"/>
      <c r="BN64" s="37"/>
      <c r="BO64" s="29"/>
      <c r="BP64" s="29"/>
      <c r="BQ64" s="29"/>
      <c r="BR64" s="29"/>
    </row>
    <row r="65" spans="1:70" s="1" customFormat="1" x14ac:dyDescent="0.25">
      <c r="B65" s="148"/>
      <c r="C65" s="9"/>
      <c r="J65" s="3"/>
      <c r="K65" s="3"/>
      <c r="L65" s="3"/>
      <c r="M65" s="3"/>
      <c r="O65" s="34"/>
      <c r="P65" s="34"/>
      <c r="Q65" s="34"/>
      <c r="R65" s="35"/>
      <c r="S65" s="35"/>
      <c r="T65" s="35"/>
      <c r="U65" s="36"/>
      <c r="V65" s="35"/>
      <c r="AC65" s="29"/>
      <c r="AD65" s="29"/>
      <c r="AE65" s="29"/>
      <c r="AK65" s="9"/>
      <c r="AL65" s="9"/>
      <c r="AM65" s="9"/>
      <c r="AN65" s="9"/>
      <c r="AP65" s="9"/>
      <c r="AQ65" s="9"/>
      <c r="AR65" s="9"/>
      <c r="AU65" s="9"/>
      <c r="AV65" s="9"/>
      <c r="AW65" s="9"/>
      <c r="AX65" s="9"/>
      <c r="AY65" s="29"/>
      <c r="AZ65" s="9"/>
      <c r="BA65" s="9"/>
      <c r="BB65" s="9"/>
      <c r="BC65" s="9"/>
      <c r="BD65" s="9"/>
      <c r="BE65" s="9"/>
      <c r="BF65" s="37"/>
      <c r="BG65" s="9"/>
      <c r="BH65" s="9"/>
      <c r="BI65" s="9"/>
      <c r="BJ65" s="9"/>
      <c r="BK65" s="9"/>
      <c r="BL65" s="29"/>
      <c r="BM65" s="37"/>
      <c r="BN65" s="37"/>
      <c r="BO65" s="29"/>
      <c r="BP65" s="29"/>
      <c r="BQ65" s="29"/>
      <c r="BR65" s="29"/>
    </row>
    <row r="66" spans="1:70" s="1" customFormat="1" x14ac:dyDescent="0.25">
      <c r="B66" s="148"/>
      <c r="J66" s="3"/>
      <c r="K66" s="3"/>
      <c r="L66" s="30"/>
      <c r="M66" s="3"/>
      <c r="O66" s="34"/>
      <c r="P66" s="34"/>
      <c r="Q66" s="34"/>
      <c r="R66" s="35"/>
      <c r="S66" s="35"/>
      <c r="T66" s="35"/>
      <c r="U66" s="36"/>
      <c r="V66" s="35"/>
      <c r="AC66" s="29"/>
      <c r="AD66" s="29"/>
      <c r="AE66" s="29"/>
      <c r="AK66" s="9"/>
      <c r="AL66" s="9"/>
      <c r="AM66" s="9"/>
      <c r="AN66" s="9"/>
      <c r="AP66" s="9"/>
      <c r="AQ66" s="9"/>
      <c r="AR66" s="9"/>
      <c r="AU66" s="9"/>
      <c r="AV66" s="9"/>
      <c r="AW66" s="9"/>
      <c r="AX66" s="9"/>
      <c r="AY66" s="29"/>
      <c r="AZ66" s="9"/>
      <c r="BA66" s="9"/>
      <c r="BB66" s="9"/>
      <c r="BC66" s="9"/>
      <c r="BD66" s="9"/>
      <c r="BE66" s="9"/>
      <c r="BF66" s="37"/>
      <c r="BG66" s="9"/>
      <c r="BH66" s="9"/>
      <c r="BI66" s="9"/>
      <c r="BJ66" s="9"/>
      <c r="BK66" s="9"/>
      <c r="BL66" s="29"/>
      <c r="BM66" s="37"/>
      <c r="BN66" s="37"/>
      <c r="BO66" s="29"/>
      <c r="BP66" s="29"/>
      <c r="BQ66" s="29"/>
      <c r="BR66" s="29"/>
    </row>
    <row r="67" spans="1:70" s="3" customFormat="1" x14ac:dyDescent="0.25">
      <c r="A67" s="1"/>
      <c r="B67" s="1"/>
      <c r="D67" s="1"/>
      <c r="N67" s="1"/>
      <c r="O67" s="34"/>
      <c r="P67" s="34"/>
      <c r="Q67" s="34"/>
      <c r="R67" s="35"/>
      <c r="S67" s="35"/>
      <c r="T67" s="35"/>
      <c r="U67" s="36"/>
      <c r="V67" s="35"/>
      <c r="W67" s="1"/>
      <c r="AC67" s="29"/>
      <c r="AD67" s="29"/>
      <c r="AE67" s="29"/>
      <c r="AK67" s="8"/>
      <c r="AL67" s="8"/>
      <c r="AM67" s="8"/>
      <c r="AN67" s="8"/>
      <c r="AP67" s="9"/>
      <c r="AQ67" s="8"/>
      <c r="AR67" s="8"/>
      <c r="AU67" s="9"/>
      <c r="AV67" s="9"/>
      <c r="AW67" s="8"/>
      <c r="AX67" s="8"/>
      <c r="AY67" s="30"/>
      <c r="AZ67" s="9"/>
      <c r="BA67" s="8"/>
      <c r="BB67" s="8"/>
      <c r="BC67" s="9"/>
      <c r="BD67" s="9"/>
      <c r="BE67" s="9"/>
      <c r="BF67" s="37"/>
      <c r="BG67" s="8"/>
      <c r="BH67" s="8"/>
      <c r="BI67" s="8"/>
      <c r="BJ67" s="9"/>
      <c r="BK67" s="8"/>
      <c r="BL67" s="30"/>
      <c r="BM67" s="37"/>
      <c r="BN67" s="37"/>
      <c r="BO67" s="30"/>
      <c r="BP67" s="30"/>
      <c r="BQ67" s="29"/>
      <c r="BR67" s="29"/>
    </row>
    <row r="68" spans="1:70" s="3" customFormat="1" x14ac:dyDescent="0.25">
      <c r="A68" s="1"/>
      <c r="B68" s="1"/>
      <c r="D68" s="1"/>
      <c r="N68" s="1"/>
      <c r="O68" s="34"/>
      <c r="P68" s="34"/>
      <c r="Q68" s="34"/>
      <c r="R68" s="35"/>
      <c r="S68" s="35"/>
      <c r="T68" s="35"/>
      <c r="U68" s="36"/>
      <c r="V68" s="35"/>
      <c r="W68" s="1"/>
      <c r="AC68" s="29"/>
      <c r="AD68" s="29"/>
      <c r="AE68" s="29"/>
      <c r="AK68" s="8"/>
      <c r="AL68" s="8"/>
      <c r="AM68" s="8"/>
      <c r="AN68" s="8"/>
      <c r="AP68" s="9"/>
      <c r="AQ68" s="8"/>
      <c r="AR68" s="8"/>
      <c r="AU68" s="9"/>
      <c r="AV68" s="9"/>
      <c r="AW68" s="8"/>
      <c r="AX68" s="8"/>
      <c r="AY68" s="30"/>
      <c r="AZ68" s="9"/>
      <c r="BA68" s="8"/>
      <c r="BB68" s="8"/>
      <c r="BC68" s="9"/>
      <c r="BD68" s="9"/>
      <c r="BE68" s="9"/>
      <c r="BF68" s="37"/>
      <c r="BG68" s="8"/>
      <c r="BH68" s="8"/>
      <c r="BI68" s="8"/>
      <c r="BJ68" s="9"/>
      <c r="BK68" s="8"/>
      <c r="BL68" s="30"/>
      <c r="BM68" s="37"/>
      <c r="BN68" s="37"/>
      <c r="BO68" s="30"/>
      <c r="BP68" s="30"/>
      <c r="BQ68" s="29"/>
      <c r="BR68" s="29"/>
    </row>
    <row r="69" spans="1:70" s="38" customFormat="1" x14ac:dyDescent="0.25">
      <c r="A69" s="1"/>
      <c r="B69" s="1"/>
      <c r="D69" s="1"/>
      <c r="J69" s="3"/>
      <c r="K69" s="3"/>
      <c r="L69" s="3"/>
      <c r="M69" s="3"/>
      <c r="N69" s="1"/>
      <c r="O69" s="34"/>
      <c r="P69" s="34"/>
      <c r="Q69" s="34"/>
      <c r="R69" s="35"/>
      <c r="S69" s="35"/>
      <c r="T69" s="35"/>
      <c r="U69" s="36"/>
      <c r="V69" s="35"/>
      <c r="W69" s="1"/>
      <c r="AC69" s="29"/>
      <c r="AD69" s="29"/>
      <c r="AE69" s="29"/>
      <c r="AK69" s="39"/>
      <c r="AL69" s="39"/>
      <c r="AM69" s="39"/>
      <c r="AN69" s="39"/>
      <c r="AP69" s="9"/>
      <c r="AQ69" s="39"/>
      <c r="AR69" s="39"/>
      <c r="AU69" s="9"/>
      <c r="AV69" s="9"/>
      <c r="AW69" s="39"/>
      <c r="AX69" s="39"/>
      <c r="AY69" s="40"/>
      <c r="AZ69" s="9"/>
      <c r="BA69" s="39"/>
      <c r="BB69" s="39"/>
      <c r="BC69" s="9"/>
      <c r="BD69" s="9"/>
      <c r="BE69" s="9"/>
      <c r="BF69" s="37"/>
      <c r="BG69" s="39"/>
      <c r="BH69" s="39"/>
      <c r="BI69" s="39"/>
      <c r="BJ69" s="9"/>
      <c r="BK69" s="39"/>
      <c r="BL69" s="40"/>
      <c r="BM69" s="37"/>
      <c r="BN69" s="37"/>
      <c r="BO69" s="40"/>
      <c r="BP69" s="40"/>
      <c r="BQ69" s="29"/>
      <c r="BR69" s="29"/>
    </row>
    <row r="70" spans="1:70" s="1" customFormat="1" x14ac:dyDescent="0.25">
      <c r="J70" s="3"/>
      <c r="K70" s="3"/>
      <c r="L70" s="3"/>
      <c r="M70" s="3"/>
      <c r="O70" s="34"/>
      <c r="P70" s="34"/>
      <c r="Q70" s="34"/>
      <c r="R70" s="35"/>
      <c r="S70" s="35"/>
      <c r="T70" s="35"/>
      <c r="U70" s="36"/>
      <c r="V70" s="35"/>
      <c r="AC70" s="29"/>
      <c r="AD70" s="29"/>
      <c r="AE70" s="29"/>
      <c r="AK70" s="9"/>
      <c r="AL70" s="9"/>
      <c r="AM70" s="9"/>
      <c r="AN70" s="9"/>
      <c r="AP70" s="9"/>
      <c r="AQ70" s="9"/>
      <c r="AR70" s="9"/>
      <c r="AU70" s="9"/>
      <c r="AV70" s="9"/>
      <c r="AW70" s="9"/>
      <c r="AX70" s="9"/>
      <c r="AY70" s="29"/>
      <c r="AZ70" s="9"/>
      <c r="BA70" s="9"/>
      <c r="BB70" s="9"/>
      <c r="BC70" s="9"/>
      <c r="BD70" s="9"/>
      <c r="BE70" s="9"/>
      <c r="BF70" s="37"/>
      <c r="BG70" s="9"/>
      <c r="BH70" s="9"/>
      <c r="BI70" s="9"/>
      <c r="BJ70" s="9"/>
      <c r="BK70" s="9"/>
      <c r="BL70" s="29"/>
      <c r="BM70" s="37"/>
      <c r="BN70" s="37"/>
      <c r="BO70" s="29"/>
      <c r="BP70" s="29"/>
      <c r="BQ70" s="29"/>
      <c r="BR70" s="29"/>
    </row>
    <row r="71" spans="1:70" s="1" customFormat="1" x14ac:dyDescent="0.25">
      <c r="J71" s="3"/>
      <c r="K71" s="3"/>
      <c r="L71" s="3"/>
      <c r="M71" s="3"/>
      <c r="O71" s="34"/>
      <c r="P71" s="34"/>
      <c r="Q71" s="34"/>
      <c r="R71" s="35"/>
      <c r="S71" s="35"/>
      <c r="T71" s="35"/>
      <c r="U71" s="36"/>
      <c r="V71" s="35"/>
      <c r="AC71" s="29"/>
      <c r="AD71" s="29"/>
      <c r="AE71" s="29"/>
      <c r="AK71" s="9"/>
      <c r="AL71" s="9"/>
      <c r="AM71" s="9"/>
      <c r="AN71" s="9"/>
      <c r="AP71" s="9"/>
      <c r="AQ71" s="9"/>
      <c r="AR71" s="9"/>
      <c r="AU71" s="9"/>
      <c r="AV71" s="9"/>
      <c r="AW71" s="9"/>
      <c r="AX71" s="9"/>
      <c r="AY71" s="29"/>
      <c r="AZ71" s="9"/>
      <c r="BA71" s="9"/>
      <c r="BB71" s="9"/>
      <c r="BC71" s="9"/>
      <c r="BD71" s="9"/>
      <c r="BE71" s="9"/>
      <c r="BF71" s="37"/>
      <c r="BG71" s="9"/>
      <c r="BH71" s="9"/>
      <c r="BI71" s="9"/>
      <c r="BJ71" s="9"/>
      <c r="BK71" s="9"/>
      <c r="BL71" s="29"/>
      <c r="BM71" s="37"/>
      <c r="BN71" s="37"/>
      <c r="BO71" s="29"/>
      <c r="BP71" s="29"/>
      <c r="BQ71" s="29"/>
      <c r="BR71" s="29"/>
    </row>
    <row r="72" spans="1:70" s="1" customFormat="1" x14ac:dyDescent="0.25">
      <c r="J72" s="3"/>
      <c r="K72" s="3"/>
      <c r="L72" s="3"/>
      <c r="M72" s="3"/>
    </row>
    <row r="73" spans="1:70" s="1" customFormat="1" x14ac:dyDescent="0.25">
      <c r="J73" s="3"/>
      <c r="K73" s="3"/>
      <c r="L73" s="3"/>
      <c r="M73" s="3"/>
    </row>
    <row r="74" spans="1:70" s="1" customFormat="1" x14ac:dyDescent="0.25">
      <c r="J74" s="3"/>
      <c r="K74" s="3"/>
      <c r="L74" s="3"/>
      <c r="M74" s="3"/>
    </row>
    <row r="75" spans="1:70" s="1" customFormat="1" x14ac:dyDescent="0.25">
      <c r="J75" s="3"/>
      <c r="K75" s="3"/>
      <c r="L75" s="3"/>
      <c r="M75" s="3"/>
    </row>
    <row r="76" spans="1:70" s="1" customFormat="1" x14ac:dyDescent="0.25">
      <c r="J76" s="3"/>
      <c r="K76" s="3"/>
      <c r="L76" s="3"/>
      <c r="M76" s="3"/>
    </row>
  </sheetData>
  <mergeCells count="2">
    <mergeCell ref="B2:C2"/>
    <mergeCell ref="E2:O2"/>
  </mergeCells>
  <conditionalFormatting sqref="W24:W34 W54:W55">
    <cfRule type="top10" dxfId="16" priority="22" bottom="1" rank="1"/>
  </conditionalFormatting>
  <conditionalFormatting sqref="J23 J7:K7">
    <cfRule type="cellIs" dxfId="15" priority="19" operator="lessThan">
      <formula>0</formula>
    </cfRule>
  </conditionalFormatting>
  <conditionalFormatting sqref="J23:K24 J26:K27 J25 J29:K29">
    <cfRule type="cellIs" dxfId="14" priority="18" operator="lessThan">
      <formula>-0.0001</formula>
    </cfRule>
  </conditionalFormatting>
  <conditionalFormatting sqref="K25">
    <cfRule type="cellIs" dxfId="13" priority="17" operator="lessThan">
      <formula>0</formula>
    </cfRule>
  </conditionalFormatting>
  <conditionalFormatting sqref="J28">
    <cfRule type="cellIs" dxfId="12" priority="15" operator="lessThan">
      <formula>0</formula>
    </cfRule>
    <cfRule type="cellIs" dxfId="11" priority="16" operator="greaterThan">
      <formula>0</formula>
    </cfRule>
  </conditionalFormatting>
  <conditionalFormatting sqref="J6:K6">
    <cfRule type="cellIs" dxfId="10" priority="14" operator="lessThan">
      <formula>0</formula>
    </cfRule>
  </conditionalFormatting>
  <conditionalFormatting sqref="F20">
    <cfRule type="cellIs" dxfId="9" priority="13" operator="lessThan">
      <formula>0</formula>
    </cfRule>
  </conditionalFormatting>
  <conditionalFormatting sqref="C17">
    <cfRule type="cellIs" dxfId="8" priority="12" operator="lessThan">
      <formula>0</formula>
    </cfRule>
  </conditionalFormatting>
  <conditionalFormatting sqref="F28">
    <cfRule type="cellIs" dxfId="7" priority="11" operator="lessThan">
      <formula>0</formula>
    </cfRule>
  </conditionalFormatting>
  <conditionalFormatting sqref="C10">
    <cfRule type="cellIs" dxfId="6" priority="10" operator="lessThan">
      <formula>0</formula>
    </cfRule>
  </conditionalFormatting>
  <conditionalFormatting sqref="J17:K17">
    <cfRule type="cellIs" dxfId="5" priority="2" operator="lessThan">
      <formula>0</formula>
    </cfRule>
  </conditionalFormatting>
  <conditionalFormatting sqref="J16:K16">
    <cfRule type="cellIs" dxfId="4" priority="5" operator="lessThan">
      <formula>0</formula>
    </cfRule>
  </conditionalFormatting>
  <conditionalFormatting sqref="J8:K14">
    <cfRule type="cellIs" dxfId="3" priority="6" operator="lessThan">
      <formula>0</formula>
    </cfRule>
  </conditionalFormatting>
  <conditionalFormatting sqref="J15:K15">
    <cfRule type="cellIs" dxfId="2" priority="3" operator="lessThan">
      <formula>0</formula>
    </cfRule>
  </conditionalFormatting>
  <conditionalFormatting sqref="L7">
    <cfRule type="cellIs" dxfId="1" priority="1" operator="lessThan">
      <formula>0</formula>
    </cfRule>
  </conditionalFormatting>
  <pageMargins left="0.7" right="0.7" top="0.75" bottom="0.75" header="0.3" footer="0.3"/>
  <pageSetup paperSize="9" scale="64" orientation="landscape"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pageSetUpPr fitToPage="1"/>
  </sheetPr>
  <dimension ref="C7:AD50"/>
  <sheetViews>
    <sheetView zoomScale="145" zoomScaleNormal="145" workbookViewId="0">
      <selection activeCell="AI28" sqref="AI28"/>
    </sheetView>
  </sheetViews>
  <sheetFormatPr defaultColWidth="3.6640625" defaultRowHeight="6.75" customHeight="1" x14ac:dyDescent="0.3"/>
  <cols>
    <col min="1" max="2" width="3.6640625" style="134"/>
    <col min="3" max="3" width="4" style="134" bestFit="1" customWidth="1"/>
    <col min="4" max="5" width="3.88671875" style="134" bestFit="1" customWidth="1"/>
    <col min="6" max="6" width="4" style="134" bestFit="1" customWidth="1"/>
    <col min="7" max="7" width="4.109375" style="134" bestFit="1" customWidth="1"/>
    <col min="8" max="8" width="3.6640625" style="134"/>
    <col min="9" max="9" width="4.109375" style="134" bestFit="1" customWidth="1"/>
    <col min="10" max="12" width="3.88671875" style="134" bestFit="1" customWidth="1"/>
    <col min="13" max="15" width="3.6640625" style="134"/>
    <col min="16" max="16" width="3.88671875" style="134" bestFit="1" customWidth="1"/>
    <col min="17" max="19" width="3.6640625" style="134"/>
    <col min="20" max="30" width="3.88671875" style="134" bestFit="1" customWidth="1"/>
    <col min="31" max="16384" width="3.6640625" style="134"/>
  </cols>
  <sheetData>
    <row r="7" spans="4:29" ht="6.75" customHeight="1" x14ac:dyDescent="0.3">
      <c r="P7" s="135">
        <f>Model!O22</f>
        <v>0.23198614833782216</v>
      </c>
    </row>
    <row r="8" spans="4:29" ht="6.75" customHeight="1" x14ac:dyDescent="0.3">
      <c r="E8" s="135">
        <f>Model!R16</f>
        <v>3.6640941759836472</v>
      </c>
      <c r="F8" s="135">
        <f>Model!$K$11</f>
        <v>3.8960803243214692</v>
      </c>
      <c r="I8" s="135">
        <f>Model!C17</f>
        <v>3.8960803243214692</v>
      </c>
      <c r="L8" s="135">
        <f>Model!$K$24</f>
        <v>0.23198614833782216</v>
      </c>
      <c r="Z8" s="135">
        <f>Model!$J$26</f>
        <v>3.8960803243214692</v>
      </c>
      <c r="AC8" s="135">
        <f>Model!$J$11</f>
        <v>0</v>
      </c>
    </row>
    <row r="10" spans="4:29" ht="6.75" customHeight="1" x14ac:dyDescent="0.3">
      <c r="W10" s="135">
        <f>Model!$J$24</f>
        <v>3.6640941759836472</v>
      </c>
    </row>
    <row r="11" spans="4:29" ht="6.75" customHeight="1" x14ac:dyDescent="0.3">
      <c r="F11" s="135">
        <f>Model!K25</f>
        <v>3.6640941759836472</v>
      </c>
      <c r="P11" s="135">
        <f>Model!O23</f>
        <v>0</v>
      </c>
    </row>
    <row r="13" spans="4:29" ht="6.75" customHeight="1" x14ac:dyDescent="0.3">
      <c r="T13" s="135">
        <f>Model!$F$28</f>
        <v>0</v>
      </c>
      <c r="Z13" s="135">
        <f>Model!K25</f>
        <v>3.6640941759836472</v>
      </c>
    </row>
    <row r="14" spans="4:29" ht="6.75" customHeight="1" x14ac:dyDescent="0.3">
      <c r="J14" s="135">
        <f>Model!$K$25</f>
        <v>3.6640941759836472</v>
      </c>
      <c r="AB14" s="135">
        <f>Model!R15</f>
        <v>0</v>
      </c>
    </row>
    <row r="15" spans="4:29" ht="6.75" customHeight="1" x14ac:dyDescent="0.3">
      <c r="P15" s="135">
        <f>Model!O28</f>
        <v>0.23198614833782205</v>
      </c>
    </row>
    <row r="16" spans="4:29" ht="6.75" customHeight="1" x14ac:dyDescent="0.3">
      <c r="D16" s="135">
        <f>Model!R15</f>
        <v>0</v>
      </c>
      <c r="X16" s="135">
        <f>Model!$J$25</f>
        <v>3.6640941759836472</v>
      </c>
    </row>
    <row r="19" spans="3:30" ht="6.75" customHeight="1" x14ac:dyDescent="0.3">
      <c r="AA19" s="135">
        <f>Model!R16</f>
        <v>3.6640941759836472</v>
      </c>
    </row>
    <row r="20" spans="3:30" ht="6.75" customHeight="1" x14ac:dyDescent="0.3">
      <c r="P20" s="135">
        <f>Model!O24</f>
        <v>3.6640941759836472</v>
      </c>
    </row>
    <row r="24" spans="3:30" ht="6.75" customHeight="1" x14ac:dyDescent="0.3">
      <c r="P24" s="135">
        <f>Model!O27</f>
        <v>3.6640941759836472</v>
      </c>
      <c r="S24" s="135"/>
    </row>
    <row r="28" spans="3:30" ht="6.75" customHeight="1" x14ac:dyDescent="0.3">
      <c r="P28" s="135">
        <f>Model!O21</f>
        <v>7.2443859213687647</v>
      </c>
    </row>
    <row r="29" spans="3:30" ht="6.75" customHeight="1" x14ac:dyDescent="0.3">
      <c r="E29" s="135">
        <f>Model!$K$9</f>
        <v>6.6278211905063888E-2</v>
      </c>
      <c r="Z29" s="135">
        <f>Model!J9</f>
        <v>4.4185474603375928E-2</v>
      </c>
    </row>
    <row r="30" spans="3:30" ht="6.75" customHeight="1" x14ac:dyDescent="0.3">
      <c r="C30" s="135">
        <f>Model!$K$10</f>
        <v>1.2970805703749235</v>
      </c>
      <c r="AD30" s="135">
        <f>Model!J10</f>
        <v>0</v>
      </c>
    </row>
    <row r="32" spans="3:30" ht="6.75" customHeight="1" x14ac:dyDescent="0.3">
      <c r="P32" s="135">
        <f>Model!O20</f>
        <v>6.2425838010342058</v>
      </c>
    </row>
    <row r="34" spans="3:30" ht="6.75" customHeight="1" x14ac:dyDescent="0.3">
      <c r="L34" s="135">
        <f>Model!$K$8</f>
        <v>0.3535786884865606</v>
      </c>
      <c r="U34" s="135">
        <f>Model!J8</f>
        <v>0.46397229667564432</v>
      </c>
    </row>
    <row r="37" spans="3:30" ht="6.75" customHeight="1" x14ac:dyDescent="0.3">
      <c r="P37" s="135">
        <f>Model!O25</f>
        <v>0</v>
      </c>
    </row>
    <row r="38" spans="3:30" ht="6.75" customHeight="1" x14ac:dyDescent="0.3">
      <c r="F38" s="135">
        <f>Model!$K$12</f>
        <v>10.010467029335796</v>
      </c>
      <c r="AA38" s="135">
        <f>Model!J12</f>
        <v>0</v>
      </c>
    </row>
    <row r="41" spans="3:30" ht="6.75" customHeight="1" x14ac:dyDescent="0.3">
      <c r="K41" s="135">
        <f>Model!$K$7</f>
        <v>0.3535786884865606</v>
      </c>
      <c r="P41" s="135">
        <f>Model!O26</f>
        <v>0</v>
      </c>
      <c r="V41" s="135">
        <f>Model!J7</f>
        <v>0.46397229667564432</v>
      </c>
      <c r="X41" s="135">
        <f>Model!J6</f>
        <v>3.2815779839448784</v>
      </c>
    </row>
    <row r="42" spans="3:30" ht="6.75" customHeight="1" x14ac:dyDescent="0.3">
      <c r="I42" s="135">
        <f>Model!$K$6</f>
        <v>1.1289029062694393</v>
      </c>
    </row>
    <row r="45" spans="3:30" ht="6.75" customHeight="1" x14ac:dyDescent="0.3">
      <c r="C45" s="135">
        <f>Model!$K$13</f>
        <v>2.4708026579266669</v>
      </c>
      <c r="P45" s="135">
        <f>Model!O19</f>
        <v>0.89067396331778914</v>
      </c>
      <c r="AD45" s="135">
        <f>Model!J13</f>
        <v>6.242583801034205</v>
      </c>
    </row>
    <row r="50" spans="7:25" ht="6.75" customHeight="1" x14ac:dyDescent="0.3">
      <c r="G50" s="135">
        <f>Model!$K$14</f>
        <v>1.4824815947559999</v>
      </c>
      <c r="Y50" s="135">
        <f>Model!J14</f>
        <v>3.745550280620523</v>
      </c>
    </row>
  </sheetData>
  <pageMargins left="0.7" right="0.7" top="0.75" bottom="0.75" header="0.3" footer="0.3"/>
  <pageSetup paperSize="9" scale="75" orientation="portrait"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F36"/>
  <sheetViews>
    <sheetView topLeftCell="A7" zoomScaleNormal="100" workbookViewId="0">
      <selection activeCell="E17" sqref="E17"/>
    </sheetView>
  </sheetViews>
  <sheetFormatPr defaultColWidth="9.109375" defaultRowHeight="13.8" x14ac:dyDescent="0.25"/>
  <cols>
    <col min="1" max="1" width="16.44140625" style="128" customWidth="1"/>
    <col min="2" max="2" width="21.5546875" style="29" customWidth="1"/>
    <col min="3" max="3" width="14.109375" style="29" bestFit="1" customWidth="1"/>
    <col min="4" max="6" width="9.109375" style="1"/>
    <col min="7" max="7" width="22.109375" style="1" bestFit="1" customWidth="1"/>
    <col min="8" max="10" width="9.109375" style="1"/>
    <col min="11" max="11" width="14.109375" style="1" bestFit="1" customWidth="1"/>
    <col min="12" max="12" width="15.33203125" style="123" customWidth="1"/>
    <col min="13" max="17" width="9.109375" style="1" customWidth="1"/>
    <col min="18" max="16384" width="9.109375" style="1"/>
  </cols>
  <sheetData>
    <row r="1" spans="1:32" ht="14.4" x14ac:dyDescent="0.3">
      <c r="Z1" s="113"/>
      <c r="AA1" s="113"/>
      <c r="AB1" s="113"/>
      <c r="AC1" s="113"/>
      <c r="AD1" s="113"/>
      <c r="AE1" s="113"/>
      <c r="AF1" s="113"/>
    </row>
    <row r="2" spans="1:32" ht="14.4" x14ac:dyDescent="0.3">
      <c r="Z2" s="113"/>
      <c r="AA2" s="113"/>
      <c r="AB2" s="113"/>
      <c r="AC2" s="113"/>
      <c r="AD2" s="113"/>
      <c r="AE2" s="113"/>
      <c r="AF2" s="113"/>
    </row>
    <row r="3" spans="1:32" ht="14.4" x14ac:dyDescent="0.3">
      <c r="A3" s="128" t="s">
        <v>218</v>
      </c>
      <c r="B3" s="129" t="str">
        <f>IF('light limited'!F6&lt;'enzyme limited'!F6,"L",IF('light limited'!F6='enzyme limited'!F6,"C","E"))</f>
        <v>L</v>
      </c>
      <c r="D3" s="1" t="s">
        <v>6</v>
      </c>
      <c r="E3" s="51"/>
      <c r="G3" s="51">
        <f>IF(ISNUMBER(Model!F5),Model!F5,1)</f>
        <v>4.0017053976332155</v>
      </c>
      <c r="Z3" s="113"/>
      <c r="AA3" s="113"/>
      <c r="AB3" s="113"/>
      <c r="AC3" s="113"/>
      <c r="AD3" s="113"/>
      <c r="AE3" s="113"/>
      <c r="AF3" s="113"/>
    </row>
    <row r="4" spans="1:32" ht="14.4" x14ac:dyDescent="0.3">
      <c r="D4" s="148" t="s">
        <v>5</v>
      </c>
      <c r="G4" s="51">
        <f>Model!$F$6</f>
        <v>3.8912417111247759</v>
      </c>
      <c r="L4" s="51"/>
      <c r="N4" s="1" t="s">
        <v>196</v>
      </c>
      <c r="Q4" s="51">
        <f>Jatp</f>
        <v>26.643645582430999</v>
      </c>
      <c r="Z4" s="113"/>
      <c r="AA4" s="113"/>
      <c r="AB4" s="113"/>
      <c r="AC4" s="113"/>
      <c r="AD4" s="113"/>
      <c r="AE4" s="113"/>
      <c r="AF4" s="113"/>
    </row>
    <row r="5" spans="1:32" ht="14.4" x14ac:dyDescent="0.3">
      <c r="A5" s="157" t="s">
        <v>328</v>
      </c>
      <c r="B5" s="130">
        <v>0.52116484399363505</v>
      </c>
      <c r="D5" s="1" t="s">
        <v>221</v>
      </c>
      <c r="G5" s="275">
        <f>1000000*growth_rate</f>
        <v>1.3813836702245201</v>
      </c>
      <c r="H5" s="212"/>
      <c r="I5" s="148">
        <f>SQRT(POWER(cm-B21,2))</f>
        <v>1.3333097564327545E-4</v>
      </c>
      <c r="N5" s="1" t="s">
        <v>197</v>
      </c>
      <c r="Q5" s="51">
        <f>jNADPH</f>
        <v>11.608227328445041</v>
      </c>
      <c r="Z5" s="113"/>
      <c r="AA5" s="113"/>
      <c r="AB5" s="113"/>
      <c r="AC5" s="113"/>
      <c r="AD5" s="113"/>
      <c r="AE5" s="113"/>
      <c r="AF5" s="113"/>
    </row>
    <row r="6" spans="1:32" ht="16.2" x14ac:dyDescent="0.35">
      <c r="A6" s="157" t="s">
        <v>318</v>
      </c>
      <c r="B6" s="208">
        <f>0.15*Jatp</f>
        <v>3.9965468373646496</v>
      </c>
      <c r="D6" s="148" t="s">
        <v>292</v>
      </c>
      <c r="G6" s="51">
        <f>'enzyme limited'!$F$7</f>
        <v>6.6153972767899454</v>
      </c>
      <c r="N6" s="26" t="s">
        <v>216</v>
      </c>
      <c r="Q6" s="51">
        <f>atp_demand_enzyme</f>
        <v>46.126816224597007</v>
      </c>
      <c r="Z6" s="113"/>
      <c r="AA6" s="113"/>
      <c r="AB6" s="113"/>
      <c r="AC6" s="113"/>
      <c r="AD6" s="113"/>
      <c r="AE6" s="113"/>
      <c r="AF6" s="113"/>
    </row>
    <row r="7" spans="1:32" ht="14.4" x14ac:dyDescent="0.3">
      <c r="A7" s="157" t="s">
        <v>190</v>
      </c>
      <c r="B7" s="131">
        <v>0.27</v>
      </c>
      <c r="D7" s="148" t="s">
        <v>293</v>
      </c>
      <c r="G7" s="51">
        <f>'light limited'!$F$7</f>
        <v>4.8515938004674908</v>
      </c>
      <c r="N7" s="14" t="s">
        <v>215</v>
      </c>
      <c r="Q7" s="51">
        <f>NADPH_demand_enzyme</f>
        <v>14.55914760916718</v>
      </c>
      <c r="Z7" s="113"/>
      <c r="AA7" s="113"/>
      <c r="AB7" s="113"/>
      <c r="AC7" s="113"/>
      <c r="AD7" s="113"/>
      <c r="AE7" s="113"/>
      <c r="AF7" s="113"/>
    </row>
    <row r="8" spans="1:32" ht="14.4" x14ac:dyDescent="0.3">
      <c r="A8" s="157" t="s">
        <v>345</v>
      </c>
      <c r="B8" s="130">
        <v>11.246827535569533</v>
      </c>
      <c r="N8" s="1" t="s">
        <v>222</v>
      </c>
      <c r="Q8" s="51">
        <f>'light limited'!F16</f>
        <v>26.618588000046902</v>
      </c>
      <c r="Z8" s="113"/>
      <c r="AA8" s="113"/>
      <c r="AB8" s="113"/>
      <c r="AC8" s="113"/>
      <c r="AD8" s="113"/>
      <c r="AE8" s="113"/>
      <c r="AF8" s="113"/>
    </row>
    <row r="9" spans="1:32" ht="15.6" x14ac:dyDescent="0.3">
      <c r="A9" s="157" t="s">
        <v>346</v>
      </c>
      <c r="B9" s="204">
        <v>32.938647067806393</v>
      </c>
      <c r="D9" s="303" t="s">
        <v>270</v>
      </c>
      <c r="E9" s="304"/>
      <c r="F9" s="304"/>
      <c r="G9" s="304"/>
      <c r="H9" s="190"/>
      <c r="N9" s="14" t="s">
        <v>217</v>
      </c>
      <c r="Q9" s="51">
        <f>Nadph_demand_light</f>
        <v>11.608227328445041</v>
      </c>
      <c r="Z9" s="113"/>
      <c r="AA9" s="113"/>
      <c r="AB9" s="113"/>
      <c r="AC9" s="113"/>
      <c r="AD9" s="113"/>
      <c r="AE9" s="113"/>
      <c r="AF9" s="113"/>
    </row>
    <row r="10" spans="1:32" ht="14.4" x14ac:dyDescent="0.3">
      <c r="B10" s="189"/>
      <c r="D10" s="236" t="s">
        <v>291</v>
      </c>
      <c r="E10" s="237">
        <v>25</v>
      </c>
      <c r="F10" s="147" t="s">
        <v>272</v>
      </c>
      <c r="G10" s="193">
        <v>10</v>
      </c>
      <c r="H10" s="192"/>
      <c r="Q10" s="51"/>
      <c r="Z10" s="113"/>
      <c r="AA10" s="113"/>
      <c r="AB10" s="113"/>
      <c r="AC10" s="113"/>
      <c r="AD10" s="113"/>
      <c r="AE10" s="113"/>
      <c r="AF10" s="113"/>
    </row>
    <row r="11" spans="1:32" ht="14.4" x14ac:dyDescent="0.3">
      <c r="B11" s="189"/>
      <c r="D11" s="147" t="s">
        <v>274</v>
      </c>
      <c r="E11" s="151">
        <v>0.01</v>
      </c>
      <c r="F11" s="149" t="s">
        <v>273</v>
      </c>
      <c r="G11" s="150">
        <v>12.6</v>
      </c>
      <c r="H11" s="192"/>
      <c r="Z11" s="113"/>
      <c r="AA11" s="113"/>
      <c r="AB11" s="113"/>
      <c r="AC11" s="113"/>
      <c r="AD11" s="113"/>
      <c r="AE11" s="113"/>
      <c r="AF11" s="113"/>
    </row>
    <row r="12" spans="1:32" ht="14.4" x14ac:dyDescent="0.3">
      <c r="B12" s="46"/>
      <c r="D12" s="147" t="s">
        <v>276</v>
      </c>
      <c r="E12" s="151">
        <v>-0.1</v>
      </c>
      <c r="F12" s="149" t="s">
        <v>275</v>
      </c>
      <c r="G12" s="150">
        <v>2.7</v>
      </c>
      <c r="H12" s="192"/>
      <c r="Z12" s="113"/>
      <c r="AA12" s="113"/>
      <c r="AB12" s="113"/>
      <c r="AC12" s="113"/>
      <c r="AD12" s="113"/>
      <c r="AE12" s="113"/>
      <c r="AF12" s="113"/>
    </row>
    <row r="13" spans="1:32" ht="14.4" x14ac:dyDescent="0.3">
      <c r="B13" s="132"/>
      <c r="D13" s="147" t="s">
        <v>280</v>
      </c>
      <c r="E13" s="151">
        <v>1</v>
      </c>
      <c r="F13" s="149" t="s">
        <v>277</v>
      </c>
      <c r="G13" s="150">
        <v>150</v>
      </c>
      <c r="H13" s="192"/>
      <c r="Z13" s="113"/>
      <c r="AA13" s="113"/>
      <c r="AB13" s="113"/>
      <c r="AC13" s="113"/>
      <c r="AD13" s="113"/>
      <c r="AE13" s="113"/>
      <c r="AF13" s="113"/>
    </row>
    <row r="14" spans="1:32" ht="14.4" x14ac:dyDescent="0.3">
      <c r="B14" s="189"/>
      <c r="D14" s="147" t="s">
        <v>278</v>
      </c>
      <c r="E14" s="151">
        <v>-0.87</v>
      </c>
      <c r="F14" s="152" t="s">
        <v>279</v>
      </c>
      <c r="G14" s="156">
        <v>67</v>
      </c>
      <c r="H14" s="192"/>
      <c r="Z14" s="113"/>
      <c r="AA14" s="113"/>
      <c r="AB14" s="113"/>
      <c r="AC14" s="113"/>
      <c r="AD14" s="113"/>
      <c r="AE14" s="113"/>
      <c r="AF14" s="113"/>
    </row>
    <row r="15" spans="1:32" ht="14.4" x14ac:dyDescent="0.3">
      <c r="B15" s="189"/>
      <c r="D15" s="153" t="s">
        <v>282</v>
      </c>
      <c r="E15" s="151">
        <v>12</v>
      </c>
      <c r="F15" s="149" t="s">
        <v>281</v>
      </c>
      <c r="G15" s="150">
        <f>G10*E13</f>
        <v>10</v>
      </c>
      <c r="H15" s="192"/>
      <c r="Z15" s="113"/>
      <c r="AA15" s="113"/>
      <c r="AB15" s="113"/>
      <c r="AC15" s="113"/>
      <c r="AD15" s="113"/>
      <c r="AE15" s="113"/>
      <c r="AF15" s="113"/>
    </row>
    <row r="16" spans="1:32" ht="14.4" x14ac:dyDescent="0.3">
      <c r="B16" s="189"/>
      <c r="D16" s="147" t="s">
        <v>284</v>
      </c>
      <c r="E16" s="151">
        <v>1.2</v>
      </c>
      <c r="F16" s="149" t="s">
        <v>283</v>
      </c>
      <c r="G16" s="154">
        <f>1/E15</f>
        <v>8.3333333333333329E-2</v>
      </c>
      <c r="H16" s="192"/>
      <c r="Z16" s="113"/>
      <c r="AA16" s="113"/>
      <c r="AB16" s="113"/>
      <c r="AC16" s="113"/>
      <c r="AD16" s="113"/>
      <c r="AE16" s="113"/>
      <c r="AF16" s="113"/>
    </row>
    <row r="17" spans="1:32" ht="14.4" x14ac:dyDescent="0.3">
      <c r="B17" s="132"/>
      <c r="D17" s="147" t="s">
        <v>286</v>
      </c>
      <c r="E17" s="151">
        <v>1</v>
      </c>
      <c r="F17" s="149" t="s">
        <v>285</v>
      </c>
      <c r="G17" s="150">
        <f>MAX(-1/(E18*E16*(G16*G15-E12/E11-E17/E11)),0)</f>
        <v>9.3457943925233655E-2</v>
      </c>
      <c r="H17" s="192"/>
      <c r="Z17" s="113"/>
      <c r="AA17" s="113"/>
      <c r="AB17" s="113"/>
      <c r="AC17" s="113"/>
      <c r="AD17" s="113"/>
      <c r="AE17" s="113"/>
      <c r="AF17" s="113"/>
    </row>
    <row r="18" spans="1:32" x14ac:dyDescent="0.25">
      <c r="A18" s="157" t="s">
        <v>295</v>
      </c>
      <c r="B18" s="159">
        <v>400</v>
      </c>
      <c r="D18" s="147" t="s">
        <v>271</v>
      </c>
      <c r="E18" s="189">
        <v>0.1</v>
      </c>
      <c r="F18" s="149" t="s">
        <v>287</v>
      </c>
      <c r="G18" s="191">
        <f>IF(ISNUMBER(($E$18*($E$16*G17*($E$12+$E$17))/(1+$E$18*$E$16*$G$16*G15*G17))),($E$18*($E$16*G17*($E$12+$E$17))/(1+$E$18*$E$16*$G$16*G15*G17)),"")</f>
        <v>1.0000000000000004E-2</v>
      </c>
      <c r="H18" s="192"/>
    </row>
    <row r="19" spans="1:32" ht="14.4" x14ac:dyDescent="0.3">
      <c r="A19" s="157" t="s">
        <v>269</v>
      </c>
      <c r="B19" s="158">
        <f>B18-G4/G21</f>
        <v>296.5333941980013</v>
      </c>
      <c r="D19" s="232"/>
      <c r="E19" s="149"/>
      <c r="F19" s="149"/>
      <c r="G19" s="149"/>
      <c r="H19" s="231"/>
    </row>
    <row r="20" spans="1:32" x14ac:dyDescent="0.25">
      <c r="A20" s="157" t="s">
        <v>298</v>
      </c>
      <c r="B20" s="132">
        <f>gM_t</f>
        <v>0.40187169699016095</v>
      </c>
      <c r="D20" s="232" t="s">
        <v>288</v>
      </c>
      <c r="E20" s="191" t="s">
        <v>289</v>
      </c>
      <c r="F20" s="191" t="s">
        <v>104</v>
      </c>
      <c r="G20" s="191" t="s">
        <v>290</v>
      </c>
      <c r="H20" s="31"/>
    </row>
    <row r="21" spans="1:32" x14ac:dyDescent="0.25">
      <c r="A21" s="157" t="s">
        <v>296</v>
      </c>
      <c r="B21" s="46">
        <f>IF((B19-G4/B20)&gt;1, (B19-G4/B20), 1)</f>
        <v>286.85059807110702</v>
      </c>
      <c r="D21" s="233">
        <f>IF(ISNUMBER(G11-G12*G6/G7),(G11-G12*G6/G7),"")</f>
        <v>8.9184113547156922</v>
      </c>
      <c r="E21" s="234">
        <f>IF(ISNUMBER((G11-G12)*(G13/G14-1)/(G6/G7*(G13/G14)-1)),(G11-G12)*(G13/G14-1)/(POWER(G6/G7,1)*(G13/G14)-1),"")</f>
        <v>5.9745790271636103</v>
      </c>
      <c r="F21" s="234">
        <f>IF(ISNUMBER(G17+IF(G6&lt;G7,D21,E21)),G17+IF(G6&lt;G7,D21,E21),"")</f>
        <v>6.0680369710888442</v>
      </c>
      <c r="G21" s="235">
        <f>IF(ISNUMBER(MAX((E18*(E16*F21*(E14+E17))/(1+E18*E16*G16*E10*F21)),0.01)),MAX((E18*(E16*F21*(E14+E17))/(1+E18*E16*G16*E10*F21)),0.01),"")</f>
        <v>3.7608672681998891E-2</v>
      </c>
      <c r="H21" s="82"/>
    </row>
    <row r="22" spans="1:32" ht="16.2" x14ac:dyDescent="0.35">
      <c r="A22" s="128" t="s">
        <v>106</v>
      </c>
      <c r="B22" s="142">
        <v>286.85046474013137</v>
      </c>
    </row>
    <row r="23" spans="1:32" x14ac:dyDescent="0.25">
      <c r="A23" s="157" t="s">
        <v>46</v>
      </c>
      <c r="B23" s="46">
        <f>IF(ISNUMBER(B21), IF(B21&lt;0,1,B19-G4/B20),B18)</f>
        <v>286.85059807110702</v>
      </c>
      <c r="C23" s="52"/>
    </row>
    <row r="24" spans="1:32" x14ac:dyDescent="0.25">
      <c r="A24" s="157" t="s">
        <v>350</v>
      </c>
      <c r="B24" s="129">
        <f>IF(G4&gt;0,B18,1000)</f>
        <v>400</v>
      </c>
    </row>
    <row r="25" spans="1:32" x14ac:dyDescent="0.25">
      <c r="L25" s="51"/>
    </row>
    <row r="26" spans="1:32" x14ac:dyDescent="0.25">
      <c r="F26" s="148" t="s">
        <v>294</v>
      </c>
    </row>
    <row r="27" spans="1:32" x14ac:dyDescent="0.25">
      <c r="B27" s="132"/>
      <c r="H27" s="51"/>
      <c r="I27" s="51"/>
    </row>
    <row r="28" spans="1:32" ht="14.4" x14ac:dyDescent="0.3">
      <c r="B28" s="211"/>
      <c r="I28" s="113"/>
      <c r="J28" s="113"/>
    </row>
    <row r="29" spans="1:32" ht="14.4" x14ac:dyDescent="0.3">
      <c r="A29" s="157"/>
      <c r="B29" s="211"/>
      <c r="C29" s="125"/>
      <c r="I29" s="113"/>
      <c r="J29" s="113"/>
    </row>
    <row r="30" spans="1:32" ht="14.4" x14ac:dyDescent="0.3">
      <c r="B30" s="133"/>
      <c r="I30" s="113"/>
      <c r="J30" s="113"/>
    </row>
    <row r="31" spans="1:32" ht="14.4" x14ac:dyDescent="0.3">
      <c r="B31" s="133"/>
      <c r="I31" s="113"/>
      <c r="J31" s="113"/>
    </row>
    <row r="32" spans="1:32" ht="14.4" x14ac:dyDescent="0.3">
      <c r="I32" s="113"/>
      <c r="J32" s="113"/>
    </row>
    <row r="34" spans="2:2" x14ac:dyDescent="0.25">
      <c r="B34" s="133"/>
    </row>
    <row r="35" spans="2:2" x14ac:dyDescent="0.25">
      <c r="B35" s="133"/>
    </row>
    <row r="36" spans="2:2" x14ac:dyDescent="0.25">
      <c r="B36" s="133"/>
    </row>
  </sheetData>
  <mergeCells count="1">
    <mergeCell ref="D9:G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Button 4">
              <controlPr defaultSize="0" print="0" autoFill="0" autoPict="0" macro="[0]!reset">
                <anchor moveWithCells="1" sizeWithCells="1">
                  <from>
                    <xdr:col>8</xdr:col>
                    <xdr:colOff>594360</xdr:colOff>
                    <xdr:row>1</xdr:row>
                    <xdr:rowOff>160020</xdr:rowOff>
                  </from>
                  <to>
                    <xdr:col>10</xdr:col>
                    <xdr:colOff>144780</xdr:colOff>
                    <xdr:row>3</xdr:row>
                    <xdr:rowOff>45720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C1:AA54"/>
  <sheetViews>
    <sheetView workbookViewId="0">
      <selection activeCell="D20" sqref="D20"/>
    </sheetView>
  </sheetViews>
  <sheetFormatPr defaultColWidth="9.109375" defaultRowHeight="13.8" x14ac:dyDescent="0.25"/>
  <cols>
    <col min="1" max="1" width="9.109375" style="148" customWidth="1"/>
    <col min="2" max="2" width="15.44140625" style="148" customWidth="1"/>
    <col min="3" max="3" width="22.109375" style="148" customWidth="1"/>
    <col min="4" max="4" width="13.5546875" style="213" customWidth="1"/>
    <col min="5" max="5" width="13.44140625" style="148" customWidth="1"/>
    <col min="6" max="6" width="14.88671875" style="148" bestFit="1" customWidth="1"/>
    <col min="7" max="7" width="18.109375" style="148" bestFit="1" customWidth="1"/>
    <col min="8" max="8" width="14" style="148" customWidth="1"/>
    <col min="9" max="9" width="19" style="148" customWidth="1"/>
    <col min="10" max="10" width="10.88671875" style="148" customWidth="1"/>
    <col min="11" max="11" width="13.5546875" style="148" customWidth="1"/>
    <col min="12" max="12" width="17.88671875" style="148" customWidth="1"/>
    <col min="13" max="13" width="10.5546875" style="148" customWidth="1"/>
    <col min="14" max="14" width="9.109375" style="148"/>
    <col min="15" max="15" width="10" style="148" bestFit="1" customWidth="1"/>
    <col min="16" max="16" width="10.44140625" style="148" customWidth="1"/>
    <col min="17" max="18" width="9.109375" style="148"/>
    <col min="19" max="19" width="9.5546875" style="148" bestFit="1" customWidth="1"/>
    <col min="20" max="22" width="9.109375" style="148"/>
    <col min="23" max="23" width="11" style="148" customWidth="1"/>
    <col min="24" max="24" width="9.109375" style="148"/>
    <col min="25" max="25" width="10.6640625" style="148" bestFit="1" customWidth="1"/>
    <col min="26" max="16384" width="9.109375" style="148"/>
  </cols>
  <sheetData>
    <row r="1" spans="3:27" x14ac:dyDescent="0.25">
      <c r="C1" s="148" t="s">
        <v>223</v>
      </c>
      <c r="D1" s="222">
        <f>'enzyme limited'!F25</f>
        <v>11.450558644396517</v>
      </c>
    </row>
    <row r="2" spans="3:27" x14ac:dyDescent="0.25">
      <c r="C2" s="148" t="s">
        <v>224</v>
      </c>
      <c r="D2" s="222">
        <f>'enzyme limited'!F7</f>
        <v>6.6153972767899454</v>
      </c>
      <c r="E2" s="148" t="s">
        <v>407</v>
      </c>
      <c r="F2" s="212">
        <f>Model!F5</f>
        <v>4.0017053976332155</v>
      </c>
      <c r="W2" s="214"/>
    </row>
    <row r="3" spans="3:27" x14ac:dyDescent="0.25">
      <c r="C3" s="148" t="s">
        <v>225</v>
      </c>
      <c r="D3" s="222">
        <f>Vp_LL</f>
        <v>3.9965468373646496</v>
      </c>
      <c r="E3" s="148" t="s">
        <v>418</v>
      </c>
      <c r="F3" s="148">
        <f>Model!C5</f>
        <v>0.11046368650843981</v>
      </c>
      <c r="J3" s="216"/>
      <c r="K3" s="212"/>
      <c r="L3" s="212"/>
    </row>
    <row r="4" spans="3:27" x14ac:dyDescent="0.25">
      <c r="C4" s="148" t="s">
        <v>226</v>
      </c>
      <c r="D4" s="222">
        <f>'light limited'!F7</f>
        <v>4.8515938004674908</v>
      </c>
      <c r="E4" s="148" t="s">
        <v>419</v>
      </c>
      <c r="F4" s="264">
        <f>0.0025*(fitting!B8+fitting!B9)</f>
        <v>0.11046368650843981</v>
      </c>
    </row>
    <row r="5" spans="3:27" x14ac:dyDescent="0.25">
      <c r="C5" s="148" t="s">
        <v>331</v>
      </c>
      <c r="D5" s="222">
        <f>('light limited'!K6*('light limited'!C10+Kc_t*(1+'light limited'!C11/KO_t)))/'light limited'!C10</f>
        <v>3.9495222656302875</v>
      </c>
      <c r="G5" s="217"/>
    </row>
    <row r="6" spans="3:27" x14ac:dyDescent="0.25">
      <c r="C6" s="148" t="s">
        <v>332</v>
      </c>
      <c r="D6" s="222">
        <f>('light limited'!J6*('light limited'!J15+Kc_t*(1+'light limited'!J17/KO_t)))/'light limited'!J15</f>
        <v>7.3321151558704987</v>
      </c>
      <c r="F6" s="218"/>
    </row>
    <row r="7" spans="3:27" x14ac:dyDescent="0.25">
      <c r="C7" s="148" t="s">
        <v>333</v>
      </c>
      <c r="D7" s="222">
        <f>Sheet1!$B$10</f>
        <v>14.644015877877388</v>
      </c>
    </row>
    <row r="8" spans="3:27" x14ac:dyDescent="0.25">
      <c r="C8" s="148" t="s">
        <v>334</v>
      </c>
      <c r="D8" s="222">
        <f>Sheet1!$B$8</f>
        <v>11.246827535569533</v>
      </c>
    </row>
    <row r="9" spans="3:27" x14ac:dyDescent="0.25">
      <c r="C9" s="157" t="s">
        <v>239</v>
      </c>
      <c r="D9" s="183">
        <f>D5+D6</f>
        <v>11.281637421500786</v>
      </c>
    </row>
    <row r="10" spans="3:27" x14ac:dyDescent="0.25">
      <c r="C10" s="157" t="s">
        <v>240</v>
      </c>
      <c r="D10" s="183">
        <f>Vp_LL*('light limited'!C10+Kp_t)/'light limited'!C10</f>
        <v>5.1111476007931547</v>
      </c>
      <c r="X10" s="219"/>
    </row>
    <row r="11" spans="3:27" x14ac:dyDescent="0.25">
      <c r="C11" s="157" t="s">
        <v>241</v>
      </c>
      <c r="D11" s="183">
        <f>D9/EXP(Sheet1!H8/Sheet1!I8*(1/298.15-1/Sheet1!J8))</f>
        <v>11.281637421500786</v>
      </c>
      <c r="S11" s="212"/>
    </row>
    <row r="12" spans="3:27" x14ac:dyDescent="0.25">
      <c r="C12" s="157" t="s">
        <v>242</v>
      </c>
      <c r="D12" s="183">
        <f>D10/EXP(Sheet1!H10/Sheet1!I10*(1/298.15-1/Sheet1!J10))</f>
        <v>5.1111476007931547</v>
      </c>
      <c r="E12" s="215"/>
    </row>
    <row r="13" spans="3:27" ht="17.399999999999999" x14ac:dyDescent="0.35">
      <c r="C13" s="157" t="s">
        <v>358</v>
      </c>
      <c r="D13" s="189">
        <f>MAX(Nmodel!D11,Nmodel!D8)*0.3348</f>
        <v>3.7770922087184631</v>
      </c>
      <c r="E13" s="148" t="s">
        <v>351</v>
      </c>
      <c r="H13" s="266"/>
      <c r="AA13" s="264"/>
    </row>
    <row r="14" spans="3:27" ht="17.399999999999999" x14ac:dyDescent="0.35">
      <c r="C14" s="157" t="s">
        <v>359</v>
      </c>
      <c r="D14" s="189">
        <f>0.0483*MAX(Nmodel!D12,Nmodel!D7)</f>
        <v>0.70730596690147784</v>
      </c>
      <c r="E14" s="148" t="s">
        <v>351</v>
      </c>
    </row>
    <row r="15" spans="3:27" ht="16.8" x14ac:dyDescent="0.3">
      <c r="C15" s="157" t="s">
        <v>360</v>
      </c>
      <c r="D15" s="189">
        <f>0.19*jsat</f>
        <v>6.2583429428832149</v>
      </c>
      <c r="E15" s="148" t="s">
        <v>351</v>
      </c>
      <c r="G15" s="272">
        <f>(D26*D19/(D26+D18)-D35*D26/D23-D41*D35*D26)/(1000*(D39+D41))</f>
        <v>12.503823351363723</v>
      </c>
    </row>
    <row r="16" spans="3:27" ht="16.2" x14ac:dyDescent="0.25">
      <c r="C16" s="157" t="s">
        <v>361</v>
      </c>
      <c r="D16" s="276">
        <f>2000*(1-D32)*(D13+D14+D15)</f>
        <v>12503.823351359888</v>
      </c>
      <c r="E16" s="148" t="s">
        <v>377</v>
      </c>
      <c r="G16" s="148" t="s">
        <v>408</v>
      </c>
      <c r="H16" s="272">
        <f>(D26*D19/(D26+D18)-D35*D26/D23-D41*D35*D26)/(D39+D41)</f>
        <v>12503.823351363722</v>
      </c>
      <c r="I16" s="215">
        <f>-((D26*(-F2*D22*D23*D18*D35-F2*D22*D23*D26*D35+F3*D22*D23*D18*D35+F3*D22*D23*D26*D35+D20*D22*D23*D19-D20*D22*D18*D35-D20*D22*D26*D35+D20*D23*D18*D35+D20*D23*D26*D35+D22*D24*D23*D18*D26*D35+D22*D24*D23*D26*D26*D35+D22*D23*D19*D26))/((D18+D26)*(-F2*D22*D23+F3*D22*D23-D20*D22*D23*D39+D20*D23+D22*D24*D23*D26-D22*D23*D26*D39+D22*D26)))</f>
        <v>12503.823351363722</v>
      </c>
      <c r="J16" s="215">
        <f>-((D26*(-F2*D22*D23*D18*D35-F2*D22*D23*D26*D35+F3*D22*D23*D18*D35+F3*D22*D23*D26*D35+D20*D22*D23*D19-D20*D22*D18*D35-D20*D22*D26*D35+D20*D23*D18*D35+D20*D23*D26*D35+D22*D24*D23*D18*D26*D35+D22*D24*D23*D26*D26*D35+D22*D23*D19*D26))/((D18+D26)*(-F2*D22*D23+F3*D22*D23-D20*D22*D23*D39+D20*D23+D22*D24*D23*D26-D22*D23*D26*D39+D22*D26)))</f>
        <v>12503.823351363722</v>
      </c>
      <c r="L16" s="148" t="s">
        <v>337</v>
      </c>
      <c r="M16" s="148" t="s">
        <v>341</v>
      </c>
      <c r="S16" s="220">
        <f>D16</f>
        <v>12503.823351359888</v>
      </c>
      <c r="T16" s="148" t="s">
        <v>338</v>
      </c>
      <c r="V16" s="148" t="s">
        <v>337</v>
      </c>
      <c r="W16" s="271">
        <f>(D26*D26*D26*(-D35/D23+D35*D43)+D26*D26*(-D35*D20/D23-D35*D42+D19-D35*D18/D23+D35*D43*D18)+_CR*(_CL*(_NMAX-_m*_KR/_TR)-_q*_m*_KR))/(D26*D26*(D39-D43)+D26*(D20*D39+D42+D39*D18-D43*D18)+D39*D18*D20+D42*D18)</f>
        <v>12503.823351363724</v>
      </c>
      <c r="X16" s="267"/>
      <c r="Y16" s="215"/>
    </row>
    <row r="17" spans="3:27" x14ac:dyDescent="0.25">
      <c r="D17" s="269"/>
      <c r="V17" s="148" t="s">
        <v>82</v>
      </c>
      <c r="W17" s="148">
        <f>(-D35/D23+D35*D43)</f>
        <v>4.3647461155736138E-9</v>
      </c>
    </row>
    <row r="18" spans="3:27" ht="16.2" x14ac:dyDescent="0.35">
      <c r="C18" s="148" t="s">
        <v>363</v>
      </c>
      <c r="D18" s="223">
        <v>1000000</v>
      </c>
      <c r="E18" s="215" t="s">
        <v>371</v>
      </c>
      <c r="G18" s="148" t="s">
        <v>335</v>
      </c>
      <c r="V18" s="148" t="s">
        <v>83</v>
      </c>
      <c r="W18" s="148">
        <f>(-D35*D20/D23-D35*D42+D19-D35*D18/D23+D35*D43*D18)</f>
        <v>2.9707817455276415</v>
      </c>
    </row>
    <row r="19" spans="3:27" ht="17.399999999999999" x14ac:dyDescent="0.35">
      <c r="C19" s="215" t="s">
        <v>362</v>
      </c>
      <c r="D19" s="221">
        <v>3</v>
      </c>
      <c r="E19" s="215" t="s">
        <v>372</v>
      </c>
      <c r="G19" s="148" t="s">
        <v>352</v>
      </c>
      <c r="V19" s="148" t="s">
        <v>96</v>
      </c>
      <c r="W19" s="148">
        <f>(_CL*(_NMAX-_m*_KR/_TR)-_q*_m*_KR)</f>
        <v>3941531.6999528646</v>
      </c>
    </row>
    <row r="20" spans="3:27" ht="17.399999999999999" x14ac:dyDescent="0.35">
      <c r="C20" s="148" t="s">
        <v>364</v>
      </c>
      <c r="D20" s="223">
        <f>1200000+10*_Nl</f>
        <v>1325038.2335135988</v>
      </c>
      <c r="E20" s="148" t="s">
        <v>373</v>
      </c>
      <c r="G20" s="148" t="s">
        <v>353</v>
      </c>
      <c r="V20" s="148" t="s">
        <v>117</v>
      </c>
      <c r="W20" s="274">
        <f>(D39-D43)</f>
        <v>1.0909665371617216E-4</v>
      </c>
    </row>
    <row r="21" spans="3:27" ht="17.399999999999999" x14ac:dyDescent="0.35">
      <c r="C21" s="148" t="s">
        <v>402</v>
      </c>
      <c r="D21" s="221">
        <v>1.4999999999999999E-2</v>
      </c>
      <c r="E21" s="148" t="s">
        <v>379</v>
      </c>
      <c r="G21" s="148" t="s">
        <v>354</v>
      </c>
      <c r="V21" s="148" t="s">
        <v>238</v>
      </c>
      <c r="W21" s="148">
        <f>(D20*D39+D42+D39*D18-D43*D18)</f>
        <v>258.16348392525816</v>
      </c>
    </row>
    <row r="22" spans="3:27" ht="16.2" x14ac:dyDescent="0.35">
      <c r="C22" s="148" t="s">
        <v>365</v>
      </c>
      <c r="D22" s="223">
        <v>5000000</v>
      </c>
      <c r="E22" s="148" t="s">
        <v>202</v>
      </c>
      <c r="G22" s="148" t="s">
        <v>355</v>
      </c>
      <c r="V22" s="148" t="s">
        <v>98</v>
      </c>
      <c r="W22" s="272">
        <f>D39*D18*D20+D42*D18</f>
        <v>149066830.20908603</v>
      </c>
    </row>
    <row r="23" spans="3:27" ht="16.2" x14ac:dyDescent="0.35">
      <c r="C23" s="148" t="s">
        <v>366</v>
      </c>
      <c r="D23" s="223">
        <v>6000000</v>
      </c>
      <c r="E23" s="148" t="s">
        <v>202</v>
      </c>
      <c r="G23" s="148" t="s">
        <v>355</v>
      </c>
      <c r="AA23" s="272"/>
    </row>
    <row r="24" spans="3:27" ht="17.399999999999999" x14ac:dyDescent="0.35">
      <c r="C24" s="148" t="s">
        <v>367</v>
      </c>
      <c r="D24" s="224">
        <v>4.9999999999999998E-7</v>
      </c>
      <c r="E24" s="148" t="s">
        <v>374</v>
      </c>
      <c r="G24" s="148" t="s">
        <v>342</v>
      </c>
      <c r="I24" s="148">
        <v>4.9999999999999998E-7</v>
      </c>
      <c r="J24" s="215" t="s">
        <v>343</v>
      </c>
    </row>
    <row r="25" spans="3:27" x14ac:dyDescent="0.25">
      <c r="D25" s="155"/>
    </row>
    <row r="26" spans="3:27" ht="17.399999999999999" x14ac:dyDescent="0.35">
      <c r="C26" s="148" t="s">
        <v>368</v>
      </c>
      <c r="D26" s="220">
        <f>MAX(D49:D51)</f>
        <v>876857.29880507325</v>
      </c>
      <c r="E26" s="148" t="s">
        <v>375</v>
      </c>
      <c r="G26" s="155"/>
      <c r="H26" s="225"/>
      <c r="I26" s="155"/>
      <c r="J26" s="225"/>
      <c r="K26" s="155"/>
      <c r="L26" s="225"/>
      <c r="O26" s="215"/>
      <c r="P26" s="215"/>
    </row>
    <row r="27" spans="3:27" ht="16.2" x14ac:dyDescent="0.25">
      <c r="C27" s="148" t="s">
        <v>339</v>
      </c>
      <c r="D27" s="278">
        <f>D19*D26/(D26+D18)</f>
        <v>1.4015833266013398</v>
      </c>
      <c r="E27" s="215" t="s">
        <v>376</v>
      </c>
      <c r="G27" s="148" t="s">
        <v>46</v>
      </c>
      <c r="H27" s="148" t="s">
        <v>340</v>
      </c>
      <c r="I27" s="278">
        <f>D38/D23+D39*D16+D41*D16+D41*D35*D26</f>
        <v>1.4015833266009134</v>
      </c>
      <c r="J27" s="215" t="s">
        <v>336</v>
      </c>
    </row>
    <row r="28" spans="3:27" ht="17.399999999999999" x14ac:dyDescent="0.35">
      <c r="C28" s="148" t="s">
        <v>369</v>
      </c>
      <c r="E28" s="148" t="s">
        <v>377</v>
      </c>
      <c r="G28" s="148" t="s">
        <v>356</v>
      </c>
    </row>
    <row r="29" spans="3:27" ht="17.399999999999999" x14ac:dyDescent="0.35">
      <c r="C29" s="148" t="s">
        <v>370</v>
      </c>
      <c r="E29" s="148" t="s">
        <v>375</v>
      </c>
      <c r="G29" s="215" t="s">
        <v>357</v>
      </c>
    </row>
    <row r="30" spans="3:27" ht="16.2" x14ac:dyDescent="0.25">
      <c r="C30" s="226"/>
      <c r="D30" s="154"/>
      <c r="E30" s="215" t="s">
        <v>378</v>
      </c>
    </row>
    <row r="31" spans="3:27" ht="16.2" x14ac:dyDescent="0.25">
      <c r="C31" s="148" t="s">
        <v>412</v>
      </c>
      <c r="D31" s="155">
        <v>120000</v>
      </c>
      <c r="E31" s="215" t="s">
        <v>378</v>
      </c>
      <c r="I31" s="215"/>
      <c r="J31" s="212"/>
    </row>
    <row r="32" spans="3:27" ht="16.2" x14ac:dyDescent="0.25">
      <c r="C32" s="148" t="s">
        <v>392</v>
      </c>
      <c r="D32" s="268">
        <f>0.5*EXP(-2000*SUM(D13:D15)/D31)</f>
        <v>0.41803385125685155</v>
      </c>
      <c r="E32" s="148" t="s">
        <v>351</v>
      </c>
      <c r="K32" s="155"/>
      <c r="L32" s="148" t="s">
        <v>410</v>
      </c>
      <c r="V32" s="148" t="s">
        <v>393</v>
      </c>
      <c r="W32" s="268">
        <f>D21*(1-D32)</f>
        <v>8.7294922311472265E-3</v>
      </c>
    </row>
    <row r="33" spans="3:24" ht="14.4" x14ac:dyDescent="0.3">
      <c r="C33" s="148" t="s">
        <v>395</v>
      </c>
      <c r="D33" s="213">
        <v>0.5</v>
      </c>
      <c r="G33" s="148" t="s">
        <v>396</v>
      </c>
      <c r="K33" s="213"/>
      <c r="X33" s="219"/>
    </row>
    <row r="34" spans="3:24" x14ac:dyDescent="0.25">
      <c r="D34" s="268"/>
      <c r="X34" s="215"/>
    </row>
    <row r="35" spans="3:24" ht="16.2" x14ac:dyDescent="0.25">
      <c r="C35" s="148" t="s">
        <v>393</v>
      </c>
      <c r="D35" s="268">
        <f>D21*(1-D32)</f>
        <v>8.7294922311472265E-3</v>
      </c>
      <c r="E35" s="148" t="s">
        <v>379</v>
      </c>
      <c r="G35" s="148" t="s">
        <v>405</v>
      </c>
      <c r="X35" s="215"/>
    </row>
    <row r="36" spans="3:24" x14ac:dyDescent="0.25">
      <c r="C36" s="148" t="s">
        <v>397</v>
      </c>
      <c r="D36" s="265">
        <v>1.9999999999999999E-7</v>
      </c>
      <c r="E36" s="148" t="s">
        <v>399</v>
      </c>
      <c r="G36" s="148" t="s">
        <v>400</v>
      </c>
      <c r="X36" s="215"/>
    </row>
    <row r="37" spans="3:24" x14ac:dyDescent="0.25">
      <c r="C37" s="148" t="s">
        <v>398</v>
      </c>
      <c r="D37" s="265">
        <f>EXP(288.15-t°K)+EXP(-100*fitting!E14-80)</f>
        <v>1096.6332038283883</v>
      </c>
      <c r="G37" s="148" t="s">
        <v>401</v>
      </c>
      <c r="X37" s="215"/>
    </row>
    <row r="38" spans="3:24" ht="16.2" x14ac:dyDescent="0.25">
      <c r="C38" s="148" t="s">
        <v>404</v>
      </c>
      <c r="D38" s="269">
        <f>D26*D35</f>
        <v>7654.518977743629</v>
      </c>
      <c r="E38" s="148" t="s">
        <v>406</v>
      </c>
      <c r="X38" s="215"/>
    </row>
    <row r="39" spans="3:24" ht="14.4" x14ac:dyDescent="0.3">
      <c r="C39" s="148" t="s">
        <v>394</v>
      </c>
      <c r="D39" s="225">
        <f>D33*(D36*D37+1/D22)</f>
        <v>1.0976332038283883E-4</v>
      </c>
      <c r="E39" s="148" t="s">
        <v>399</v>
      </c>
      <c r="X39" s="215"/>
    </row>
    <row r="40" spans="3:24" x14ac:dyDescent="0.25">
      <c r="D40" s="269"/>
      <c r="X40" s="215"/>
    </row>
    <row r="41" spans="3:24" x14ac:dyDescent="0.25">
      <c r="C41" s="148" t="s">
        <v>403</v>
      </c>
      <c r="D41" s="270">
        <f>(F2-F3-Nmodel!D20/Nmodel!D22-Nmodel!D26*Nmodel!D24-Nmodel!D26/_TR)/(D20+D26)</f>
        <v>1.3813836702245201E-6</v>
      </c>
      <c r="E41" s="148" t="s">
        <v>399</v>
      </c>
      <c r="H41" s="148" t="s">
        <v>408</v>
      </c>
      <c r="I41" s="155">
        <f>(F2*D22*D23-F3*D22*D23-D20*D23-D22*D24*D23*D26-D22*D26)/(D22*D23*(D20+D26))</f>
        <v>1.3813836702245201E-6</v>
      </c>
      <c r="K41" s="215"/>
      <c r="X41" s="215"/>
    </row>
    <row r="42" spans="3:24" x14ac:dyDescent="0.25">
      <c r="C42" s="148" t="s">
        <v>236</v>
      </c>
      <c r="D42" s="222">
        <f>F2-F3-D20/D22</f>
        <v>3.6262340644220563</v>
      </c>
      <c r="K42" s="215"/>
      <c r="L42" s="215"/>
      <c r="X42" s="215"/>
    </row>
    <row r="43" spans="3:24" x14ac:dyDescent="0.25">
      <c r="C43" s="148" t="s">
        <v>409</v>
      </c>
      <c r="D43" s="155">
        <f>D24+1/D23</f>
        <v>6.6666666666666671E-7</v>
      </c>
      <c r="K43" s="279"/>
      <c r="L43" s="273"/>
      <c r="X43" s="215"/>
    </row>
    <row r="44" spans="3:24" x14ac:dyDescent="0.25">
      <c r="C44" s="148" t="s">
        <v>411</v>
      </c>
      <c r="D44" s="213" t="s">
        <v>413</v>
      </c>
      <c r="K44" s="279"/>
      <c r="L44" s="273"/>
      <c r="M44" s="215"/>
      <c r="X44" s="215"/>
    </row>
    <row r="45" spans="3:24" x14ac:dyDescent="0.25">
      <c r="C45" s="148" t="s">
        <v>82</v>
      </c>
      <c r="D45" s="155">
        <f>(-D35/D23+D35*D43)</f>
        <v>4.3647461155736138E-9</v>
      </c>
      <c r="L45" s="273"/>
      <c r="M45" s="215"/>
      <c r="X45" s="215"/>
    </row>
    <row r="46" spans="3:24" x14ac:dyDescent="0.25">
      <c r="C46" s="148" t="s">
        <v>83</v>
      </c>
      <c r="D46" s="155">
        <f>(-D35*D20/D23-D35*D42+D19-D35*D18/D23-D39*D16+D43*(D16+D35*D18))</f>
        <v>1.6066564592361448</v>
      </c>
      <c r="L46" s="273"/>
      <c r="X46" s="215"/>
    </row>
    <row r="47" spans="3:24" x14ac:dyDescent="0.25">
      <c r="C47" s="148" t="s">
        <v>96</v>
      </c>
      <c r="D47" s="155">
        <f>(D20*(D19-D35*D18/D23-D39*D16)-D42*(D16+D35*D18)-D39*D16*D18+D43*D16*D18)</f>
        <v>713501.10117979837</v>
      </c>
      <c r="L47" s="215"/>
      <c r="X47" s="215"/>
    </row>
    <row r="48" spans="3:24" x14ac:dyDescent="0.25">
      <c r="C48" s="148" t="s">
        <v>117</v>
      </c>
      <c r="D48" s="155">
        <f>-D39*D16*D18*D20-D42*D16*D18</f>
        <v>-1863905312481.5691</v>
      </c>
      <c r="X48" s="215"/>
    </row>
    <row r="49" spans="3:24" x14ac:dyDescent="0.25">
      <c r="C49" s="148" t="s">
        <v>414</v>
      </c>
      <c r="D49" s="272">
        <f t="array" ref="D49:D52">cubic(D45:D48)</f>
        <v>-367650700.25343639</v>
      </c>
      <c r="X49" s="215"/>
    </row>
    <row r="50" spans="3:24" x14ac:dyDescent="0.25">
      <c r="C50" s="148" t="s">
        <v>415</v>
      </c>
      <c r="D50" s="148">
        <v>-1324648.1588667298</v>
      </c>
    </row>
    <row r="51" spans="3:24" ht="14.4" x14ac:dyDescent="0.3">
      <c r="C51" s="148" t="s">
        <v>416</v>
      </c>
      <c r="D51" s="148">
        <v>876857.29880507325</v>
      </c>
      <c r="M51" s="155"/>
      <c r="O51" s="277"/>
    </row>
    <row r="52" spans="3:24" x14ac:dyDescent="0.25">
      <c r="C52" s="148" t="s">
        <v>417</v>
      </c>
      <c r="D52" s="148">
        <v>3</v>
      </c>
      <c r="M52" s="155"/>
    </row>
    <row r="53" spans="3:24" x14ac:dyDescent="0.25">
      <c r="M53" s="155"/>
    </row>
    <row r="54" spans="3:24" x14ac:dyDescent="0.25">
      <c r="M54" s="269"/>
    </row>
  </sheetData>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A2:Y64"/>
  <sheetViews>
    <sheetView topLeftCell="F1" zoomScaleNormal="100" workbookViewId="0">
      <selection activeCell="V15" sqref="V15"/>
    </sheetView>
  </sheetViews>
  <sheetFormatPr defaultRowHeight="14.4" x14ac:dyDescent="0.3"/>
  <cols>
    <col min="1" max="1" width="13" customWidth="1"/>
    <col min="2" max="2" width="16.109375" customWidth="1"/>
    <col min="3" max="3" width="17" customWidth="1"/>
    <col min="4" max="4" width="15.5546875" customWidth="1"/>
    <col min="5" max="5" width="19.5546875" customWidth="1"/>
    <col min="6" max="6" width="15.109375" customWidth="1"/>
    <col min="7" max="7" width="17" customWidth="1"/>
    <col min="8" max="8" width="15.5546875" customWidth="1"/>
    <col min="9" max="9" width="19.5546875" customWidth="1"/>
    <col min="10" max="10" width="11.109375" hidden="1" customWidth="1"/>
    <col min="11" max="13" width="9.44140625" hidden="1" customWidth="1"/>
    <col min="14" max="14" width="24.5546875" customWidth="1"/>
    <col min="15" max="15" width="18" customWidth="1"/>
    <col min="16" max="20" width="16.109375" customWidth="1"/>
    <col min="21" max="21" width="20.5546875" customWidth="1"/>
    <col min="22" max="23" width="18" customWidth="1"/>
    <col min="24" max="25" width="12" customWidth="1"/>
  </cols>
  <sheetData>
    <row r="2" spans="1:25" x14ac:dyDescent="0.3">
      <c r="A2" s="161" t="s">
        <v>386</v>
      </c>
      <c r="B2" t="s">
        <v>390</v>
      </c>
      <c r="U2" s="162"/>
    </row>
    <row r="4" spans="1:25" x14ac:dyDescent="0.3">
      <c r="B4" s="161" t="s">
        <v>391</v>
      </c>
    </row>
    <row r="5" spans="1:25" x14ac:dyDescent="0.3">
      <c r="B5" t="s">
        <v>302</v>
      </c>
      <c r="F5" t="s">
        <v>303</v>
      </c>
      <c r="J5" t="s">
        <v>423</v>
      </c>
      <c r="K5" t="s">
        <v>424</v>
      </c>
      <c r="L5" t="s">
        <v>426</v>
      </c>
      <c r="M5" t="s">
        <v>428</v>
      </c>
    </row>
    <row r="6" spans="1:25" x14ac:dyDescent="0.3">
      <c r="A6" s="161" t="s">
        <v>309</v>
      </c>
      <c r="B6" t="s">
        <v>422</v>
      </c>
      <c r="C6" t="s">
        <v>425</v>
      </c>
      <c r="D6" t="s">
        <v>427</v>
      </c>
      <c r="E6" t="s">
        <v>429</v>
      </c>
      <c r="F6" t="s">
        <v>422</v>
      </c>
      <c r="G6" t="s">
        <v>425</v>
      </c>
      <c r="H6" t="s">
        <v>427</v>
      </c>
      <c r="I6" t="s">
        <v>429</v>
      </c>
      <c r="X6" s="163"/>
      <c r="Y6" s="163"/>
    </row>
    <row r="7" spans="1:25" x14ac:dyDescent="0.3">
      <c r="A7" s="162">
        <v>-0.87</v>
      </c>
      <c r="B7" s="249">
        <v>28.555935073539715</v>
      </c>
      <c r="C7" s="249">
        <v>14.678059041177441</v>
      </c>
      <c r="D7" s="249">
        <v>0.60995996240128814</v>
      </c>
      <c r="E7" s="249">
        <v>11976.630737423424</v>
      </c>
      <c r="F7" s="249">
        <v>35.931846150365381</v>
      </c>
      <c r="G7" s="249">
        <v>8.8582875565179773</v>
      </c>
      <c r="H7" s="249">
        <v>0.67595525665722078</v>
      </c>
      <c r="I7" s="249">
        <v>12608.265294789453</v>
      </c>
      <c r="J7" s="249">
        <v>32.243890611952551</v>
      </c>
      <c r="K7" s="249">
        <v>11.76817329884771</v>
      </c>
      <c r="L7" s="249">
        <v>0.6429576095292544</v>
      </c>
      <c r="M7" s="249">
        <v>12292.448016106438</v>
      </c>
      <c r="O7">
        <v>12608.265294789453</v>
      </c>
      <c r="P7">
        <f>O7/1000000</f>
        <v>1.2608265294789454E-2</v>
      </c>
      <c r="X7" s="163"/>
      <c r="Y7" s="163"/>
    </row>
    <row r="8" spans="1:25" x14ac:dyDescent="0.3">
      <c r="A8" s="162">
        <v>-0.85</v>
      </c>
      <c r="B8" s="249">
        <v>112.94283398001899</v>
      </c>
      <c r="C8" s="249">
        <v>65.38410494000199</v>
      </c>
      <c r="D8" s="249">
        <v>0.36799215990610651</v>
      </c>
      <c r="E8" s="249">
        <v>65660.121984311816</v>
      </c>
      <c r="F8" s="249">
        <v>134.53282116865424</v>
      </c>
      <c r="G8" s="249">
        <v>24.583305804870779</v>
      </c>
      <c r="H8" s="249">
        <v>0.36659535074691574</v>
      </c>
      <c r="I8" s="249">
        <v>55186.15665183634</v>
      </c>
      <c r="J8" s="249">
        <v>123.73782757433662</v>
      </c>
      <c r="K8" s="249">
        <v>44.983705372436376</v>
      </c>
      <c r="L8" s="249">
        <v>0.36729375532651115</v>
      </c>
      <c r="M8" s="249">
        <v>60423.139318074071</v>
      </c>
      <c r="O8">
        <v>55186.15665183634</v>
      </c>
      <c r="P8">
        <f t="shared" ref="P8:P16" si="0">O8/1000000</f>
        <v>5.5186156651836342E-2</v>
      </c>
      <c r="X8" s="163"/>
      <c r="Y8" s="163"/>
    </row>
    <row r="9" spans="1:25" x14ac:dyDescent="0.3">
      <c r="A9" s="162">
        <v>-0.8</v>
      </c>
      <c r="B9" s="249">
        <v>213.2227710980807</v>
      </c>
      <c r="C9" s="249">
        <v>116.15897086691552</v>
      </c>
      <c r="D9" s="249">
        <v>0.10317320707181363</v>
      </c>
      <c r="E9" s="249">
        <v>137664.94472238794</v>
      </c>
      <c r="F9" s="249">
        <v>254.85873941036144</v>
      </c>
      <c r="G9" s="249">
        <v>39.193399735284807</v>
      </c>
      <c r="H9" s="249">
        <v>0.18120234874847735</v>
      </c>
      <c r="I9" s="249">
        <v>115828.69059612649</v>
      </c>
      <c r="J9" s="249">
        <v>234.04075525422104</v>
      </c>
      <c r="K9" s="249">
        <v>77.676185301100162</v>
      </c>
      <c r="L9" s="249">
        <v>0.14218777791014547</v>
      </c>
      <c r="M9" s="249">
        <v>126746.81765925721</v>
      </c>
      <c r="O9">
        <v>115828.69059612649</v>
      </c>
      <c r="P9">
        <f t="shared" si="0"/>
        <v>0.11582869059612648</v>
      </c>
      <c r="X9" s="163"/>
      <c r="Y9" s="163"/>
    </row>
    <row r="10" spans="1:25" x14ac:dyDescent="0.3">
      <c r="A10" s="162">
        <v>-0.7</v>
      </c>
      <c r="B10" s="249">
        <v>209.81012663220548</v>
      </c>
      <c r="C10" s="249">
        <v>106.11733202495098</v>
      </c>
      <c r="D10" s="249">
        <v>0.11893312440947716</v>
      </c>
      <c r="E10" s="249">
        <v>129324.52765108932</v>
      </c>
      <c r="F10" s="249">
        <v>205.7102829201778</v>
      </c>
      <c r="G10" s="249">
        <v>35.455607709854277</v>
      </c>
      <c r="H10" s="249">
        <v>0.16023114317482978</v>
      </c>
      <c r="I10" s="249">
        <v>91649.302975118786</v>
      </c>
      <c r="J10" s="249">
        <v>207.76020477619164</v>
      </c>
      <c r="K10" s="249">
        <v>70.78646986740263</v>
      </c>
      <c r="L10" s="249">
        <v>0.13958213379215345</v>
      </c>
      <c r="M10" s="249">
        <v>110486.91531310405</v>
      </c>
      <c r="O10">
        <v>91649.302975118786</v>
      </c>
      <c r="P10">
        <f t="shared" si="0"/>
        <v>9.1649302975118779E-2</v>
      </c>
      <c r="X10" s="163"/>
      <c r="Y10" s="163"/>
    </row>
    <row r="11" spans="1:25" x14ac:dyDescent="0.3">
      <c r="A11" s="162">
        <v>-0.6</v>
      </c>
      <c r="B11" s="249">
        <v>207.03191382153301</v>
      </c>
      <c r="C11" s="249">
        <v>100.25289210813001</v>
      </c>
      <c r="D11" s="249">
        <v>0.12844800934888045</v>
      </c>
      <c r="E11" s="249">
        <v>124171.3599582617</v>
      </c>
      <c r="F11" s="249">
        <v>204.53967521082302</v>
      </c>
      <c r="G11" s="249">
        <v>35.295971969550941</v>
      </c>
      <c r="H11" s="249">
        <v>0.15998663932050355</v>
      </c>
      <c r="I11" s="249">
        <v>91037.181887752959</v>
      </c>
      <c r="J11" s="249">
        <v>205.78579451617802</v>
      </c>
      <c r="K11" s="249">
        <v>67.774432038840473</v>
      </c>
      <c r="L11" s="249">
        <v>0.144217324334692</v>
      </c>
      <c r="M11" s="249">
        <v>107604.27092300732</v>
      </c>
      <c r="O11">
        <v>91037.181887752959</v>
      </c>
      <c r="P11">
        <f t="shared" si="0"/>
        <v>9.1037181887752963E-2</v>
      </c>
      <c r="X11" s="163"/>
      <c r="Y11" s="163"/>
    </row>
    <row r="12" spans="1:25" x14ac:dyDescent="0.3">
      <c r="A12" s="162">
        <v>-0.5</v>
      </c>
      <c r="B12" s="249">
        <v>205.39778968669657</v>
      </c>
      <c r="C12" s="249">
        <v>96.709995553009762</v>
      </c>
      <c r="D12" s="249">
        <v>0.13410486807857019</v>
      </c>
      <c r="E12" s="249">
        <v>121087.01623839313</v>
      </c>
      <c r="F12" s="249">
        <v>204.11940006494362</v>
      </c>
      <c r="G12" s="249">
        <v>35.251275923081096</v>
      </c>
      <c r="H12" s="249">
        <v>0.15993957250973942</v>
      </c>
      <c r="I12" s="249">
        <v>90825.926466330129</v>
      </c>
      <c r="J12" s="249">
        <v>204.75859487582011</v>
      </c>
      <c r="K12" s="249">
        <v>65.980635738045436</v>
      </c>
      <c r="L12" s="249">
        <v>0.14702222029415479</v>
      </c>
      <c r="M12" s="249">
        <v>105956.47135236162</v>
      </c>
      <c r="O12">
        <v>90825.926466330129</v>
      </c>
      <c r="P12">
        <f t="shared" si="0"/>
        <v>9.0825926466330129E-2</v>
      </c>
      <c r="X12" s="163"/>
      <c r="Y12" s="163"/>
    </row>
    <row r="13" spans="1:25" x14ac:dyDescent="0.3">
      <c r="A13" s="162">
        <v>-0.4</v>
      </c>
      <c r="B13" s="249">
        <v>204.35862358416202</v>
      </c>
      <c r="C13" s="249">
        <v>94.384170844701515</v>
      </c>
      <c r="D13" s="249">
        <v>0.1378101232170284</v>
      </c>
      <c r="E13" s="249">
        <v>119080.30025809369</v>
      </c>
      <c r="F13" s="249">
        <v>203.8873790494215</v>
      </c>
      <c r="G13" s="249">
        <v>35.231405230032721</v>
      </c>
      <c r="H13" s="249">
        <v>0.15992422398968462</v>
      </c>
      <c r="I13" s="249">
        <v>90712.5116851153</v>
      </c>
      <c r="J13" s="249">
        <v>204.12300131679177</v>
      </c>
      <c r="K13" s="249">
        <v>64.807788037367118</v>
      </c>
      <c r="L13" s="249">
        <v>0.1488671736033565</v>
      </c>
      <c r="M13" s="249">
        <v>104896.40597160449</v>
      </c>
      <c r="O13">
        <v>90712.5116851153</v>
      </c>
      <c r="P13">
        <f t="shared" si="0"/>
        <v>9.0712511685115294E-2</v>
      </c>
      <c r="X13" s="163"/>
      <c r="Y13" s="163"/>
    </row>
    <row r="14" spans="1:25" x14ac:dyDescent="0.3">
      <c r="A14" s="162">
        <v>-0.3</v>
      </c>
      <c r="B14" s="249">
        <v>203.63732821721914</v>
      </c>
      <c r="C14" s="249">
        <v>92.816462461222002</v>
      </c>
      <c r="D14" s="249">
        <v>0.14043689907820106</v>
      </c>
      <c r="E14" s="249">
        <v>117721.83962150654</v>
      </c>
      <c r="F14" s="249">
        <v>203.73660414828544</v>
      </c>
      <c r="G14" s="249">
        <v>35.220460792462056</v>
      </c>
      <c r="H14" s="249">
        <v>0.15991788516402891</v>
      </c>
      <c r="I14" s="249">
        <v>90640.125372478826</v>
      </c>
      <c r="J14" s="249">
        <v>203.68696618275229</v>
      </c>
      <c r="K14" s="249">
        <v>64.018461626842026</v>
      </c>
      <c r="L14" s="249">
        <v>0.150177392121115</v>
      </c>
      <c r="M14" s="249">
        <v>104180.98249699268</v>
      </c>
      <c r="O14">
        <v>90640.125372478826</v>
      </c>
      <c r="P14">
        <f t="shared" si="0"/>
        <v>9.0640125372478828E-2</v>
      </c>
      <c r="X14" s="163"/>
      <c r="Y14" s="163"/>
    </row>
    <row r="15" spans="1:25" x14ac:dyDescent="0.3">
      <c r="A15" s="162">
        <v>-0.2</v>
      </c>
      <c r="B15" s="249">
        <v>203.12489047365494</v>
      </c>
      <c r="C15" s="249">
        <v>91.61765414901808</v>
      </c>
      <c r="D15" s="249">
        <v>0.1423639614702408</v>
      </c>
      <c r="E15" s="249">
        <v>116699.55920270842</v>
      </c>
      <c r="F15" s="249">
        <v>203.62948588749745</v>
      </c>
      <c r="G15" s="249">
        <v>35.21363495879001</v>
      </c>
      <c r="H15" s="249">
        <v>0.15991477739181556</v>
      </c>
      <c r="I15" s="249">
        <v>90589.332281918585</v>
      </c>
      <c r="J15" s="249">
        <v>203.37718818057621</v>
      </c>
      <c r="K15" s="249">
        <v>63.415644553904038</v>
      </c>
      <c r="L15" s="249">
        <v>0.15113936943102818</v>
      </c>
      <c r="M15" s="249">
        <v>103644.4457423135</v>
      </c>
      <c r="O15">
        <v>90589.332281918585</v>
      </c>
      <c r="P15">
        <f t="shared" si="0"/>
        <v>9.058933228191858E-2</v>
      </c>
      <c r="X15" s="163"/>
      <c r="Y15" s="163"/>
    </row>
    <row r="16" spans="1:25" x14ac:dyDescent="0.3">
      <c r="A16" s="162">
        <v>-0.1</v>
      </c>
      <c r="B16" s="249">
        <v>202.67137156165612</v>
      </c>
      <c r="C16" s="249">
        <v>90.692028570226086</v>
      </c>
      <c r="D16" s="249">
        <v>0.14381416477118691</v>
      </c>
      <c r="E16" s="249">
        <v>115888.48874640641</v>
      </c>
      <c r="F16" s="249">
        <v>203.54999400863682</v>
      </c>
      <c r="G16" s="249">
        <v>35.209035120619106</v>
      </c>
      <c r="H16" s="249">
        <v>0.15991379013128632</v>
      </c>
      <c r="I16" s="249">
        <v>90551.949939571496</v>
      </c>
      <c r="J16" s="249">
        <v>203.11068278514645</v>
      </c>
      <c r="K16" s="249">
        <v>62.950531845422603</v>
      </c>
      <c r="L16" s="249">
        <v>0.15186397745123659</v>
      </c>
      <c r="M16" s="249">
        <v>103220.21934298894</v>
      </c>
      <c r="O16">
        <v>90551.949939571496</v>
      </c>
      <c r="P16">
        <f t="shared" si="0"/>
        <v>9.0551949939571497E-2</v>
      </c>
      <c r="X16" s="163"/>
      <c r="Y16" s="163"/>
    </row>
    <row r="17" spans="1:25" x14ac:dyDescent="0.3">
      <c r="A17" s="162" t="s">
        <v>310</v>
      </c>
      <c r="B17" s="249">
        <v>179.07535841287668</v>
      </c>
      <c r="C17" s="249">
        <v>86.881167055935364</v>
      </c>
      <c r="D17" s="249">
        <v>0.20270364797527937</v>
      </c>
      <c r="E17" s="249">
        <v>105927.47891205824</v>
      </c>
      <c r="F17" s="249">
        <v>185.44962280191663</v>
      </c>
      <c r="G17" s="249">
        <v>31.951238480106376</v>
      </c>
      <c r="H17" s="249">
        <v>0.23435809878345015</v>
      </c>
      <c r="I17" s="249">
        <v>81962.944315103843</v>
      </c>
      <c r="J17" s="249">
        <v>182.2624906073967</v>
      </c>
      <c r="K17" s="249">
        <v>59.416202768020852</v>
      </c>
      <c r="L17" s="249">
        <v>0.21853087337936478</v>
      </c>
      <c r="M17" s="249">
        <v>93945.211613581021</v>
      </c>
      <c r="X17" s="163"/>
      <c r="Y17" s="163"/>
    </row>
    <row r="18" spans="1:25" x14ac:dyDescent="0.3">
      <c r="T18" s="162"/>
      <c r="U18" s="163"/>
      <c r="V18" s="163"/>
      <c r="W18" s="163"/>
      <c r="X18" s="163"/>
      <c r="Y18" s="163"/>
    </row>
    <row r="19" spans="1:25" x14ac:dyDescent="0.3">
      <c r="T19" s="162"/>
      <c r="U19" s="163"/>
      <c r="V19" s="163"/>
      <c r="W19" s="163"/>
      <c r="X19" s="163"/>
      <c r="Y19" s="163"/>
    </row>
    <row r="20" spans="1:25" x14ac:dyDescent="0.3">
      <c r="T20" s="162"/>
      <c r="U20" s="163"/>
      <c r="V20" s="163"/>
      <c r="W20" s="163"/>
      <c r="X20" s="163"/>
      <c r="Y20" s="163"/>
    </row>
    <row r="21" spans="1:25" x14ac:dyDescent="0.3">
      <c r="T21" s="162"/>
      <c r="U21" s="163"/>
      <c r="V21" s="163"/>
      <c r="W21" s="163"/>
      <c r="X21" s="163"/>
      <c r="Y21" s="163"/>
    </row>
    <row r="22" spans="1:25" x14ac:dyDescent="0.3">
      <c r="T22" s="162"/>
      <c r="U22" s="163"/>
      <c r="V22" s="163"/>
      <c r="W22" s="163"/>
      <c r="X22" s="163"/>
      <c r="Y22" s="163"/>
    </row>
    <row r="26" spans="1:25" x14ac:dyDescent="0.3">
      <c r="T26" s="162"/>
      <c r="U26" s="163"/>
    </row>
    <row r="27" spans="1:25" x14ac:dyDescent="0.3">
      <c r="T27" s="164"/>
      <c r="U27" s="163"/>
    </row>
    <row r="49" spans="18:18" x14ac:dyDescent="0.3">
      <c r="R49">
        <v>20.720584269658126</v>
      </c>
    </row>
    <row r="50" spans="18:18" x14ac:dyDescent="0.3">
      <c r="R50">
        <v>20.688678963933537</v>
      </c>
    </row>
    <row r="51" spans="18:18" x14ac:dyDescent="0.3">
      <c r="R51">
        <v>20.712416599684452</v>
      </c>
    </row>
    <row r="52" spans="18:18" x14ac:dyDescent="0.3">
      <c r="R52">
        <v>20.595066019973995</v>
      </c>
    </row>
    <row r="53" spans="18:18" x14ac:dyDescent="0.3">
      <c r="R53">
        <v>20.447583529650615</v>
      </c>
    </row>
    <row r="54" spans="18:18" x14ac:dyDescent="0.3">
      <c r="R54">
        <v>20.405932722876749</v>
      </c>
    </row>
    <row r="55" spans="18:18" x14ac:dyDescent="0.3">
      <c r="R55">
        <v>20.311362275632973</v>
      </c>
    </row>
    <row r="56" spans="18:18" x14ac:dyDescent="0.3">
      <c r="R56">
        <v>20.19839008255185</v>
      </c>
    </row>
    <row r="57" spans="18:18" x14ac:dyDescent="0.3">
      <c r="R57">
        <v>20.140168104049046</v>
      </c>
    </row>
    <row r="58" spans="18:18" x14ac:dyDescent="0.3">
      <c r="R58">
        <v>20.077281334150832</v>
      </c>
    </row>
    <row r="59" spans="18:18" x14ac:dyDescent="0.3">
      <c r="R59">
        <v>19.967911195670041</v>
      </c>
    </row>
    <row r="60" spans="18:18" x14ac:dyDescent="0.3">
      <c r="R60">
        <v>18.905355471712031</v>
      </c>
    </row>
    <row r="61" spans="18:18" x14ac:dyDescent="0.3">
      <c r="R61">
        <v>16.032379827315609</v>
      </c>
    </row>
    <row r="62" spans="18:18" x14ac:dyDescent="0.3">
      <c r="R62">
        <v>12.357580857737576</v>
      </c>
    </row>
    <row r="63" spans="18:18" x14ac:dyDescent="0.3">
      <c r="R63">
        <v>10.358867439693153</v>
      </c>
    </row>
    <row r="64" spans="18:18" x14ac:dyDescent="0.3">
      <c r="R64">
        <v>8.3244977102909541</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BJ2102"/>
  <sheetViews>
    <sheetView tabSelected="1" topLeftCell="Z1" zoomScaleNormal="100" workbookViewId="0">
      <pane ySplit="2" topLeftCell="A3" activePane="bottomLeft" state="frozen"/>
      <selection pane="bottomLeft" activeCell="BB22" sqref="BB22"/>
    </sheetView>
  </sheetViews>
  <sheetFormatPr defaultRowHeight="14.4" x14ac:dyDescent="0.3"/>
  <cols>
    <col min="5" max="8" width="9.109375" customWidth="1"/>
    <col min="9" max="9" width="9.109375" hidden="1" customWidth="1"/>
    <col min="10" max="14" width="9.109375" customWidth="1"/>
    <col min="15" max="25" width="9.109375" hidden="1" customWidth="1"/>
    <col min="26" max="26" width="9.109375" customWidth="1"/>
    <col min="27" max="37" width="9.109375" hidden="1" customWidth="1"/>
    <col min="38" max="42" width="9.109375" customWidth="1"/>
    <col min="53" max="53" width="9.5546875" bestFit="1" customWidth="1"/>
    <col min="60" max="60" width="12" bestFit="1" customWidth="1"/>
  </cols>
  <sheetData>
    <row r="1" spans="1:62" x14ac:dyDescent="0.3">
      <c r="A1" t="s">
        <v>253</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row>
    <row r="2" spans="1:62" ht="16.2" x14ac:dyDescent="0.35">
      <c r="A2" s="230" t="s">
        <v>380</v>
      </c>
      <c r="B2" s="165" t="s">
        <v>267</v>
      </c>
      <c r="C2" s="165" t="s">
        <v>104</v>
      </c>
      <c r="D2" s="165" t="s">
        <v>295</v>
      </c>
      <c r="E2" t="s">
        <v>5</v>
      </c>
      <c r="F2" t="s">
        <v>249</v>
      </c>
      <c r="G2" t="s">
        <v>250</v>
      </c>
      <c r="H2" t="s">
        <v>251</v>
      </c>
      <c r="I2" t="s">
        <v>252</v>
      </c>
      <c r="J2" t="s">
        <v>323</v>
      </c>
      <c r="K2" t="s">
        <v>254</v>
      </c>
      <c r="L2" t="s">
        <v>255</v>
      </c>
      <c r="M2" t="s">
        <v>256</v>
      </c>
      <c r="N2" s="24" t="s">
        <v>89</v>
      </c>
      <c r="O2" s="201" t="s">
        <v>63</v>
      </c>
      <c r="P2" s="201" t="s">
        <v>64</v>
      </c>
      <c r="Q2" s="202" t="s">
        <v>40</v>
      </c>
      <c r="R2" s="202" t="s">
        <v>41</v>
      </c>
      <c r="S2" s="202" t="s">
        <v>42</v>
      </c>
      <c r="T2" s="202" t="s">
        <v>45</v>
      </c>
      <c r="U2" s="202" t="s">
        <v>76</v>
      </c>
      <c r="V2" s="202" t="s">
        <v>43</v>
      </c>
      <c r="W2" s="202" t="s">
        <v>44</v>
      </c>
      <c r="X2" s="195" t="s">
        <v>109</v>
      </c>
      <c r="Y2" s="76" t="s">
        <v>75</v>
      </c>
      <c r="Z2" s="203" t="s">
        <v>65</v>
      </c>
      <c r="AA2" s="28" t="s">
        <v>73</v>
      </c>
      <c r="AB2" s="28" t="s">
        <v>21</v>
      </c>
      <c r="AC2" s="28" t="s">
        <v>22</v>
      </c>
      <c r="AD2" s="28" t="s">
        <v>24</v>
      </c>
      <c r="AE2" s="28" t="s">
        <v>36</v>
      </c>
      <c r="AF2" s="28" t="s">
        <v>39</v>
      </c>
      <c r="AG2" s="28" t="s">
        <v>74</v>
      </c>
      <c r="AH2" s="28" t="s">
        <v>66</v>
      </c>
      <c r="AI2" s="28" t="s">
        <v>23</v>
      </c>
      <c r="AJ2" s="10" t="s">
        <v>32</v>
      </c>
      <c r="AK2" s="28" t="s">
        <v>108</v>
      </c>
      <c r="AL2" s="28" t="s">
        <v>232</v>
      </c>
      <c r="AM2" s="28" t="s">
        <v>268</v>
      </c>
      <c r="AN2" s="28" t="s">
        <v>297</v>
      </c>
      <c r="AO2" s="28" t="s">
        <v>269</v>
      </c>
      <c r="AP2" s="30" t="s">
        <v>300</v>
      </c>
      <c r="AQ2" s="166" t="s">
        <v>301</v>
      </c>
      <c r="AR2" s="166" t="s">
        <v>304</v>
      </c>
      <c r="AS2" s="166" t="s">
        <v>305</v>
      </c>
      <c r="AT2" s="166" t="s">
        <v>208</v>
      </c>
      <c r="AU2" s="166" t="s">
        <v>306</v>
      </c>
      <c r="AV2" s="166" t="s">
        <v>307</v>
      </c>
      <c r="AW2" s="166" t="s">
        <v>257</v>
      </c>
      <c r="AX2" s="166" t="s">
        <v>381</v>
      </c>
      <c r="AY2" s="166" t="s">
        <v>254</v>
      </c>
      <c r="AZ2" s="166" t="s">
        <v>300</v>
      </c>
      <c r="BA2" s="28" t="s">
        <v>328</v>
      </c>
      <c r="BB2" s="30" t="s">
        <v>324</v>
      </c>
      <c r="BC2" s="207" t="s">
        <v>349</v>
      </c>
      <c r="BD2" s="206" t="s">
        <v>348</v>
      </c>
      <c r="BE2" s="206" t="s">
        <v>344</v>
      </c>
      <c r="BF2" s="113" t="s">
        <v>347</v>
      </c>
      <c r="BG2" s="165" t="s">
        <v>386</v>
      </c>
      <c r="BH2" s="113" t="s">
        <v>403</v>
      </c>
      <c r="BI2" s="113" t="s">
        <v>420</v>
      </c>
      <c r="BJ2" s="113" t="s">
        <v>421</v>
      </c>
    </row>
    <row r="3" spans="1:62" x14ac:dyDescent="0.3">
      <c r="A3">
        <v>-0.1</v>
      </c>
      <c r="B3" s="146">
        <v>100</v>
      </c>
      <c r="C3" s="146">
        <v>25</v>
      </c>
      <c r="D3" s="146">
        <v>400</v>
      </c>
      <c r="E3" s="249">
        <v>3.451811912449998</v>
      </c>
      <c r="F3">
        <v>1.0235881302857013</v>
      </c>
      <c r="G3">
        <v>4.2397505630487275</v>
      </c>
      <c r="H3">
        <v>0</v>
      </c>
      <c r="J3">
        <v>2.2469176158708918E-2</v>
      </c>
      <c r="K3">
        <v>1E-8</v>
      </c>
      <c r="L3">
        <v>18.035039849907889</v>
      </c>
      <c r="M3">
        <v>10.821023825781213</v>
      </c>
      <c r="N3">
        <v>-7.6924454219174848E-2</v>
      </c>
      <c r="Z3" t="s">
        <v>35</v>
      </c>
      <c r="AL3">
        <v>334.60334650716186</v>
      </c>
      <c r="AM3">
        <v>0.24142649787152989</v>
      </c>
      <c r="AN3">
        <v>0.18816002158594397</v>
      </c>
      <c r="AO3">
        <v>381.65491328415186</v>
      </c>
      <c r="AP3">
        <v>373.06557361674925</v>
      </c>
      <c r="AQ3" t="s">
        <v>302</v>
      </c>
      <c r="AR3">
        <v>0</v>
      </c>
      <c r="AS3">
        <v>0</v>
      </c>
      <c r="AT3">
        <v>0</v>
      </c>
      <c r="AU3">
        <v>0</v>
      </c>
      <c r="AV3">
        <v>0</v>
      </c>
      <c r="AW3">
        <v>3</v>
      </c>
      <c r="AX3" s="141">
        <v>2.5000010000000003E-2</v>
      </c>
      <c r="AY3" s="141">
        <v>1E-8</v>
      </c>
      <c r="AZ3" s="209">
        <v>373.06557361674925</v>
      </c>
      <c r="BA3">
        <v>2.5000010000000003E-2</v>
      </c>
      <c r="BB3" s="249">
        <v>11.365331395708402</v>
      </c>
      <c r="BC3" s="243">
        <v>83.560138139256509</v>
      </c>
      <c r="BD3" s="209">
        <v>33328.120017501278</v>
      </c>
      <c r="BE3" s="243">
        <v>26.897696043094967</v>
      </c>
      <c r="BF3" s="209">
        <v>24177.350637166353</v>
      </c>
      <c r="BG3" t="s">
        <v>387</v>
      </c>
      <c r="BH3">
        <v>2.0090662682645153E-6</v>
      </c>
      <c r="BI3">
        <v>1533281.2001750129</v>
      </c>
      <c r="BJ3">
        <f>BF3/BI3</f>
        <v>1.5768373494964058E-2</v>
      </c>
    </row>
    <row r="4" spans="1:62" x14ac:dyDescent="0.3">
      <c r="A4">
        <v>-0.1</v>
      </c>
      <c r="B4" s="146">
        <v>200</v>
      </c>
      <c r="C4" s="146">
        <v>25</v>
      </c>
      <c r="D4" s="146">
        <v>400</v>
      </c>
      <c r="E4" s="249">
        <v>6.0307084646441993</v>
      </c>
      <c r="F4">
        <v>1.8188142637725686</v>
      </c>
      <c r="G4">
        <v>7.2788174816612763</v>
      </c>
      <c r="H4">
        <v>0</v>
      </c>
      <c r="J4">
        <v>3.4133695298236026E-4</v>
      </c>
      <c r="K4">
        <v>1E-8</v>
      </c>
      <c r="L4">
        <v>32.278678079038855</v>
      </c>
      <c r="M4">
        <v>19.367206696789484</v>
      </c>
      <c r="N4">
        <v>-2.1689135825175582E-3</v>
      </c>
      <c r="Z4" t="s">
        <v>35</v>
      </c>
      <c r="AL4">
        <v>358.46446376737356</v>
      </c>
      <c r="AM4">
        <v>0.24987771274042891</v>
      </c>
      <c r="AN4">
        <v>0.23701424979336749</v>
      </c>
      <c r="AO4">
        <v>374.555502591503</v>
      </c>
      <c r="AP4">
        <v>359.54892055863235</v>
      </c>
      <c r="AQ4" t="s">
        <v>302</v>
      </c>
      <c r="AR4">
        <v>0</v>
      </c>
      <c r="AS4">
        <v>0</v>
      </c>
      <c r="AT4">
        <v>0</v>
      </c>
      <c r="AU4">
        <v>0</v>
      </c>
      <c r="AV4">
        <v>0</v>
      </c>
      <c r="AW4">
        <v>3</v>
      </c>
      <c r="AX4" s="141">
        <v>3.4180930660546497E-4</v>
      </c>
      <c r="AY4" s="141">
        <v>1E-8</v>
      </c>
      <c r="AZ4" s="209">
        <v>359.54892055863235</v>
      </c>
      <c r="BA4">
        <v>3.4180930660546497E-4</v>
      </c>
      <c r="BB4" s="249">
        <v>19.940934414564449</v>
      </c>
      <c r="BC4" s="243">
        <v>101.42041474267647</v>
      </c>
      <c r="BD4" s="209">
        <v>42949.873871614909</v>
      </c>
      <c r="BE4" s="243">
        <v>34.060339309640653</v>
      </c>
      <c r="BF4" s="209">
        <v>52997.653262362568</v>
      </c>
      <c r="BG4" t="s">
        <v>387</v>
      </c>
      <c r="BH4">
        <v>3.3696814894161166E-6</v>
      </c>
      <c r="BI4">
        <v>1629498.7387161492</v>
      </c>
      <c r="BJ4">
        <f t="shared" ref="BJ4:BJ67" si="0">BF4/BI4</f>
        <v>3.2523899530059408E-2</v>
      </c>
    </row>
    <row r="5" spans="1:62" x14ac:dyDescent="0.3">
      <c r="A5">
        <v>-0.1</v>
      </c>
      <c r="B5" s="146">
        <v>300</v>
      </c>
      <c r="C5" s="146">
        <v>25</v>
      </c>
      <c r="D5" s="146">
        <v>400</v>
      </c>
      <c r="E5" s="249">
        <v>8.2809937858056522</v>
      </c>
      <c r="F5">
        <v>2.5943481832590072</v>
      </c>
      <c r="G5">
        <v>9.9992874944128367</v>
      </c>
      <c r="H5">
        <v>0</v>
      </c>
      <c r="J5">
        <v>2.7440444394957237E-4</v>
      </c>
      <c r="K5">
        <v>1E-8</v>
      </c>
      <c r="L5">
        <v>45.332477534289715</v>
      </c>
      <c r="M5">
        <v>27.199486309022266</v>
      </c>
      <c r="N5">
        <v>-2.3812633793363885E-3</v>
      </c>
      <c r="Z5" t="s">
        <v>35</v>
      </c>
      <c r="AL5">
        <v>345.08845668688906</v>
      </c>
      <c r="AM5">
        <v>0.25945330451880849</v>
      </c>
      <c r="AN5">
        <v>0.25006899636894397</v>
      </c>
      <c r="AO5">
        <v>366.88516407052663</v>
      </c>
      <c r="AP5">
        <v>346.27908837655724</v>
      </c>
      <c r="AQ5" t="s">
        <v>302</v>
      </c>
      <c r="AR5">
        <v>0</v>
      </c>
      <c r="AS5">
        <v>0</v>
      </c>
      <c r="AT5">
        <v>0</v>
      </c>
      <c r="AU5">
        <v>0</v>
      </c>
      <c r="AV5">
        <v>0</v>
      </c>
      <c r="AW5">
        <v>3</v>
      </c>
      <c r="AX5" s="141">
        <v>2.7476694732853806E-4</v>
      </c>
      <c r="AY5" s="141">
        <v>1E-8</v>
      </c>
      <c r="AZ5" s="209">
        <v>346.27908837655724</v>
      </c>
      <c r="BA5">
        <v>2.7476694732853806E-4</v>
      </c>
      <c r="BB5" s="249">
        <v>28.060472080157091</v>
      </c>
      <c r="BC5" s="243">
        <v>123.97093351086254</v>
      </c>
      <c r="BD5" s="209">
        <v>56634.07088334961</v>
      </c>
      <c r="BE5" s="243">
        <v>44.476913280209857</v>
      </c>
      <c r="BF5" s="209">
        <v>90902.106546432551</v>
      </c>
      <c r="BG5" t="s">
        <v>387</v>
      </c>
      <c r="BH5">
        <v>4.2359158288440164E-6</v>
      </c>
      <c r="BI5">
        <v>1766340.7088334961</v>
      </c>
      <c r="BJ5">
        <f t="shared" si="0"/>
        <v>5.1463517820672856E-2</v>
      </c>
    </row>
    <row r="6" spans="1:62" x14ac:dyDescent="0.3">
      <c r="A6">
        <v>-0.1</v>
      </c>
      <c r="B6" s="146">
        <v>400</v>
      </c>
      <c r="C6" s="146">
        <v>25</v>
      </c>
      <c r="D6" s="146">
        <v>400</v>
      </c>
      <c r="E6" s="249">
        <v>10.201722114179102</v>
      </c>
      <c r="F6">
        <v>3.308895491038236</v>
      </c>
      <c r="G6">
        <v>12.344597154153576</v>
      </c>
      <c r="H6">
        <v>0</v>
      </c>
      <c r="J6">
        <v>2.3378772469072158E-4</v>
      </c>
      <c r="K6">
        <v>1E-8</v>
      </c>
      <c r="L6">
        <v>56.992725519263985</v>
      </c>
      <c r="M6">
        <v>34.19563504559234</v>
      </c>
      <c r="N6">
        <v>-2.4915974106314446E-3</v>
      </c>
      <c r="Z6" t="s">
        <v>35</v>
      </c>
      <c r="AL6">
        <v>333.93513736240453</v>
      </c>
      <c r="AM6">
        <v>0.26804402360954283</v>
      </c>
      <c r="AN6">
        <v>0.25870672722797272</v>
      </c>
      <c r="AO6">
        <v>360.56645985402099</v>
      </c>
      <c r="AP6">
        <v>335.18093606772032</v>
      </c>
      <c r="AQ6" t="s">
        <v>302</v>
      </c>
      <c r="AR6">
        <v>0</v>
      </c>
      <c r="AS6">
        <v>0</v>
      </c>
      <c r="AT6">
        <v>0</v>
      </c>
      <c r="AU6">
        <v>0</v>
      </c>
      <c r="AV6">
        <v>0</v>
      </c>
      <c r="AW6">
        <v>3</v>
      </c>
      <c r="AX6" s="141">
        <v>2.3408377054564704E-4</v>
      </c>
      <c r="AY6" s="141">
        <v>1E-8</v>
      </c>
      <c r="AZ6" s="209">
        <v>335.18093606772032</v>
      </c>
      <c r="BA6">
        <v>2.3408377054564704E-4</v>
      </c>
      <c r="BB6" s="249">
        <v>35.380276308221077</v>
      </c>
      <c r="BC6" s="243">
        <v>141.84135981052717</v>
      </c>
      <c r="BD6" s="209">
        <v>68501.86351085623</v>
      </c>
      <c r="BE6" s="243">
        <v>53.529557971614864</v>
      </c>
      <c r="BF6" s="209">
        <v>130084.7821036377</v>
      </c>
      <c r="BG6" t="s">
        <v>387</v>
      </c>
      <c r="BH6">
        <v>4.8325039379667933E-6</v>
      </c>
      <c r="BI6">
        <v>1885018.6351085622</v>
      </c>
      <c r="BJ6">
        <f t="shared" si="0"/>
        <v>6.9009812253737132E-2</v>
      </c>
    </row>
    <row r="7" spans="1:62" x14ac:dyDescent="0.3">
      <c r="A7">
        <v>-0.1</v>
      </c>
      <c r="B7" s="146">
        <v>600</v>
      </c>
      <c r="C7" s="146">
        <v>25</v>
      </c>
      <c r="D7" s="146">
        <v>400</v>
      </c>
      <c r="E7" s="249">
        <v>13.303372425961829</v>
      </c>
      <c r="F7">
        <v>4.5789344592556169</v>
      </c>
      <c r="G7">
        <v>16.187104666829651</v>
      </c>
      <c r="H7">
        <v>0</v>
      </c>
      <c r="J7">
        <v>1.8660687668338213E-4</v>
      </c>
      <c r="K7">
        <v>1E-8</v>
      </c>
      <c r="L7">
        <v>76.941606543353458</v>
      </c>
      <c r="M7">
        <v>46.164963566951243</v>
      </c>
      <c r="N7">
        <v>-2.5844978804058895E-3</v>
      </c>
      <c r="Z7" t="s">
        <v>35</v>
      </c>
      <c r="AL7">
        <v>316.31480232958467</v>
      </c>
      <c r="AM7">
        <v>0.2828754464434084</v>
      </c>
      <c r="AN7">
        <v>0.26990330268944002</v>
      </c>
      <c r="AO7">
        <v>350.71059785708087</v>
      </c>
      <c r="AP7">
        <v>317.60705126978769</v>
      </c>
      <c r="AQ7" t="s">
        <v>302</v>
      </c>
      <c r="AR7">
        <v>0</v>
      </c>
      <c r="AS7">
        <v>0</v>
      </c>
      <c r="AT7">
        <v>0</v>
      </c>
      <c r="AU7">
        <v>0</v>
      </c>
      <c r="AV7">
        <v>0</v>
      </c>
      <c r="AW7">
        <v>3</v>
      </c>
      <c r="AX7" s="141">
        <v>1.8682755753728441E-4</v>
      </c>
      <c r="AY7" s="141">
        <v>1E-8</v>
      </c>
      <c r="AZ7" s="209">
        <v>317.60705126978769</v>
      </c>
      <c r="BA7">
        <v>1.8682755753728441E-4</v>
      </c>
      <c r="BB7" s="249">
        <v>48.06446847847625</v>
      </c>
      <c r="BC7" s="243">
        <v>168.98115255493838</v>
      </c>
      <c r="BD7" s="209">
        <v>88235.467403359813</v>
      </c>
      <c r="BE7" s="243">
        <v>68.724851941066959</v>
      </c>
      <c r="BF7" s="209">
        <v>206974.83565337915</v>
      </c>
      <c r="BG7" t="s">
        <v>387</v>
      </c>
      <c r="BH7">
        <v>5.5688437219023853E-6</v>
      </c>
      <c r="BI7">
        <v>2082354.674033598</v>
      </c>
      <c r="BJ7">
        <f t="shared" si="0"/>
        <v>9.9394612375259414E-2</v>
      </c>
    </row>
    <row r="8" spans="1:62" x14ac:dyDescent="0.3">
      <c r="A8">
        <v>-0.1</v>
      </c>
      <c r="B8" s="146">
        <v>800</v>
      </c>
      <c r="C8" s="146">
        <v>25</v>
      </c>
      <c r="D8" s="146">
        <v>400</v>
      </c>
      <c r="E8" s="249">
        <v>15.666771938940043</v>
      </c>
      <c r="F8">
        <v>5.6559851951047158</v>
      </c>
      <c r="G8">
        <v>19.16822457143649</v>
      </c>
      <c r="H8">
        <v>0</v>
      </c>
      <c r="J8">
        <v>1.5935096870265826E-4</v>
      </c>
      <c r="K8">
        <v>1E-8</v>
      </c>
      <c r="L8">
        <v>93.199835575622274</v>
      </c>
      <c r="M8">
        <v>55.919900910440795</v>
      </c>
      <c r="N8">
        <v>-2.5942841171995891E-3</v>
      </c>
      <c r="Z8" t="s">
        <v>35</v>
      </c>
      <c r="AL8">
        <v>303.18300206172677</v>
      </c>
      <c r="AM8">
        <v>0.29507089579558538</v>
      </c>
      <c r="AN8">
        <v>0.2771160394461421</v>
      </c>
      <c r="AO8">
        <v>343.46493992100773</v>
      </c>
      <c r="AP8">
        <v>304.48014412032654</v>
      </c>
      <c r="AQ8" t="s">
        <v>302</v>
      </c>
      <c r="AR8">
        <v>0</v>
      </c>
      <c r="AS8">
        <v>0</v>
      </c>
      <c r="AT8">
        <v>0</v>
      </c>
      <c r="AU8">
        <v>0</v>
      </c>
      <c r="AV8">
        <v>0</v>
      </c>
      <c r="AW8">
        <v>3</v>
      </c>
      <c r="AX8" s="141">
        <v>1.5952877710595777E-4</v>
      </c>
      <c r="AY8" s="141">
        <v>1E-8</v>
      </c>
      <c r="AZ8" s="209">
        <v>304.48014412032654</v>
      </c>
      <c r="BA8">
        <v>1.5952877710595777E-4</v>
      </c>
      <c r="BB8" s="249">
        <v>58.543738623491322</v>
      </c>
      <c r="BC8" s="243">
        <v>188.46812606706447</v>
      </c>
      <c r="BD8" s="209">
        <v>103751.35924220887</v>
      </c>
      <c r="BE8" s="243">
        <v>80.915887910570461</v>
      </c>
      <c r="BF8" s="209">
        <v>277505.74640994036</v>
      </c>
      <c r="BG8" t="s">
        <v>387</v>
      </c>
      <c r="BH8">
        <v>5.9777931554584206E-6</v>
      </c>
      <c r="BI8">
        <v>2237513.5924220886</v>
      </c>
      <c r="BJ8">
        <f t="shared" si="0"/>
        <v>0.1240241611714827</v>
      </c>
    </row>
    <row r="9" spans="1:62" x14ac:dyDescent="0.3">
      <c r="A9">
        <v>-0.1</v>
      </c>
      <c r="B9" s="146">
        <v>1000</v>
      </c>
      <c r="C9" s="146">
        <v>25</v>
      </c>
      <c r="D9" s="146">
        <v>400</v>
      </c>
      <c r="E9" s="249">
        <v>17.484486180906806</v>
      </c>
      <c r="F9">
        <v>6.5568703761220695</v>
      </c>
      <c r="G9">
        <v>21.496358784307962</v>
      </c>
      <c r="H9">
        <v>0</v>
      </c>
      <c r="J9">
        <v>1.4158055034851484E-4</v>
      </c>
      <c r="K9">
        <v>1E-8</v>
      </c>
      <c r="L9">
        <v>106.42928541020052</v>
      </c>
      <c r="M9">
        <v>63.857570749450311</v>
      </c>
      <c r="N9">
        <v>-2.5694627341751098E-3</v>
      </c>
      <c r="Z9" t="s">
        <v>35</v>
      </c>
      <c r="AL9">
        <v>293.26160675503814</v>
      </c>
      <c r="AM9">
        <v>0.30502237341277039</v>
      </c>
      <c r="AN9">
        <v>0.28225358867912637</v>
      </c>
      <c r="AO9">
        <v>338.05398095120893</v>
      </c>
      <c r="AP9">
        <v>294.54633812212575</v>
      </c>
      <c r="AQ9" t="s">
        <v>302</v>
      </c>
      <c r="AR9">
        <v>0</v>
      </c>
      <c r="AS9">
        <v>0</v>
      </c>
      <c r="AT9">
        <v>0</v>
      </c>
      <c r="AU9">
        <v>0</v>
      </c>
      <c r="AV9">
        <v>0</v>
      </c>
      <c r="AW9">
        <v>3</v>
      </c>
      <c r="AX9" s="141">
        <v>1.417305905694025E-4</v>
      </c>
      <c r="AY9" s="141">
        <v>1E-8</v>
      </c>
      <c r="AZ9" s="209">
        <v>294.54633812212575</v>
      </c>
      <c r="BA9">
        <v>1.417305905694025E-4</v>
      </c>
      <c r="BB9" s="249">
        <v>67.143603800744302</v>
      </c>
      <c r="BC9" s="243">
        <v>202.67365917888796</v>
      </c>
      <c r="BD9" s="209">
        <v>115895.7369734461</v>
      </c>
      <c r="BE9" s="243">
        <v>90.701306957160227</v>
      </c>
      <c r="BF9" s="209">
        <v>339265.36502599507</v>
      </c>
      <c r="BG9" t="s">
        <v>387</v>
      </c>
      <c r="BH9">
        <v>6.221323977700775E-6</v>
      </c>
      <c r="BI9">
        <v>2358957.369734461</v>
      </c>
      <c r="BJ9">
        <f t="shared" si="0"/>
        <v>0.14382004922123071</v>
      </c>
    </row>
    <row r="10" spans="1:62" s="146" customFormat="1" x14ac:dyDescent="0.3">
      <c r="A10">
        <v>-0.1</v>
      </c>
      <c r="B10" s="146">
        <v>1300</v>
      </c>
      <c r="C10" s="146">
        <v>25</v>
      </c>
      <c r="D10" s="146">
        <v>400</v>
      </c>
      <c r="E10" s="252">
        <v>19.471596950572533</v>
      </c>
      <c r="F10" s="146">
        <v>7.6211630155149397</v>
      </c>
      <c r="G10" s="146">
        <v>24.079674821300266</v>
      </c>
      <c r="H10" s="146">
        <v>0</v>
      </c>
      <c r="J10" s="146">
        <v>1.2429726247166207E-4</v>
      </c>
      <c r="K10" s="146">
        <v>1E-8</v>
      </c>
      <c r="L10" s="146">
        <v>121.73317605185218</v>
      </c>
      <c r="M10" s="146">
        <v>73.039905063023141</v>
      </c>
      <c r="N10" s="146">
        <v>-2.5094749452377664E-3</v>
      </c>
      <c r="Z10" s="146" t="s">
        <v>35</v>
      </c>
      <c r="AL10" s="146">
        <v>282.61210021006298</v>
      </c>
      <c r="AM10" s="146">
        <v>0.31649775472771141</v>
      </c>
      <c r="AN10" s="146">
        <v>0.28769716698403341</v>
      </c>
      <c r="AO10" s="146">
        <v>332.31912168376283</v>
      </c>
      <c r="AP10">
        <v>283.86683768268182</v>
      </c>
      <c r="AQ10" s="146" t="s">
        <v>302</v>
      </c>
      <c r="AR10" s="146">
        <v>0</v>
      </c>
      <c r="AS10" s="146">
        <v>0</v>
      </c>
      <c r="AT10" s="146">
        <v>0</v>
      </c>
      <c r="AU10" s="146">
        <v>0</v>
      </c>
      <c r="AV10" s="146">
        <v>0</v>
      </c>
      <c r="AW10">
        <v>3</v>
      </c>
      <c r="AX10" s="141">
        <v>1.2442040461073522E-4</v>
      </c>
      <c r="AY10" s="228">
        <v>1E-8</v>
      </c>
      <c r="AZ10" s="209">
        <v>283.86683768268182</v>
      </c>
      <c r="BA10" s="146">
        <v>1.2442040461073522E-4</v>
      </c>
      <c r="BB10" s="252">
        <v>77.13625151961007</v>
      </c>
      <c r="BC10" s="244">
        <v>217.17279074766361</v>
      </c>
      <c r="BD10" s="229">
        <v>129245.91170366916</v>
      </c>
      <c r="BE10" s="244">
        <v>101.82575444044255</v>
      </c>
      <c r="BF10" s="229">
        <v>414657.01184911287</v>
      </c>
      <c r="BG10" t="s">
        <v>387</v>
      </c>
      <c r="BH10" s="146">
        <v>6.4313451167262303E-6</v>
      </c>
      <c r="BI10" s="146">
        <v>2492459.1170366919</v>
      </c>
      <c r="BJ10">
        <f t="shared" si="0"/>
        <v>0.16636461918865994</v>
      </c>
    </row>
    <row r="11" spans="1:62" s="146" customFormat="1" x14ac:dyDescent="0.3">
      <c r="A11">
        <v>-0.1</v>
      </c>
      <c r="B11" s="227">
        <v>1600</v>
      </c>
      <c r="C11" s="146">
        <v>25</v>
      </c>
      <c r="D11" s="146">
        <v>400</v>
      </c>
      <c r="E11" s="252">
        <v>20.840369456016841</v>
      </c>
      <c r="F11" s="146">
        <v>8.4053917091780903</v>
      </c>
      <c r="G11" s="146">
        <v>25.883023244285447</v>
      </c>
      <c r="H11" s="146">
        <v>0</v>
      </c>
      <c r="J11" s="146">
        <v>1.1328919225536573E-4</v>
      </c>
      <c r="K11" s="146">
        <v>1E-8</v>
      </c>
      <c r="L11" s="146">
        <v>132.89005181288127</v>
      </c>
      <c r="M11" s="146">
        <v>79.734030467575167</v>
      </c>
      <c r="N11" s="146">
        <v>-2.4463535274353351E-3</v>
      </c>
      <c r="Z11" s="146" t="s">
        <v>35</v>
      </c>
      <c r="AL11" s="146">
        <v>275.43423924640689</v>
      </c>
      <c r="AM11" s="146">
        <v>0.32474536030229256</v>
      </c>
      <c r="AN11" s="146">
        <v>0.29153767530052299</v>
      </c>
      <c r="AO11" s="146">
        <v>328.51569034933766</v>
      </c>
      <c r="AP11">
        <v>276.65741601012456</v>
      </c>
      <c r="AQ11" s="146" t="s">
        <v>302</v>
      </c>
      <c r="AR11" s="146">
        <v>0</v>
      </c>
      <c r="AS11" s="146">
        <v>0</v>
      </c>
      <c r="AT11" s="146">
        <v>0</v>
      </c>
      <c r="AU11" s="146">
        <v>0</v>
      </c>
      <c r="AV11" s="146">
        <v>0</v>
      </c>
      <c r="AW11">
        <v>3</v>
      </c>
      <c r="AX11" s="141">
        <v>1.133951390758425E-4</v>
      </c>
      <c r="AY11" s="228">
        <v>1E-8</v>
      </c>
      <c r="AZ11" s="209">
        <v>276.65741601012456</v>
      </c>
      <c r="BA11" s="146">
        <v>1.133951390758425E-4</v>
      </c>
      <c r="BB11" s="252">
        <v>84.399198458872519</v>
      </c>
      <c r="BC11" s="244">
        <v>226.28148880306424</v>
      </c>
      <c r="BD11" s="229">
        <v>138331.09547878962</v>
      </c>
      <c r="BE11" s="244">
        <v>109.70168466875965</v>
      </c>
      <c r="BF11" s="229">
        <v>471420.16963794868</v>
      </c>
      <c r="BG11" t="s">
        <v>387</v>
      </c>
      <c r="BH11" s="146">
        <v>6.5503071586138987E-6</v>
      </c>
      <c r="BI11" s="146">
        <v>2583310.954787896</v>
      </c>
      <c r="BJ11">
        <f t="shared" si="0"/>
        <v>0.1824868077782974</v>
      </c>
    </row>
    <row r="12" spans="1:62" s="140" customFormat="1" x14ac:dyDescent="0.3">
      <c r="A12" s="140">
        <v>-0.1</v>
      </c>
      <c r="B12" s="140">
        <v>1900</v>
      </c>
      <c r="C12" s="140">
        <v>25</v>
      </c>
      <c r="D12" s="140">
        <v>400</v>
      </c>
      <c r="E12" s="253">
        <v>21.816352892461079</v>
      </c>
      <c r="F12" s="140">
        <v>8.9929014351339571</v>
      </c>
      <c r="G12" s="140">
        <v>27.182088499630041</v>
      </c>
      <c r="H12" s="140">
        <v>0</v>
      </c>
      <c r="J12" s="140">
        <v>1.0570870043205793E-4</v>
      </c>
      <c r="K12" s="140">
        <v>1E-8</v>
      </c>
      <c r="L12" s="140">
        <v>141.15517451225145</v>
      </c>
      <c r="M12" s="140">
        <v>84.693104048626722</v>
      </c>
      <c r="N12" s="140">
        <v>-2.3884721012336131E-3</v>
      </c>
      <c r="Z12" s="140" t="s">
        <v>35</v>
      </c>
      <c r="AL12" s="140">
        <v>270.36729197678136</v>
      </c>
      <c r="AM12" s="140">
        <v>0.33083923758310013</v>
      </c>
      <c r="AN12" s="140">
        <v>0.29421284125211611</v>
      </c>
      <c r="AO12" s="140">
        <v>325.8484000915301</v>
      </c>
      <c r="AP12" s="140">
        <v>271.5615280273982</v>
      </c>
      <c r="AQ12" s="140" t="s">
        <v>302</v>
      </c>
      <c r="AR12" s="140">
        <v>0</v>
      </c>
      <c r="AS12" s="140">
        <v>0</v>
      </c>
      <c r="AT12" s="140">
        <v>0</v>
      </c>
      <c r="AU12" s="140">
        <v>0</v>
      </c>
      <c r="AV12" s="140">
        <v>0</v>
      </c>
      <c r="AW12">
        <v>3</v>
      </c>
      <c r="AX12" s="141">
        <v>1.0580312417341816E-4</v>
      </c>
      <c r="AY12" s="205">
        <v>1E-8</v>
      </c>
      <c r="AZ12" s="209">
        <v>271.5615280273982</v>
      </c>
      <c r="BA12" s="140">
        <v>1.0580312417341816E-4</v>
      </c>
      <c r="BB12" s="253">
        <v>89.788355364510082</v>
      </c>
      <c r="BC12" s="245">
        <v>232.21437802081454</v>
      </c>
      <c r="BD12" s="210">
        <v>144748.31998427291</v>
      </c>
      <c r="BE12" s="245">
        <v>115.49957781997878</v>
      </c>
      <c r="BF12" s="210">
        <v>514436.28459731583</v>
      </c>
      <c r="BG12" t="s">
        <v>387</v>
      </c>
      <c r="BH12" s="140">
        <v>6.6237925514844925E-6</v>
      </c>
      <c r="BI12" s="140">
        <v>2647483.1998427291</v>
      </c>
      <c r="BJ12">
        <f t="shared" si="0"/>
        <v>0.19431144440420825</v>
      </c>
    </row>
    <row r="13" spans="1:62" x14ac:dyDescent="0.3">
      <c r="A13">
        <v>-0.1</v>
      </c>
      <c r="B13" s="146">
        <v>1000</v>
      </c>
      <c r="C13" s="146">
        <v>25</v>
      </c>
      <c r="D13" s="146">
        <v>200</v>
      </c>
      <c r="E13" s="249">
        <v>10.789334568586261</v>
      </c>
      <c r="F13">
        <v>11.511755620548849</v>
      </c>
      <c r="G13">
        <v>17.410983268448149</v>
      </c>
      <c r="H13">
        <v>0</v>
      </c>
      <c r="J13">
        <v>1.0796951287400861E-4</v>
      </c>
      <c r="K13">
        <v>1E-8</v>
      </c>
      <c r="L13">
        <v>111.45800378433283</v>
      </c>
      <c r="M13">
        <v>66.874801750462339</v>
      </c>
      <c r="N13">
        <v>-1.250706230623286E-3</v>
      </c>
      <c r="Z13" t="s">
        <v>35</v>
      </c>
      <c r="AL13">
        <v>135.25823395500856</v>
      </c>
      <c r="AM13">
        <v>0.66117780041809771</v>
      </c>
      <c r="AN13">
        <v>0.28950282143064682</v>
      </c>
      <c r="AO13">
        <v>162.73150460065222</v>
      </c>
      <c r="AP13">
        <v>135.8835870703202</v>
      </c>
      <c r="AQ13" t="s">
        <v>302</v>
      </c>
      <c r="AR13">
        <v>0</v>
      </c>
      <c r="AS13">
        <v>0</v>
      </c>
      <c r="AT13">
        <v>0</v>
      </c>
      <c r="AU13">
        <v>0</v>
      </c>
      <c r="AV13">
        <v>0</v>
      </c>
      <c r="AW13">
        <v>3</v>
      </c>
      <c r="AX13" s="141">
        <v>1.0809741824651307E-4</v>
      </c>
      <c r="AY13" s="141">
        <v>1E-8</v>
      </c>
      <c r="AZ13" s="209">
        <v>135.8835870703202</v>
      </c>
      <c r="BA13" s="198">
        <v>1.0809741824651307E-4</v>
      </c>
      <c r="BB13" s="249">
        <v>97.552865413985728</v>
      </c>
      <c r="BC13" s="243">
        <v>218.47553865370713</v>
      </c>
      <c r="BD13" s="209">
        <v>147933.98876243163</v>
      </c>
      <c r="BE13" s="244">
        <v>127.83281718127856</v>
      </c>
      <c r="BF13" s="209">
        <v>220031.1482145928</v>
      </c>
      <c r="BG13" t="s">
        <v>388</v>
      </c>
      <c r="BH13">
        <v>3.4858522879580415E-6</v>
      </c>
      <c r="BI13">
        <v>2679339.8876243164</v>
      </c>
      <c r="BJ13">
        <f t="shared" si="0"/>
        <v>8.2121402077765984E-2</v>
      </c>
    </row>
    <row r="14" spans="1:62" x14ac:dyDescent="0.3">
      <c r="A14">
        <v>-0.1</v>
      </c>
      <c r="B14" s="146">
        <v>1000</v>
      </c>
      <c r="C14" s="146">
        <v>25</v>
      </c>
      <c r="D14" s="146">
        <v>300</v>
      </c>
      <c r="E14" s="249">
        <v>14.896004635222193</v>
      </c>
      <c r="F14">
        <v>8.495650660686902</v>
      </c>
      <c r="G14">
        <v>19.930439124147174</v>
      </c>
      <c r="H14">
        <v>0</v>
      </c>
      <c r="J14">
        <v>1.2354614317383635E-4</v>
      </c>
      <c r="K14">
        <v>1E-8</v>
      </c>
      <c r="L14">
        <v>108.59097264058825</v>
      </c>
      <c r="M14">
        <v>65.154583077595078</v>
      </c>
      <c r="N14">
        <v>-1.9283765158920772E-3</v>
      </c>
      <c r="Z14" t="s">
        <v>35</v>
      </c>
      <c r="AL14">
        <v>209.80422200017654</v>
      </c>
      <c r="AM14">
        <v>0.42626510172542081</v>
      </c>
      <c r="AN14">
        <v>0.28555552667169543</v>
      </c>
      <c r="AO14">
        <v>247.83499794648276</v>
      </c>
      <c r="AP14">
        <v>210.76841025812257</v>
      </c>
      <c r="AQ14" t="s">
        <v>302</v>
      </c>
      <c r="AR14">
        <v>0</v>
      </c>
      <c r="AS14">
        <v>0</v>
      </c>
      <c r="AT14">
        <v>0</v>
      </c>
      <c r="AU14">
        <v>0</v>
      </c>
      <c r="AV14">
        <v>0</v>
      </c>
      <c r="AW14">
        <v>3</v>
      </c>
      <c r="AX14" s="141">
        <v>1.2368846707598265E-4</v>
      </c>
      <c r="AY14" s="141">
        <v>1E-8</v>
      </c>
      <c r="AZ14" s="209">
        <v>210.76841025812257</v>
      </c>
      <c r="BA14">
        <v>1.2368846707598265E-4</v>
      </c>
      <c r="BB14" s="249">
        <v>79.074974012494479</v>
      </c>
      <c r="BC14" s="243">
        <v>209.32383209812448</v>
      </c>
      <c r="BD14" s="209">
        <v>128579.69295803025</v>
      </c>
      <c r="BE14" s="244">
        <v>105.31983133448773</v>
      </c>
      <c r="BF14" s="209">
        <v>298084.69644482696</v>
      </c>
      <c r="BG14" t="s">
        <v>388</v>
      </c>
      <c r="BH14">
        <v>5.1008354613906755E-6</v>
      </c>
      <c r="BI14">
        <v>2485796.9295803024</v>
      </c>
      <c r="BJ14">
        <f t="shared" si="0"/>
        <v>0.11991514387104624</v>
      </c>
    </row>
    <row r="15" spans="1:62" x14ac:dyDescent="0.3">
      <c r="A15">
        <v>-0.1</v>
      </c>
      <c r="B15" s="146">
        <v>1000</v>
      </c>
      <c r="C15" s="146">
        <v>25</v>
      </c>
      <c r="D15" s="146">
        <v>400</v>
      </c>
      <c r="E15" s="249">
        <v>17.48501113075335</v>
      </c>
      <c r="F15">
        <v>6.557225444730987</v>
      </c>
      <c r="G15">
        <v>21.497094744421002</v>
      </c>
      <c r="H15">
        <v>0</v>
      </c>
      <c r="J15">
        <v>1.4155503160006457E-4</v>
      </c>
      <c r="K15">
        <v>1E-8</v>
      </c>
      <c r="L15">
        <v>106.43066780406795</v>
      </c>
      <c r="M15">
        <v>63.858400185764324</v>
      </c>
      <c r="N15">
        <v>-2.5690795335037864E-3</v>
      </c>
      <c r="Z15" t="s">
        <v>35</v>
      </c>
      <c r="AL15">
        <v>293.25593253426416</v>
      </c>
      <c r="AM15">
        <v>0.30502844792237521</v>
      </c>
      <c r="AN15">
        <v>0.28224124895425506</v>
      </c>
      <c r="AO15">
        <v>338.04941270796576</v>
      </c>
      <c r="AP15">
        <v>294.54047230101611</v>
      </c>
      <c r="AQ15" t="s">
        <v>302</v>
      </c>
      <c r="AR15">
        <v>0</v>
      </c>
      <c r="AS15">
        <v>0</v>
      </c>
      <c r="AT15">
        <v>0</v>
      </c>
      <c r="AU15">
        <v>0</v>
      </c>
      <c r="AV15">
        <v>0</v>
      </c>
      <c r="AW15">
        <v>3</v>
      </c>
      <c r="AX15" s="141">
        <v>1.4170505723194168E-4</v>
      </c>
      <c r="AY15" s="141">
        <v>1E-8</v>
      </c>
      <c r="AZ15" s="209">
        <v>294.54047230101611</v>
      </c>
      <c r="BA15">
        <v>1.4170505723194168E-4</v>
      </c>
      <c r="BB15" s="249">
        <v>67.146811657344145</v>
      </c>
      <c r="BC15" s="243">
        <v>202.67784659092436</v>
      </c>
      <c r="BD15" s="209">
        <v>115903.67248103992</v>
      </c>
      <c r="BE15" s="244">
        <v>90.710509929938681</v>
      </c>
      <c r="BF15" s="209">
        <v>339292.32067219971</v>
      </c>
      <c r="BG15" t="s">
        <v>388</v>
      </c>
      <c r="BH15">
        <v>6.2212608701103622E-6</v>
      </c>
      <c r="BI15">
        <v>2359036.7248103991</v>
      </c>
      <c r="BJ15">
        <f t="shared" si="0"/>
        <v>0.14382663784069294</v>
      </c>
    </row>
    <row r="16" spans="1:62" x14ac:dyDescent="0.3">
      <c r="A16">
        <v>-0.1</v>
      </c>
      <c r="B16" s="146">
        <v>1000</v>
      </c>
      <c r="C16" s="146">
        <v>25</v>
      </c>
      <c r="D16" s="146">
        <v>500</v>
      </c>
      <c r="E16" s="249">
        <v>19.207268019357912</v>
      </c>
      <c r="F16">
        <v>5.2825057787066179</v>
      </c>
      <c r="G16">
        <v>22.547285384243416</v>
      </c>
      <c r="H16">
        <v>0</v>
      </c>
      <c r="J16">
        <v>1.608079373319607E-4</v>
      </c>
      <c r="K16">
        <v>1E-8</v>
      </c>
      <c r="L16">
        <v>104.99714255478295</v>
      </c>
      <c r="M16">
        <v>62.998285042883111</v>
      </c>
      <c r="N16">
        <v>-3.1908081101398988E-3</v>
      </c>
      <c r="Z16" t="s">
        <v>35</v>
      </c>
      <c r="AL16">
        <v>381.88186918140866</v>
      </c>
      <c r="AM16">
        <v>0.23428566626464753</v>
      </c>
      <c r="AN16">
        <v>0.27946734093226666</v>
      </c>
      <c r="AO16">
        <v>431.27186899447724</v>
      </c>
      <c r="AP16">
        <v>383.47727323647854</v>
      </c>
      <c r="AQ16" t="s">
        <v>302</v>
      </c>
      <c r="AR16">
        <v>0</v>
      </c>
      <c r="AS16">
        <v>0</v>
      </c>
      <c r="AT16">
        <v>0</v>
      </c>
      <c r="AU16">
        <v>0</v>
      </c>
      <c r="AV16">
        <v>0</v>
      </c>
      <c r="AW16">
        <v>3</v>
      </c>
      <c r="AX16" s="141">
        <v>1.6096383208540332E-4</v>
      </c>
      <c r="AY16" s="141">
        <v>1E-8</v>
      </c>
      <c r="AZ16" s="209">
        <v>383.47727323647854</v>
      </c>
      <c r="BA16">
        <v>1.6096383208540332E-4</v>
      </c>
      <c r="BB16" s="249">
        <v>59.322731700358595</v>
      </c>
      <c r="BC16" s="243">
        <v>198.37894519704895</v>
      </c>
      <c r="BD16" s="209">
        <v>107702.19906540036</v>
      </c>
      <c r="BE16" s="244">
        <v>81.126845015828636</v>
      </c>
      <c r="BF16" s="209">
        <v>362664.5200462353</v>
      </c>
      <c r="BG16" t="s">
        <v>388</v>
      </c>
      <c r="BH16">
        <v>7.0122293687137059E-6</v>
      </c>
      <c r="BI16">
        <v>2277021.9906540038</v>
      </c>
      <c r="BJ16">
        <f t="shared" si="0"/>
        <v>0.15927141746315379</v>
      </c>
    </row>
    <row r="17" spans="1:62" x14ac:dyDescent="0.3">
      <c r="A17">
        <v>-0.1</v>
      </c>
      <c r="B17" s="146">
        <v>1000</v>
      </c>
      <c r="C17" s="146">
        <v>25</v>
      </c>
      <c r="D17" s="146">
        <v>600</v>
      </c>
      <c r="E17" s="249">
        <v>20.412487961729951</v>
      </c>
      <c r="F17">
        <v>4.3991033481544415</v>
      </c>
      <c r="G17">
        <v>23.286928433104617</v>
      </c>
      <c r="H17">
        <v>0</v>
      </c>
      <c r="J17">
        <v>1.8085504227052592E-4</v>
      </c>
      <c r="K17">
        <v>1E-8</v>
      </c>
      <c r="L17">
        <v>104.02030914549545</v>
      </c>
      <c r="M17">
        <v>62.412185001869155</v>
      </c>
      <c r="N17">
        <v>-3.8032382979661513E-3</v>
      </c>
      <c r="Z17" t="s">
        <v>35</v>
      </c>
      <c r="AL17">
        <v>473.68915421625451</v>
      </c>
      <c r="AM17">
        <v>0.18890869874880928</v>
      </c>
      <c r="AN17">
        <v>0.27728492483881551</v>
      </c>
      <c r="AO17">
        <v>526.38442939660126</v>
      </c>
      <c r="AP17">
        <v>475.59077336523757</v>
      </c>
      <c r="AQ17" t="s">
        <v>302</v>
      </c>
      <c r="AR17">
        <v>0</v>
      </c>
      <c r="AS17">
        <v>0</v>
      </c>
      <c r="AT17">
        <v>0</v>
      </c>
      <c r="AU17">
        <v>0</v>
      </c>
      <c r="AV17">
        <v>0</v>
      </c>
      <c r="AW17">
        <v>3</v>
      </c>
      <c r="AX17" s="141">
        <v>1.8101577184295538E-4</v>
      </c>
      <c r="AY17" s="141">
        <v>1E-8</v>
      </c>
      <c r="AZ17" s="209">
        <v>475.59077336523757</v>
      </c>
      <c r="BA17">
        <v>1.8101577184295538E-4</v>
      </c>
      <c r="BB17" s="249">
        <v>53.912354123490751</v>
      </c>
      <c r="BC17" s="243">
        <v>195.49822020313809</v>
      </c>
      <c r="BD17" s="209">
        <v>102086.0386118176</v>
      </c>
      <c r="BE17" s="244">
        <v>74.457298715840324</v>
      </c>
      <c r="BF17" s="209">
        <v>376851.58305254404</v>
      </c>
      <c r="BG17" t="s">
        <v>388</v>
      </c>
      <c r="BH17">
        <v>7.5901723246472947E-6</v>
      </c>
      <c r="BI17">
        <v>2220860.3861181759</v>
      </c>
      <c r="BJ17">
        <f t="shared" si="0"/>
        <v>0.16968720114425559</v>
      </c>
    </row>
    <row r="18" spans="1:62" x14ac:dyDescent="0.3">
      <c r="A18">
        <v>-0.1</v>
      </c>
      <c r="B18" s="146">
        <v>1000</v>
      </c>
      <c r="C18" s="146">
        <v>25</v>
      </c>
      <c r="D18" s="146">
        <v>700</v>
      </c>
      <c r="E18" s="249">
        <v>21.301569119665064</v>
      </c>
      <c r="F18">
        <v>3.7598534873121059</v>
      </c>
      <c r="G18">
        <v>23.839439235690037</v>
      </c>
      <c r="H18">
        <v>0</v>
      </c>
      <c r="J18">
        <v>2.0103773371750813E-4</v>
      </c>
      <c r="K18">
        <v>1E-8</v>
      </c>
      <c r="L18">
        <v>103.33856455677119</v>
      </c>
      <c r="M18">
        <v>62.003138251816083</v>
      </c>
      <c r="N18">
        <v>-4.4039816132381161E-3</v>
      </c>
      <c r="Z18" t="s">
        <v>35</v>
      </c>
      <c r="AL18">
        <v>567.4511793366546</v>
      </c>
      <c r="AM18">
        <v>0.15771568492614654</v>
      </c>
      <c r="AN18">
        <v>0.27542425920010871</v>
      </c>
      <c r="AO18">
        <v>622.65906720951375</v>
      </c>
      <c r="AP18">
        <v>569.65317014327377</v>
      </c>
      <c r="AQ18" t="s">
        <v>302</v>
      </c>
      <c r="AR18">
        <v>0</v>
      </c>
      <c r="AS18">
        <v>0</v>
      </c>
      <c r="AT18">
        <v>0</v>
      </c>
      <c r="AU18">
        <v>0</v>
      </c>
      <c r="AV18">
        <v>0</v>
      </c>
      <c r="AW18">
        <v>3</v>
      </c>
      <c r="AX18" s="141">
        <v>2.0120246796963612E-4</v>
      </c>
      <c r="AY18" s="141">
        <v>1E-8</v>
      </c>
      <c r="AZ18" s="209">
        <v>569.65317014327377</v>
      </c>
      <c r="BA18">
        <v>2.0120246796963612E-4</v>
      </c>
      <c r="BB18" s="249">
        <v>50.01457171112105</v>
      </c>
      <c r="BC18" s="243">
        <v>193.51040410267788</v>
      </c>
      <c r="BD18" s="209">
        <v>98110.198980427886</v>
      </c>
      <c r="BE18" s="244">
        <v>69.666944844889343</v>
      </c>
      <c r="BF18" s="209">
        <v>386358.22159904515</v>
      </c>
      <c r="BG18" t="s">
        <v>388</v>
      </c>
      <c r="BH18">
        <v>8.0265222738184896E-6</v>
      </c>
      <c r="BI18">
        <v>2181101.9898042791</v>
      </c>
      <c r="BJ18">
        <f t="shared" si="0"/>
        <v>0.17713899827018861</v>
      </c>
    </row>
    <row r="19" spans="1:62" x14ac:dyDescent="0.3">
      <c r="A19">
        <v>-0.1</v>
      </c>
      <c r="B19" s="146">
        <v>1000</v>
      </c>
      <c r="C19" s="146">
        <v>25</v>
      </c>
      <c r="D19" s="146">
        <v>800</v>
      </c>
      <c r="E19" s="249">
        <v>21.980446834337918</v>
      </c>
      <c r="F19">
        <v>3.2780050057758103</v>
      </c>
      <c r="G19">
        <v>24.264778236111244</v>
      </c>
      <c r="H19">
        <v>0</v>
      </c>
      <c r="J19">
        <v>2.21227023650223E-4</v>
      </c>
      <c r="K19">
        <v>1E-8</v>
      </c>
      <c r="L19">
        <v>102.84009892903872</v>
      </c>
      <c r="M19">
        <v>61.704058877502767</v>
      </c>
      <c r="N19">
        <v>-4.9945951132511594E-3</v>
      </c>
      <c r="Z19" t="s">
        <v>35</v>
      </c>
      <c r="AL19">
        <v>662.54940917175429</v>
      </c>
      <c r="AM19">
        <v>0.13509313680425189</v>
      </c>
      <c r="AN19">
        <v>0.27387199745547186</v>
      </c>
      <c r="AO19">
        <v>719.74189753404175</v>
      </c>
      <c r="AP19">
        <v>665.04670672837983</v>
      </c>
      <c r="AQ19" t="s">
        <v>302</v>
      </c>
      <c r="AR19">
        <v>0</v>
      </c>
      <c r="AS19">
        <v>0</v>
      </c>
      <c r="AT19">
        <v>0</v>
      </c>
      <c r="AU19">
        <v>0</v>
      </c>
      <c r="AV19">
        <v>0</v>
      </c>
      <c r="AW19">
        <v>3</v>
      </c>
      <c r="AX19" s="141">
        <v>2.2139497001112007E-4</v>
      </c>
      <c r="AY19" s="141">
        <v>1E-8</v>
      </c>
      <c r="AZ19" s="209">
        <v>665.04670672837983</v>
      </c>
      <c r="BA19">
        <v>2.2139497001112007E-4</v>
      </c>
      <c r="BB19" s="249">
        <v>47.08540542669995</v>
      </c>
      <c r="BC19" s="243">
        <v>192.06855068278065</v>
      </c>
      <c r="BD19" s="209">
        <v>95155.080952904726</v>
      </c>
      <c r="BE19" s="244">
        <v>66.063008871387467</v>
      </c>
      <c r="BF19" s="209">
        <v>393031.43423137954</v>
      </c>
      <c r="BG19" t="s">
        <v>388</v>
      </c>
      <c r="BH19">
        <v>8.3660552801853696E-6</v>
      </c>
      <c r="BI19">
        <v>2151550.8095290475</v>
      </c>
      <c r="BJ19">
        <f t="shared" si="0"/>
        <v>0.18267355457778386</v>
      </c>
    </row>
    <row r="20" spans="1:62" x14ac:dyDescent="0.3">
      <c r="A20">
        <v>-0.1</v>
      </c>
      <c r="B20" s="146">
        <v>1000</v>
      </c>
      <c r="C20" s="146">
        <v>25</v>
      </c>
      <c r="D20" s="146">
        <v>900</v>
      </c>
      <c r="E20" s="249">
        <v>22.513826768822515</v>
      </c>
      <c r="F20">
        <v>2.9029127264332821</v>
      </c>
      <c r="G20">
        <v>24.600875752160619</v>
      </c>
      <c r="H20">
        <v>0</v>
      </c>
      <c r="J20">
        <v>2.4141895872363637E-4</v>
      </c>
      <c r="K20">
        <v>1E-8</v>
      </c>
      <c r="L20">
        <v>102.46194182986716</v>
      </c>
      <c r="M20">
        <v>61.477164619764558</v>
      </c>
      <c r="N20">
        <v>-5.5777768653675914E-3</v>
      </c>
      <c r="Z20" t="s">
        <v>35</v>
      </c>
      <c r="AL20">
        <v>758.5921380226207</v>
      </c>
      <c r="AM20">
        <v>0.1180003815993554</v>
      </c>
      <c r="AN20">
        <v>0.27257711516811106</v>
      </c>
      <c r="AO20">
        <v>817.40382623487233</v>
      </c>
      <c r="AP20">
        <v>761.38102645530455</v>
      </c>
      <c r="AQ20" t="s">
        <v>302</v>
      </c>
      <c r="AR20">
        <v>0</v>
      </c>
      <c r="AS20">
        <v>0</v>
      </c>
      <c r="AT20">
        <v>0</v>
      </c>
      <c r="AU20">
        <v>0</v>
      </c>
      <c r="AV20">
        <v>0</v>
      </c>
      <c r="AW20">
        <v>3</v>
      </c>
      <c r="AX20" s="141">
        <v>2.4158954364261571E-4</v>
      </c>
      <c r="AY20" s="141">
        <v>1E-8</v>
      </c>
      <c r="AZ20" s="209">
        <v>761.38102645530455</v>
      </c>
      <c r="BA20">
        <v>2.4158954364261571E-4</v>
      </c>
      <c r="BB20" s="249">
        <v>44.810206887248519</v>
      </c>
      <c r="BC20" s="243">
        <v>190.98112036224319</v>
      </c>
      <c r="BD20" s="209">
        <v>92876.501021708187</v>
      </c>
      <c r="BE20" s="244">
        <v>63.255927686341309</v>
      </c>
      <c r="BF20" s="209">
        <v>397900.65454917058</v>
      </c>
      <c r="BG20" t="s">
        <v>388</v>
      </c>
      <c r="BH20">
        <v>8.6369981466325874E-6</v>
      </c>
      <c r="BI20">
        <v>2128765.0102170818</v>
      </c>
      <c r="BJ20">
        <f t="shared" si="0"/>
        <v>0.18691619443171628</v>
      </c>
    </row>
    <row r="21" spans="1:62" x14ac:dyDescent="0.3">
      <c r="A21">
        <v>-0.1</v>
      </c>
      <c r="B21" s="146">
        <v>1000</v>
      </c>
      <c r="C21" s="146">
        <v>25</v>
      </c>
      <c r="D21" s="146">
        <v>1000</v>
      </c>
      <c r="E21" s="249">
        <v>22.454138192518268</v>
      </c>
      <c r="F21">
        <v>2.6092643418708419</v>
      </c>
      <c r="G21">
        <v>24.371224118284772</v>
      </c>
      <c r="H21">
        <v>0</v>
      </c>
      <c r="J21">
        <v>4.1313835116757847E-2</v>
      </c>
      <c r="K21">
        <v>1E-8</v>
      </c>
      <c r="L21">
        <v>99.365824477030202</v>
      </c>
      <c r="M21">
        <v>59.61949422251093</v>
      </c>
      <c r="N21">
        <v>-0.70731596657510776</v>
      </c>
      <c r="Z21" t="s">
        <v>35</v>
      </c>
      <c r="AL21">
        <v>505.88472313636174</v>
      </c>
      <c r="AM21">
        <v>0.10706332719304047</v>
      </c>
      <c r="AN21">
        <v>0.26546744870653077</v>
      </c>
      <c r="AO21">
        <v>915.41660455199201</v>
      </c>
      <c r="AP21">
        <v>859.54270642391566</v>
      </c>
      <c r="AQ21" t="s">
        <v>302</v>
      </c>
      <c r="AR21">
        <v>0</v>
      </c>
      <c r="AS21">
        <v>0</v>
      </c>
      <c r="AT21">
        <v>0</v>
      </c>
      <c r="AU21">
        <v>0</v>
      </c>
      <c r="AV21">
        <v>0</v>
      </c>
      <c r="AW21">
        <v>3</v>
      </c>
      <c r="AX21" s="141">
        <v>5.0000010000000004E-2</v>
      </c>
      <c r="AY21" s="141">
        <v>1E-8</v>
      </c>
      <c r="AZ21" s="209">
        <v>859.54270642391566</v>
      </c>
      <c r="BA21">
        <v>5.0000010000000004E-2</v>
      </c>
      <c r="BB21" s="249">
        <v>42.516188320878783</v>
      </c>
      <c r="BC21" s="243">
        <v>182.27877069036015</v>
      </c>
      <c r="BD21" s="209">
        <v>89240.501631986539</v>
      </c>
      <c r="BE21" s="244">
        <v>62.70273124207305</v>
      </c>
      <c r="BF21" s="209">
        <v>385552.95141489687</v>
      </c>
      <c r="BG21" t="s">
        <v>388</v>
      </c>
      <c r="BH21">
        <v>8.7889391877861709E-6</v>
      </c>
      <c r="BI21">
        <v>2092405.0163198654</v>
      </c>
      <c r="BJ21">
        <f t="shared" si="0"/>
        <v>0.18426306016653016</v>
      </c>
    </row>
    <row r="22" spans="1:62" s="140" customFormat="1" x14ac:dyDescent="0.3">
      <c r="A22" s="140">
        <v>-0.1</v>
      </c>
      <c r="B22" s="140">
        <v>1000</v>
      </c>
      <c r="C22" s="140">
        <v>25</v>
      </c>
      <c r="D22" s="140">
        <v>1100</v>
      </c>
      <c r="E22" s="253">
        <v>23.297623057763445</v>
      </c>
      <c r="F22" s="140">
        <v>2.3589644963423213</v>
      </c>
      <c r="G22" s="140">
        <v>25.098765980349928</v>
      </c>
      <c r="H22" s="140">
        <v>0</v>
      </c>
      <c r="J22" s="140">
        <v>2.8150427071614017E-4</v>
      </c>
      <c r="K22" s="140">
        <v>1E-8</v>
      </c>
      <c r="L22" s="140">
        <v>101.93504642528595</v>
      </c>
      <c r="M22" s="140">
        <v>61.161027379474689</v>
      </c>
      <c r="N22" s="140">
        <v>-6.7223362628791037E-3</v>
      </c>
      <c r="Z22" s="140" t="s">
        <v>35</v>
      </c>
      <c r="AL22" s="140">
        <v>952.54768640709062</v>
      </c>
      <c r="AM22" s="140">
        <v>9.3987270058981304E-2</v>
      </c>
      <c r="AN22" s="140">
        <v>0.27053140051899294</v>
      </c>
      <c r="AO22" s="140">
        <v>1013.8820003405564</v>
      </c>
      <c r="AP22" s="140">
        <v>955.90885453853025</v>
      </c>
      <c r="AQ22" s="140" t="s">
        <v>302</v>
      </c>
      <c r="AR22" s="140">
        <v>0</v>
      </c>
      <c r="AS22" s="140">
        <v>0</v>
      </c>
      <c r="AT22" s="140">
        <v>0</v>
      </c>
      <c r="AU22" s="140">
        <v>0</v>
      </c>
      <c r="AV22" s="140">
        <v>0</v>
      </c>
      <c r="AW22">
        <v>3</v>
      </c>
      <c r="AX22" s="141">
        <v>2.8167874922488271E-4</v>
      </c>
      <c r="AY22" s="205">
        <v>1E-8</v>
      </c>
      <c r="AZ22" s="209">
        <v>955.90885453853025</v>
      </c>
      <c r="BA22" s="140">
        <v>2.8167874922488271E-4</v>
      </c>
      <c r="BB22" s="253">
        <v>41.521269295821185</v>
      </c>
      <c r="BC22" s="245">
        <v>189.47509368369242</v>
      </c>
      <c r="BD22" s="210">
        <v>89617.047754782776</v>
      </c>
      <c r="BE22" s="245">
        <v>59.189176082435118</v>
      </c>
      <c r="BF22" s="210">
        <v>404520.59791150317</v>
      </c>
      <c r="BG22" t="s">
        <v>388</v>
      </c>
      <c r="BH22" s="140">
        <v>9.0409842245281766E-6</v>
      </c>
      <c r="BI22" s="140">
        <v>2096170.4775478276</v>
      </c>
      <c r="BJ22">
        <f t="shared" si="0"/>
        <v>0.19298077243446596</v>
      </c>
    </row>
    <row r="23" spans="1:62" x14ac:dyDescent="0.3">
      <c r="A23">
        <v>-0.1</v>
      </c>
      <c r="B23" s="146">
        <v>1000</v>
      </c>
      <c r="C23" s="146">
        <v>25</v>
      </c>
      <c r="D23" s="146">
        <v>400</v>
      </c>
      <c r="E23" s="249">
        <v>17.483573924354996</v>
      </c>
      <c r="F23">
        <v>6.5562582542086112</v>
      </c>
      <c r="G23">
        <v>21.495082589754116</v>
      </c>
      <c r="H23">
        <v>0</v>
      </c>
      <c r="J23">
        <v>1.4157486582764666E-4</v>
      </c>
      <c r="K23">
        <v>1E-8</v>
      </c>
      <c r="L23">
        <v>106.42689294750636</v>
      </c>
      <c r="M23">
        <v>63.856135271844977</v>
      </c>
      <c r="N23">
        <v>-2.56922415877698E-3</v>
      </c>
      <c r="Z23" t="s">
        <v>35</v>
      </c>
      <c r="AL23">
        <v>293.27173794726588</v>
      </c>
      <c r="AM23">
        <v>0.30501200573817422</v>
      </c>
      <c r="AN23">
        <v>0.28227494170865025</v>
      </c>
      <c r="AO23">
        <v>338.06189873417583</v>
      </c>
      <c r="AP23">
        <v>294.55635002665434</v>
      </c>
      <c r="AQ23" t="s">
        <v>302</v>
      </c>
      <c r="AR23">
        <v>0</v>
      </c>
      <c r="AS23">
        <v>0</v>
      </c>
      <c r="AT23">
        <v>0</v>
      </c>
      <c r="AU23">
        <v>0</v>
      </c>
      <c r="AV23">
        <v>0</v>
      </c>
      <c r="AW23" s="146">
        <v>3</v>
      </c>
      <c r="AX23" s="141">
        <v>1.4172482560829833E-4</v>
      </c>
      <c r="AY23" s="141">
        <v>1E-8</v>
      </c>
      <c r="AZ23" s="209">
        <v>294.55635002665434</v>
      </c>
      <c r="BA23" s="198">
        <v>1.4172482560829833E-4</v>
      </c>
      <c r="BB23" s="249">
        <v>67.138066170942651</v>
      </c>
      <c r="BC23" s="243">
        <v>202.66641235886297</v>
      </c>
      <c r="BD23" s="209">
        <v>115882.01944454643</v>
      </c>
      <c r="BE23" s="244">
        <v>90.685402959063524</v>
      </c>
      <c r="BF23" s="209">
        <v>339218.65758426196</v>
      </c>
      <c r="BG23" t="s">
        <v>389</v>
      </c>
      <c r="BH23">
        <v>6.221431578390823E-6</v>
      </c>
      <c r="BI23">
        <v>2358820.1944454643</v>
      </c>
      <c r="BJ23">
        <f t="shared" si="0"/>
        <v>0.14380861177255139</v>
      </c>
    </row>
    <row r="24" spans="1:62" x14ac:dyDescent="0.3">
      <c r="A24">
        <v>-0.1</v>
      </c>
      <c r="B24" s="146">
        <v>1000</v>
      </c>
      <c r="C24" s="146">
        <v>25</v>
      </c>
      <c r="D24" s="146">
        <v>400</v>
      </c>
      <c r="E24" s="249">
        <v>16.900646572211272</v>
      </c>
      <c r="F24">
        <v>6.2365431326637184</v>
      </c>
      <c r="G24">
        <v>20.712325963067251</v>
      </c>
      <c r="H24">
        <v>0</v>
      </c>
      <c r="J24">
        <v>1.3750335510973852E-4</v>
      </c>
      <c r="K24">
        <v>1E-8</v>
      </c>
      <c r="L24">
        <v>102.5682979571029</v>
      </c>
      <c r="M24">
        <v>61.540978295609683</v>
      </c>
      <c r="N24">
        <v>-2.4107470715957631E-3</v>
      </c>
      <c r="Z24" t="s">
        <v>35</v>
      </c>
      <c r="AL24">
        <v>297.17498955200369</v>
      </c>
      <c r="AM24">
        <v>0.30110298301524802</v>
      </c>
      <c r="AN24">
        <v>0.2837363673878131</v>
      </c>
      <c r="AO24">
        <v>340.43538821686775</v>
      </c>
      <c r="AP24">
        <v>298.38036308780158</v>
      </c>
      <c r="AQ24" t="s">
        <v>302</v>
      </c>
      <c r="AR24">
        <v>0</v>
      </c>
      <c r="AS24">
        <v>0</v>
      </c>
      <c r="AT24">
        <v>0</v>
      </c>
      <c r="AU24">
        <v>0</v>
      </c>
      <c r="AV24">
        <v>0</v>
      </c>
      <c r="AW24" s="146">
        <v>2.5</v>
      </c>
      <c r="AX24" s="141">
        <v>1.3763441485547075E-4</v>
      </c>
      <c r="AY24" s="141">
        <v>1E-8</v>
      </c>
      <c r="AZ24" s="209">
        <v>298.38036308780158</v>
      </c>
      <c r="BA24">
        <v>1.3763441485547075E-4</v>
      </c>
      <c r="BB24" s="249">
        <v>64.129535145732206</v>
      </c>
      <c r="BC24" s="243">
        <v>191.28640265728407</v>
      </c>
      <c r="BD24" s="209">
        <v>108330.22016551126</v>
      </c>
      <c r="BE24" s="244">
        <v>86.076727152363873</v>
      </c>
      <c r="BF24" s="209">
        <v>386986.00011299085</v>
      </c>
      <c r="BG24" t="s">
        <v>389</v>
      </c>
      <c r="BH24">
        <v>6.061516301656454E-6</v>
      </c>
      <c r="BI24">
        <v>2283302.2016551127</v>
      </c>
      <c r="BJ24">
        <f t="shared" si="0"/>
        <v>0.16948523057196446</v>
      </c>
    </row>
    <row r="25" spans="1:62" x14ac:dyDescent="0.3">
      <c r="A25">
        <v>-0.1</v>
      </c>
      <c r="B25" s="146">
        <v>1000</v>
      </c>
      <c r="C25" s="146">
        <v>25</v>
      </c>
      <c r="D25" s="146">
        <v>400</v>
      </c>
      <c r="E25" s="249">
        <v>14.759590278151583</v>
      </c>
      <c r="F25">
        <v>5.1532938474069976</v>
      </c>
      <c r="G25">
        <v>17.899786433655482</v>
      </c>
      <c r="H25">
        <v>0</v>
      </c>
      <c r="J25">
        <v>1.2519665675775579E-4</v>
      </c>
      <c r="K25">
        <v>1E-8</v>
      </c>
      <c r="L25">
        <v>88.645911307801114</v>
      </c>
      <c r="M25">
        <v>53.187546370999748</v>
      </c>
      <c r="N25">
        <v>-1.9134057264047308E-3</v>
      </c>
      <c r="Z25" t="s">
        <v>35</v>
      </c>
      <c r="AL25">
        <v>311.11052394072431</v>
      </c>
      <c r="AM25">
        <v>0.28789694595001913</v>
      </c>
      <c r="AN25">
        <v>0.28824152885792492</v>
      </c>
      <c r="AO25">
        <v>348.79436583398558</v>
      </c>
      <c r="AP25">
        <v>312.06722680392664</v>
      </c>
      <c r="AQ25" t="s">
        <v>302</v>
      </c>
      <c r="AR25">
        <v>0</v>
      </c>
      <c r="AS25">
        <v>0</v>
      </c>
      <c r="AT25">
        <v>0</v>
      </c>
      <c r="AU25">
        <v>0</v>
      </c>
      <c r="AV25">
        <v>0</v>
      </c>
      <c r="AW25" s="146">
        <v>1.5</v>
      </c>
      <c r="AX25" s="141">
        <v>1.2527928229867053E-4</v>
      </c>
      <c r="AY25" s="141">
        <v>1E-8</v>
      </c>
      <c r="AZ25" s="209">
        <v>312.06722680392664</v>
      </c>
      <c r="BA25">
        <v>1.2527928229867053E-4</v>
      </c>
      <c r="BB25" s="249">
        <v>53.775692813231593</v>
      </c>
      <c r="BC25" s="243">
        <v>154.59009336518159</v>
      </c>
      <c r="BD25" s="209">
        <v>84257.284125405393</v>
      </c>
      <c r="BE25" s="244">
        <v>70.829599354977887</v>
      </c>
      <c r="BF25" s="209">
        <v>508303.87246151728</v>
      </c>
      <c r="BG25" t="s">
        <v>389</v>
      </c>
      <c r="BH25">
        <v>5.4930943491906795E-6</v>
      </c>
      <c r="BI25">
        <v>2042572.8412540539</v>
      </c>
      <c r="BJ25">
        <f t="shared" si="0"/>
        <v>0.24885471019454075</v>
      </c>
    </row>
    <row r="26" spans="1:62" x14ac:dyDescent="0.3">
      <c r="A26">
        <v>-0.1</v>
      </c>
      <c r="B26" s="146">
        <v>1000</v>
      </c>
      <c r="C26" s="146">
        <v>25</v>
      </c>
      <c r="D26" s="146">
        <v>400</v>
      </c>
      <c r="E26" s="249">
        <v>12.569339243152887</v>
      </c>
      <c r="F26">
        <v>4.1598013725869922</v>
      </c>
      <c r="G26">
        <v>15.10164177875618</v>
      </c>
      <c r="H26">
        <v>0</v>
      </c>
      <c r="J26">
        <v>3.6038768943684892E-5</v>
      </c>
      <c r="K26">
        <v>1E-8</v>
      </c>
      <c r="L26">
        <v>75.384202026423765</v>
      </c>
      <c r="M26">
        <v>45.230520864061312</v>
      </c>
      <c r="N26">
        <v>-4.6900695865644346E-4</v>
      </c>
      <c r="Z26" t="s">
        <v>35</v>
      </c>
      <c r="AL26">
        <v>325.92995072931575</v>
      </c>
      <c r="AM26">
        <v>0.27545358534716924</v>
      </c>
      <c r="AN26">
        <v>0.2953427175234094</v>
      </c>
      <c r="AO26">
        <v>357.44151286832857</v>
      </c>
      <c r="AP26">
        <v>326.16445420864392</v>
      </c>
      <c r="AQ26" t="s">
        <v>302</v>
      </c>
      <c r="AR26">
        <v>0</v>
      </c>
      <c r="AS26">
        <v>0</v>
      </c>
      <c r="AT26">
        <v>0</v>
      </c>
      <c r="AU26">
        <v>0</v>
      </c>
      <c r="AV26">
        <v>0</v>
      </c>
      <c r="AW26" s="146">
        <v>1</v>
      </c>
      <c r="AX26" s="141">
        <v>3.6043622613516198E-5</v>
      </c>
      <c r="AY26" s="141">
        <v>1E-8</v>
      </c>
      <c r="AZ26" s="209">
        <v>326.16445420864392</v>
      </c>
      <c r="BA26">
        <v>3.6043622613516198E-5</v>
      </c>
      <c r="BB26" s="249">
        <v>44.061109257076865</v>
      </c>
      <c r="BC26" s="243">
        <v>124.52538544151032</v>
      </c>
      <c r="BD26" s="209">
        <v>64171.232264011865</v>
      </c>
      <c r="BE26" s="244">
        <v>56.435354282408028</v>
      </c>
      <c r="BF26" s="209">
        <v>551753.82709146349</v>
      </c>
      <c r="BG26" t="s">
        <v>389</v>
      </c>
      <c r="BH26">
        <v>4.9439432829347791E-6</v>
      </c>
      <c r="BI26">
        <v>1841712.3226401187</v>
      </c>
      <c r="BJ26">
        <f t="shared" si="0"/>
        <v>0.29958741129587341</v>
      </c>
    </row>
    <row r="27" spans="1:62" x14ac:dyDescent="0.3">
      <c r="A27">
        <v>-0.1</v>
      </c>
      <c r="B27" s="146">
        <v>1000</v>
      </c>
      <c r="C27" s="146">
        <v>25</v>
      </c>
      <c r="D27" s="146">
        <v>400</v>
      </c>
      <c r="E27" s="249">
        <v>11.678103749610946</v>
      </c>
      <c r="F27">
        <v>3.7949957597754511</v>
      </c>
      <c r="G27">
        <v>13.985427730413155</v>
      </c>
      <c r="H27">
        <v>0</v>
      </c>
      <c r="J27">
        <v>1.1272376569458664E-4</v>
      </c>
      <c r="K27">
        <v>1E-8</v>
      </c>
      <c r="L27">
        <v>69.18750660226388</v>
      </c>
      <c r="M27">
        <v>41.512503638483295</v>
      </c>
      <c r="N27">
        <v>-1.3602855573857833E-3</v>
      </c>
      <c r="Z27" t="s">
        <v>35</v>
      </c>
      <c r="AL27">
        <v>330.41256047964254</v>
      </c>
      <c r="AM27">
        <v>0.27135357122633674</v>
      </c>
      <c r="AN27">
        <v>0.29306691502123466</v>
      </c>
      <c r="AO27">
        <v>360.15209103775913</v>
      </c>
      <c r="AP27">
        <v>331.0927032583354</v>
      </c>
      <c r="AQ27" t="s">
        <v>302</v>
      </c>
      <c r="AR27">
        <v>0</v>
      </c>
      <c r="AS27">
        <v>0</v>
      </c>
      <c r="AT27">
        <v>0</v>
      </c>
      <c r="AU27">
        <v>0</v>
      </c>
      <c r="AV27">
        <v>0</v>
      </c>
      <c r="AW27" s="146">
        <v>0.8</v>
      </c>
      <c r="AX27" s="141">
        <v>1.1276873114943637E-4</v>
      </c>
      <c r="AY27" s="141">
        <v>1E-8</v>
      </c>
      <c r="AZ27" s="209">
        <v>331.0927032583354</v>
      </c>
      <c r="BA27">
        <v>1.1276873114943637E-4</v>
      </c>
      <c r="BB27" s="249">
        <v>40.40521223452054</v>
      </c>
      <c r="BC27" s="243">
        <v>111.7251591133561</v>
      </c>
      <c r="BD27" s="209">
        <v>57106.638910900358</v>
      </c>
      <c r="BE27" s="244">
        <v>52.205281252437949</v>
      </c>
      <c r="BF27" s="209">
        <v>601259.40693253512</v>
      </c>
      <c r="BG27" t="s">
        <v>389</v>
      </c>
      <c r="BH27">
        <v>4.6043637367994103E-6</v>
      </c>
      <c r="BI27">
        <v>1771066.3891090036</v>
      </c>
      <c r="BJ27">
        <f t="shared" si="0"/>
        <v>0.33949004432014518</v>
      </c>
    </row>
    <row r="28" spans="1:62" x14ac:dyDescent="0.3">
      <c r="A28">
        <v>-0.1</v>
      </c>
      <c r="B28" s="146">
        <v>1000</v>
      </c>
      <c r="C28" s="146">
        <v>25</v>
      </c>
      <c r="D28" s="146">
        <v>400</v>
      </c>
      <c r="E28" s="249">
        <v>9.9926308173900473</v>
      </c>
      <c r="F28">
        <v>3.2096232130853131</v>
      </c>
      <c r="G28">
        <v>11.941649868325616</v>
      </c>
      <c r="H28">
        <v>0</v>
      </c>
      <c r="J28">
        <v>4.4741539824302588E-2</v>
      </c>
      <c r="K28">
        <v>1E-8</v>
      </c>
      <c r="L28">
        <v>60.245140388949061</v>
      </c>
      <c r="M28">
        <v>36.147083952225444</v>
      </c>
      <c r="N28">
        <v>-0.28482759216627396</v>
      </c>
      <c r="Z28" t="s">
        <v>35</v>
      </c>
      <c r="AL28">
        <v>199.48711099210732</v>
      </c>
      <c r="AM28">
        <v>0.26877552503013946</v>
      </c>
      <c r="AN28">
        <v>0.30067641794228289</v>
      </c>
      <c r="AO28">
        <v>366.76616381897895</v>
      </c>
      <c r="AP28">
        <v>341.90090707524433</v>
      </c>
      <c r="AQ28" t="s">
        <v>302</v>
      </c>
      <c r="AR28">
        <v>0</v>
      </c>
      <c r="AS28">
        <v>0</v>
      </c>
      <c r="AT28">
        <v>0</v>
      </c>
      <c r="AU28">
        <v>0</v>
      </c>
      <c r="AV28">
        <v>0</v>
      </c>
      <c r="AW28" s="146">
        <v>0.6</v>
      </c>
      <c r="AX28" s="141">
        <v>5.0000010000000004E-2</v>
      </c>
      <c r="AY28" s="141">
        <v>1E-8</v>
      </c>
      <c r="AZ28" s="209">
        <v>341.90090707524433</v>
      </c>
      <c r="BA28">
        <v>5.0000010000000004E-2</v>
      </c>
      <c r="BB28" s="249">
        <v>34.276511850323416</v>
      </c>
      <c r="BC28" s="243">
        <v>94.388675092972107</v>
      </c>
      <c r="BD28" s="209">
        <v>45968.808991833532</v>
      </c>
      <c r="BE28" s="244">
        <v>43.294302664193275</v>
      </c>
      <c r="BF28" s="209">
        <v>584091.27387586434</v>
      </c>
      <c r="BG28" t="s">
        <v>389</v>
      </c>
      <c r="BH28">
        <v>4.1320011969201972E-6</v>
      </c>
      <c r="BI28">
        <v>1659688.0899183354</v>
      </c>
      <c r="BJ28">
        <f t="shared" si="0"/>
        <v>0.35192833968255111</v>
      </c>
    </row>
    <row r="29" spans="1:62" x14ac:dyDescent="0.3">
      <c r="A29">
        <v>-0.1</v>
      </c>
      <c r="B29" s="146">
        <v>1000</v>
      </c>
      <c r="C29" s="146">
        <v>25</v>
      </c>
      <c r="D29" s="146">
        <v>400</v>
      </c>
      <c r="E29" s="249">
        <v>8.4703397317355567</v>
      </c>
      <c r="F29">
        <v>2.5707919453262713</v>
      </c>
      <c r="G29">
        <v>10.033120324470325</v>
      </c>
      <c r="H29">
        <v>0</v>
      </c>
      <c r="J29">
        <v>9.9999997876722843E-9</v>
      </c>
      <c r="K29">
        <v>1E-8</v>
      </c>
      <c r="L29">
        <v>49.884753073177833</v>
      </c>
      <c r="M29">
        <v>29.930851611111184</v>
      </c>
      <c r="N29">
        <v>-8.7477232904099282E-8</v>
      </c>
      <c r="Z29" t="s">
        <v>35</v>
      </c>
      <c r="AL29">
        <v>350.63404613277692</v>
      </c>
      <c r="AM29">
        <v>0.256230550635003</v>
      </c>
      <c r="AN29">
        <v>0.2994260839177999</v>
      </c>
      <c r="AO29">
        <v>371.71141665112623</v>
      </c>
      <c r="AP29">
        <v>350.63408987139343</v>
      </c>
      <c r="AQ29" t="s">
        <v>302</v>
      </c>
      <c r="AR29">
        <v>0</v>
      </c>
      <c r="AS29">
        <v>0</v>
      </c>
      <c r="AT29">
        <v>0</v>
      </c>
      <c r="AU29">
        <v>0</v>
      </c>
      <c r="AV29">
        <v>0</v>
      </c>
      <c r="AW29" s="146">
        <v>0.4</v>
      </c>
      <c r="AX29" s="141">
        <v>9.9999999999948221E-9</v>
      </c>
      <c r="AY29" s="141">
        <v>1E-8</v>
      </c>
      <c r="AZ29" s="209">
        <v>350.63408987139343</v>
      </c>
      <c r="BA29">
        <v>9.9999999999948221E-9</v>
      </c>
      <c r="BB29" s="249">
        <v>27.930312787045882</v>
      </c>
      <c r="BC29" s="243">
        <v>75.713140796291214</v>
      </c>
      <c r="BD29" s="209">
        <v>35443.872432127035</v>
      </c>
      <c r="BE29" s="244">
        <v>35.240707232362006</v>
      </c>
      <c r="BF29" s="209">
        <v>620990.62804193213</v>
      </c>
      <c r="BG29" t="s">
        <v>389</v>
      </c>
      <c r="BH29">
        <v>3.5604273824977744E-6</v>
      </c>
      <c r="BI29">
        <v>1554438.7243212704</v>
      </c>
      <c r="BJ29">
        <f t="shared" si="0"/>
        <v>0.39949508354733076</v>
      </c>
    </row>
    <row r="30" spans="1:62" x14ac:dyDescent="0.3">
      <c r="A30">
        <v>-0.1</v>
      </c>
      <c r="B30" s="146">
        <v>1000</v>
      </c>
      <c r="C30" s="146">
        <v>25</v>
      </c>
      <c r="D30" s="146">
        <v>400</v>
      </c>
      <c r="E30" s="249">
        <v>7.362061888300576</v>
      </c>
      <c r="F30">
        <v>2.1872096620971759</v>
      </c>
      <c r="G30">
        <v>8.6911354147314768</v>
      </c>
      <c r="H30">
        <v>0</v>
      </c>
      <c r="J30">
        <v>7.8013905786159746E-4</v>
      </c>
      <c r="K30">
        <v>1E-8</v>
      </c>
      <c r="L30">
        <v>42.929895281254765</v>
      </c>
      <c r="M30">
        <v>25.757936968413343</v>
      </c>
      <c r="N30">
        <v>-5.8881680246565251E-3</v>
      </c>
      <c r="Z30" t="s">
        <v>35</v>
      </c>
      <c r="AL30">
        <v>354.06071306629781</v>
      </c>
      <c r="AM30">
        <v>0.25165983012873727</v>
      </c>
      <c r="AN30">
        <v>0.29835203116370196</v>
      </c>
      <c r="AO30">
        <v>375.32424411663851</v>
      </c>
      <c r="AP30">
        <v>357.00479707862604</v>
      </c>
      <c r="AQ30" t="s">
        <v>302</v>
      </c>
      <c r="AR30">
        <v>0</v>
      </c>
      <c r="AS30">
        <v>0</v>
      </c>
      <c r="AT30">
        <v>0</v>
      </c>
      <c r="AU30">
        <v>0</v>
      </c>
      <c r="AV30">
        <v>0</v>
      </c>
      <c r="AW30" s="146">
        <v>0.3</v>
      </c>
      <c r="AX30" s="141">
        <v>7.8125999999999998E-4</v>
      </c>
      <c r="AY30" s="141">
        <v>1E-8</v>
      </c>
      <c r="AZ30" s="209">
        <v>357.00479707862604</v>
      </c>
      <c r="BA30">
        <v>7.8125999999999998E-4</v>
      </c>
      <c r="BB30" s="249">
        <v>23.917924590838627</v>
      </c>
      <c r="BC30" s="243">
        <v>63.89202996466117</v>
      </c>
      <c r="BD30" s="209">
        <v>29194.706853023195</v>
      </c>
      <c r="BE30" s="244">
        <v>30.295448188263826</v>
      </c>
      <c r="BF30" s="209">
        <v>621627.49838336185</v>
      </c>
      <c r="BG30" t="s">
        <v>389</v>
      </c>
      <c r="BH30">
        <v>3.1459756596374617E-6</v>
      </c>
      <c r="BI30">
        <v>1491947.0685302319</v>
      </c>
      <c r="BJ30">
        <f t="shared" si="0"/>
        <v>0.41665519608262536</v>
      </c>
    </row>
    <row r="31" spans="1:62" x14ac:dyDescent="0.3">
      <c r="A31">
        <v>-0.1</v>
      </c>
      <c r="B31" s="146">
        <v>1000</v>
      </c>
      <c r="C31" s="146">
        <v>25</v>
      </c>
      <c r="D31" s="146">
        <v>400</v>
      </c>
      <c r="E31" s="249">
        <v>6.0766114767959234</v>
      </c>
      <c r="F31">
        <v>1.7614262314547824</v>
      </c>
      <c r="G31">
        <v>7.1470142643318724</v>
      </c>
      <c r="H31">
        <v>0</v>
      </c>
      <c r="J31">
        <v>9.9164659480863705E-5</v>
      </c>
      <c r="K31">
        <v>1E-8</v>
      </c>
      <c r="L31">
        <v>35.197546424739841</v>
      </c>
      <c r="M31">
        <v>21.118527690588685</v>
      </c>
      <c r="N31">
        <v>-6.2097885395388395E-4</v>
      </c>
      <c r="Z31" t="s">
        <v>35</v>
      </c>
      <c r="AL31">
        <v>364.22958222870005</v>
      </c>
      <c r="AM31">
        <v>0.24645623561231925</v>
      </c>
      <c r="AN31">
        <v>0.2987644216245014</v>
      </c>
      <c r="AO31">
        <v>379.66085973773261</v>
      </c>
      <c r="AP31">
        <v>364.54007165567702</v>
      </c>
      <c r="AQ31" t="s">
        <v>302</v>
      </c>
      <c r="AR31">
        <v>0</v>
      </c>
      <c r="AS31">
        <v>0</v>
      </c>
      <c r="AT31">
        <v>0</v>
      </c>
      <c r="AU31">
        <v>0</v>
      </c>
      <c r="AV31">
        <v>0</v>
      </c>
      <c r="AW31" s="146">
        <v>0.2</v>
      </c>
      <c r="AX31" s="141">
        <v>9.9179021275420601E-5</v>
      </c>
      <c r="AY31" s="141">
        <v>1E-8</v>
      </c>
      <c r="AZ31" s="209">
        <v>364.54007165567702</v>
      </c>
      <c r="BA31">
        <v>9.9179021275420601E-5</v>
      </c>
      <c r="BB31" s="249">
        <v>19.409610727299551</v>
      </c>
      <c r="BC31" s="243">
        <v>51.327609731137578</v>
      </c>
      <c r="BD31" s="209">
        <v>22622.323848630673</v>
      </c>
      <c r="BE31" s="244">
        <v>24.548258992285369</v>
      </c>
      <c r="BF31" s="209">
        <v>636212.98231808585</v>
      </c>
      <c r="BG31" t="s">
        <v>389</v>
      </c>
      <c r="BH31">
        <v>2.6023713057140147E-6</v>
      </c>
      <c r="BI31">
        <v>1426223.2384863067</v>
      </c>
      <c r="BJ31">
        <f t="shared" si="0"/>
        <v>0.44608232789231345</v>
      </c>
    </row>
    <row r="32" spans="1:62" s="140" customFormat="1" x14ac:dyDescent="0.3">
      <c r="A32" s="140">
        <v>-0.1</v>
      </c>
      <c r="B32" s="140">
        <v>1000</v>
      </c>
      <c r="C32" s="140">
        <v>25</v>
      </c>
      <c r="D32" s="140">
        <v>400</v>
      </c>
      <c r="E32" s="253">
        <v>4.1896251070660426</v>
      </c>
      <c r="F32" s="140">
        <v>1.1726456794988207</v>
      </c>
      <c r="G32" s="140">
        <v>4.9025721614646942</v>
      </c>
      <c r="H32" s="140">
        <v>0</v>
      </c>
      <c r="J32" s="140">
        <v>9.6208031815623471E-5</v>
      </c>
      <c r="K32" s="140">
        <v>1E-8</v>
      </c>
      <c r="L32" s="140">
        <v>24.094945886716339</v>
      </c>
      <c r="M32" s="140">
        <v>14.456967419586721</v>
      </c>
      <c r="N32" s="140">
        <v>-4.1507984083838324E-4</v>
      </c>
      <c r="Z32" s="140" t="s">
        <v>35</v>
      </c>
      <c r="AL32" s="140">
        <v>375.40688150610714</v>
      </c>
      <c r="AM32" s="140">
        <v>0.23918988663054797</v>
      </c>
      <c r="AN32" s="140">
        <v>0.30011018100603726</v>
      </c>
      <c r="AO32" s="140">
        <v>386.03971017237245</v>
      </c>
      <c r="AP32" s="140">
        <v>375.61442142652629</v>
      </c>
      <c r="AQ32" s="140" t="s">
        <v>302</v>
      </c>
      <c r="AR32" s="140">
        <v>0</v>
      </c>
      <c r="AS32" s="140">
        <v>0</v>
      </c>
      <c r="AT32" s="140">
        <v>0</v>
      </c>
      <c r="AU32" s="140">
        <v>0</v>
      </c>
      <c r="AV32" s="140">
        <v>0</v>
      </c>
      <c r="AW32" s="146">
        <v>0.1</v>
      </c>
      <c r="AX32" s="141">
        <v>9.6216765577380409E-5</v>
      </c>
      <c r="AY32" s="205">
        <v>1E-8</v>
      </c>
      <c r="AZ32" s="209">
        <v>375.61442142652629</v>
      </c>
      <c r="BA32" s="140">
        <v>9.6216765577380409E-5</v>
      </c>
      <c r="BB32" s="253">
        <v>13.066229835071477</v>
      </c>
      <c r="BC32" s="245">
        <v>34.203765422213188</v>
      </c>
      <c r="BD32" s="210">
        <v>14181.700223361655</v>
      </c>
      <c r="BE32" s="245">
        <v>16.445920437483288</v>
      </c>
      <c r="BF32" s="210">
        <v>603476.78062969039</v>
      </c>
      <c r="BG32" t="s">
        <v>389</v>
      </c>
      <c r="BH32" s="140">
        <v>1.8089523977641088E-6</v>
      </c>
      <c r="BI32" s="140">
        <v>1341817.0022336165</v>
      </c>
      <c r="BJ32">
        <f t="shared" si="0"/>
        <v>0.44974596358902175</v>
      </c>
    </row>
    <row r="33" spans="1:62" x14ac:dyDescent="0.3">
      <c r="A33">
        <v>-0.1</v>
      </c>
      <c r="B33" s="146">
        <v>1000</v>
      </c>
      <c r="C33" s="146">
        <v>25</v>
      </c>
      <c r="D33" s="146">
        <v>400</v>
      </c>
      <c r="E33" s="249">
        <v>17.48374036706149</v>
      </c>
      <c r="F33">
        <v>6.5563654454790923</v>
      </c>
      <c r="G33">
        <v>21.495312942344288</v>
      </c>
      <c r="H33">
        <v>0</v>
      </c>
      <c r="J33">
        <v>1.4160122607374169E-4</v>
      </c>
      <c r="K33">
        <v>1E-8</v>
      </c>
      <c r="L33">
        <v>106.427325224649</v>
      </c>
      <c r="M33">
        <v>63.856394638128542</v>
      </c>
      <c r="N33">
        <v>-2.5697254589450527E-3</v>
      </c>
      <c r="Z33" t="s">
        <v>35</v>
      </c>
      <c r="AL33">
        <v>293.26982818065733</v>
      </c>
      <c r="AM33">
        <v>0.30501372383202213</v>
      </c>
      <c r="AN33">
        <v>0.2822711459070027</v>
      </c>
      <c r="AO33">
        <v>338.06047617484182</v>
      </c>
      <c r="AP33">
        <v>294.55469091012981</v>
      </c>
      <c r="AQ33" t="s">
        <v>302</v>
      </c>
      <c r="AR33">
        <v>0</v>
      </c>
      <c r="AS33">
        <v>0</v>
      </c>
      <c r="AT33">
        <v>0</v>
      </c>
      <c r="AU33">
        <v>0</v>
      </c>
      <c r="AV33">
        <v>0</v>
      </c>
      <c r="AW33" s="146">
        <v>3</v>
      </c>
      <c r="AX33" s="141">
        <v>1.4175125387657858E-4</v>
      </c>
      <c r="AY33" s="141">
        <v>1E-8</v>
      </c>
      <c r="AZ33" s="209">
        <v>294.55469091012981</v>
      </c>
      <c r="BA33" s="198">
        <v>1.4175125387657858E-4</v>
      </c>
      <c r="BB33" s="249">
        <v>67.13904276139958</v>
      </c>
      <c r="BC33" s="243">
        <v>202.66772171730057</v>
      </c>
      <c r="BD33" s="209">
        <v>115884.45871891674</v>
      </c>
      <c r="BE33" s="244">
        <v>90.688219300000014</v>
      </c>
      <c r="BF33" s="209">
        <v>339227.06208636955</v>
      </c>
      <c r="BG33" t="s">
        <v>390</v>
      </c>
      <c r="BH33">
        <v>6.221413756527404E-6</v>
      </c>
      <c r="BI33">
        <v>2358844.5871891673</v>
      </c>
      <c r="BJ33">
        <f t="shared" si="0"/>
        <v>0.14381068762592678</v>
      </c>
    </row>
    <row r="34" spans="1:62" x14ac:dyDescent="0.3">
      <c r="A34">
        <v>-0.2</v>
      </c>
      <c r="B34" s="146">
        <v>1000</v>
      </c>
      <c r="C34" s="146">
        <v>25</v>
      </c>
      <c r="D34" s="146">
        <v>400</v>
      </c>
      <c r="E34" s="249">
        <v>17.322023662724241</v>
      </c>
      <c r="F34">
        <v>6.6768953180919306</v>
      </c>
      <c r="G34">
        <v>21.397160759912623</v>
      </c>
      <c r="H34">
        <v>0</v>
      </c>
      <c r="J34">
        <v>1.4020491932277749E-4</v>
      </c>
      <c r="K34">
        <v>1E-8</v>
      </c>
      <c r="L34">
        <v>106.56347459217049</v>
      </c>
      <c r="M34">
        <v>63.938084258006079</v>
      </c>
      <c r="N34">
        <v>-2.5221120050812817E-3</v>
      </c>
      <c r="Z34" t="s">
        <v>35</v>
      </c>
      <c r="AL34">
        <v>286.65567615455137</v>
      </c>
      <c r="AM34">
        <v>0.31204585472858765</v>
      </c>
      <c r="AN34">
        <v>0.25111708320764575</v>
      </c>
      <c r="AO34">
        <v>331.02013036524136</v>
      </c>
      <c r="AP34">
        <v>287.91673215709204</v>
      </c>
      <c r="AQ34" t="s">
        <v>302</v>
      </c>
      <c r="AR34">
        <v>0</v>
      </c>
      <c r="AS34">
        <v>0</v>
      </c>
      <c r="AT34">
        <v>0</v>
      </c>
      <c r="AU34">
        <v>0</v>
      </c>
      <c r="AV34">
        <v>0</v>
      </c>
      <c r="AW34" s="146">
        <v>3</v>
      </c>
      <c r="AX34" s="141">
        <v>1.4035452288018035E-4</v>
      </c>
      <c r="AY34" s="141">
        <v>1E-8</v>
      </c>
      <c r="AZ34" s="209">
        <v>287.91673215709204</v>
      </c>
      <c r="BA34">
        <v>1.4035452288018035E-4</v>
      </c>
      <c r="BB34" s="249">
        <v>67.879988563775825</v>
      </c>
      <c r="BC34" s="243">
        <v>203.08051427553499</v>
      </c>
      <c r="BD34" s="209">
        <v>116666.92635196919</v>
      </c>
      <c r="BE34" s="244">
        <v>91.595260981432276</v>
      </c>
      <c r="BF34" s="209">
        <v>336861.56480706536</v>
      </c>
      <c r="BG34" t="s">
        <v>390</v>
      </c>
      <c r="BH34">
        <v>6.1490386051085262E-6</v>
      </c>
      <c r="BI34">
        <v>2366669.2635196918</v>
      </c>
      <c r="BJ34">
        <f t="shared" si="0"/>
        <v>0.14233571627413943</v>
      </c>
    </row>
    <row r="35" spans="1:62" x14ac:dyDescent="0.3">
      <c r="A35">
        <v>-0.3</v>
      </c>
      <c r="B35" s="146">
        <v>1000</v>
      </c>
      <c r="C35" s="146">
        <v>25</v>
      </c>
      <c r="D35" s="146">
        <v>400</v>
      </c>
      <c r="E35" s="249">
        <v>17.111829617602872</v>
      </c>
      <c r="F35">
        <v>6.8340083382307073</v>
      </c>
      <c r="G35">
        <v>21.269836726894525</v>
      </c>
      <c r="H35">
        <v>0</v>
      </c>
      <c r="J35">
        <v>1.3835671893740658E-4</v>
      </c>
      <c r="K35">
        <v>1E-8</v>
      </c>
      <c r="L35">
        <v>106.74133345175863</v>
      </c>
      <c r="M35">
        <v>64.044799572928952</v>
      </c>
      <c r="N35">
        <v>-2.4603105507836499E-3</v>
      </c>
      <c r="Z35" t="s">
        <v>35</v>
      </c>
      <c r="AL35">
        <v>278.39354040032913</v>
      </c>
      <c r="AM35">
        <v>0.32130046064667173</v>
      </c>
      <c r="AN35">
        <v>0.21995782009192538</v>
      </c>
      <c r="AO35">
        <v>322.20404070902572</v>
      </c>
      <c r="AP35">
        <v>279.62369567572097</v>
      </c>
      <c r="AQ35" t="s">
        <v>302</v>
      </c>
      <c r="AR35">
        <v>0</v>
      </c>
      <c r="AS35">
        <v>0</v>
      </c>
      <c r="AT35">
        <v>0</v>
      </c>
      <c r="AU35">
        <v>0</v>
      </c>
      <c r="AV35">
        <v>0</v>
      </c>
      <c r="AW35" s="146">
        <v>3</v>
      </c>
      <c r="AX35" s="141">
        <v>1.3850556313163678E-4</v>
      </c>
      <c r="AY35" s="141">
        <v>1E-8</v>
      </c>
      <c r="AZ35" s="209">
        <v>279.62369567572097</v>
      </c>
      <c r="BA35">
        <v>1.3850556313163678E-4</v>
      </c>
      <c r="BB35" s="249">
        <v>68.846444983614361</v>
      </c>
      <c r="BC35" s="243">
        <v>203.62096813256804</v>
      </c>
      <c r="BD35" s="209">
        <v>117690.57041756473</v>
      </c>
      <c r="BE35" s="244">
        <v>92.780207937950777</v>
      </c>
      <c r="BF35" s="209">
        <v>333751.15083991468</v>
      </c>
      <c r="BG35" t="s">
        <v>390</v>
      </c>
      <c r="BH35">
        <v>6.0553395680350331E-6</v>
      </c>
      <c r="BI35">
        <v>2376905.7041756473</v>
      </c>
      <c r="BJ35">
        <f t="shared" si="0"/>
        <v>0.14041413180741449</v>
      </c>
    </row>
    <row r="36" spans="1:62" x14ac:dyDescent="0.3">
      <c r="A36">
        <v>-0.4</v>
      </c>
      <c r="B36" s="146">
        <v>1000</v>
      </c>
      <c r="C36" s="146">
        <v>25</v>
      </c>
      <c r="D36" s="146">
        <v>400</v>
      </c>
      <c r="E36" s="249">
        <v>16.827698927662656</v>
      </c>
      <c r="F36">
        <v>7.0466011566692979</v>
      </c>
      <c r="G36">
        <v>21.097841242539452</v>
      </c>
      <c r="H36">
        <v>0</v>
      </c>
      <c r="J36">
        <v>1.3605435753799024E-4</v>
      </c>
      <c r="K36">
        <v>1E-8</v>
      </c>
      <c r="L36">
        <v>106.98147029928879</v>
      </c>
      <c r="M36">
        <v>64.188881680326404</v>
      </c>
      <c r="N36">
        <v>-2.3814162777806422E-3</v>
      </c>
      <c r="Z36" t="s">
        <v>35</v>
      </c>
      <c r="AL36">
        <v>267.80394379839385</v>
      </c>
      <c r="AM36">
        <v>0.33399631154969911</v>
      </c>
      <c r="AN36">
        <v>0.18879524321073868</v>
      </c>
      <c r="AO36">
        <v>310.86799306230881</v>
      </c>
      <c r="AP36">
        <v>268.99465193728423</v>
      </c>
      <c r="AQ36" t="s">
        <v>302</v>
      </c>
      <c r="AR36">
        <v>0</v>
      </c>
      <c r="AS36">
        <v>0</v>
      </c>
      <c r="AT36">
        <v>0</v>
      </c>
      <c r="AU36">
        <v>0</v>
      </c>
      <c r="AV36">
        <v>0</v>
      </c>
      <c r="AW36" s="146">
        <v>3</v>
      </c>
      <c r="AX36" s="141">
        <v>1.3620233275452642E-4</v>
      </c>
      <c r="AY36" s="141">
        <v>1E-8</v>
      </c>
      <c r="AZ36" s="209">
        <v>268.99465193728423</v>
      </c>
      <c r="BA36">
        <v>1.3620233275452642E-4</v>
      </c>
      <c r="BB36" s="249">
        <v>70.154466043383408</v>
      </c>
      <c r="BC36" s="243">
        <v>204.35283581182159</v>
      </c>
      <c r="BD36" s="209">
        <v>119077.82437936199</v>
      </c>
      <c r="BE36" s="244">
        <v>94.383858805037931</v>
      </c>
      <c r="BF36" s="209">
        <v>329468.36673791439</v>
      </c>
      <c r="BG36" t="s">
        <v>390</v>
      </c>
      <c r="BH36">
        <v>5.9295718405203301E-6</v>
      </c>
      <c r="BI36">
        <v>2390778.2437936198</v>
      </c>
      <c r="BJ36">
        <f t="shared" si="0"/>
        <v>0.13780799937978491</v>
      </c>
    </row>
    <row r="37" spans="1:62" x14ac:dyDescent="0.3">
      <c r="A37">
        <v>-0.5</v>
      </c>
      <c r="B37" s="146">
        <v>1000</v>
      </c>
      <c r="C37" s="146">
        <v>25</v>
      </c>
      <c r="D37" s="146">
        <v>400</v>
      </c>
      <c r="E37" s="249">
        <v>16.423828995644222</v>
      </c>
      <c r="F37">
        <v>7.3490208805042592</v>
      </c>
      <c r="G37">
        <v>20.853485930584561</v>
      </c>
      <c r="H37">
        <v>0</v>
      </c>
      <c r="J37">
        <v>1.3300874956108323E-4</v>
      </c>
      <c r="K37">
        <v>1E-8</v>
      </c>
      <c r="L37">
        <v>107.32185462799004</v>
      </c>
      <c r="M37">
        <v>64.3931122759587</v>
      </c>
      <c r="N37">
        <v>-2.2753833638345577E-3</v>
      </c>
      <c r="Z37" t="s">
        <v>35</v>
      </c>
      <c r="AL37">
        <v>253.80026116306672</v>
      </c>
      <c r="AM37">
        <v>0.35241210534138512</v>
      </c>
      <c r="AN37">
        <v>0.1576278761533251</v>
      </c>
      <c r="AO37">
        <v>295.80631677312766</v>
      </c>
      <c r="AP37">
        <v>254.93795284498404</v>
      </c>
      <c r="AQ37" t="s">
        <v>302</v>
      </c>
      <c r="AR37">
        <v>0</v>
      </c>
      <c r="AS37">
        <v>0</v>
      </c>
      <c r="AT37">
        <v>0</v>
      </c>
      <c r="AU37">
        <v>0</v>
      </c>
      <c r="AV37">
        <v>0</v>
      </c>
      <c r="AW37" s="146">
        <v>3</v>
      </c>
      <c r="AX37" s="141">
        <v>1.3315548957160161E-4</v>
      </c>
      <c r="AY37" s="141">
        <v>1E-8</v>
      </c>
      <c r="AZ37" s="209">
        <v>254.93795284498404</v>
      </c>
      <c r="BA37">
        <v>1.3315548957160161E-4</v>
      </c>
      <c r="BB37" s="249">
        <v>72.015479095818222</v>
      </c>
      <c r="BC37" s="243">
        <v>205.39453571225792</v>
      </c>
      <c r="BD37" s="209">
        <v>121054.09319799236</v>
      </c>
      <c r="BE37" s="244">
        <v>96.664062163026685</v>
      </c>
      <c r="BF37" s="209">
        <v>323225.67218486848</v>
      </c>
      <c r="BG37" t="s">
        <v>390</v>
      </c>
      <c r="BH37">
        <v>5.7525894872785843E-6</v>
      </c>
      <c r="BI37">
        <v>2410540.9319799235</v>
      </c>
      <c r="BJ37">
        <f t="shared" si="0"/>
        <v>0.13408843960985289</v>
      </c>
    </row>
    <row r="38" spans="1:62" x14ac:dyDescent="0.3">
      <c r="A38">
        <v>-0.6</v>
      </c>
      <c r="B38" s="146">
        <v>1000</v>
      </c>
      <c r="C38" s="146">
        <v>25</v>
      </c>
      <c r="D38" s="146">
        <v>400</v>
      </c>
      <c r="E38" s="249">
        <v>15.809379179377698</v>
      </c>
      <c r="F38">
        <v>7.8093236942410345</v>
      </c>
      <c r="G38">
        <v>20.481812981786025</v>
      </c>
      <c r="H38">
        <v>0</v>
      </c>
      <c r="J38">
        <v>1.288740216595493E-4</v>
      </c>
      <c r="K38">
        <v>1E-8</v>
      </c>
      <c r="L38">
        <v>107.83575015791901</v>
      </c>
      <c r="M38">
        <v>64.7014495915179</v>
      </c>
      <c r="N38">
        <v>-2.1269552544653462E-3</v>
      </c>
      <c r="Z38" t="s">
        <v>35</v>
      </c>
      <c r="AL38">
        <v>234.57178238636865</v>
      </c>
      <c r="AM38">
        <v>0.3812808808080454</v>
      </c>
      <c r="AN38">
        <v>0.12644946639015481</v>
      </c>
      <c r="AO38">
        <v>274.97472602534765</v>
      </c>
      <c r="AP38">
        <v>235.63526001360137</v>
      </c>
      <c r="AQ38" t="s">
        <v>302</v>
      </c>
      <c r="AR38">
        <v>0</v>
      </c>
      <c r="AS38">
        <v>0</v>
      </c>
      <c r="AT38">
        <v>0</v>
      </c>
      <c r="AU38">
        <v>0</v>
      </c>
      <c r="AV38">
        <v>0</v>
      </c>
      <c r="AW38" s="146">
        <v>3</v>
      </c>
      <c r="AX38" s="141">
        <v>1.2901897677807114E-4</v>
      </c>
      <c r="AY38" s="141">
        <v>1E-8</v>
      </c>
      <c r="AZ38" s="209">
        <v>235.63526001360137</v>
      </c>
      <c r="BA38">
        <v>1.2901897677807114E-4</v>
      </c>
      <c r="BB38" s="249">
        <v>74.848315989850036</v>
      </c>
      <c r="BC38" s="243">
        <v>206.97691417268248</v>
      </c>
      <c r="BD38" s="209">
        <v>124066.16627307818</v>
      </c>
      <c r="BE38" s="244">
        <v>100.13186794244065</v>
      </c>
      <c r="BF38" s="209">
        <v>313386.69210436533</v>
      </c>
      <c r="BG38" t="s">
        <v>390</v>
      </c>
      <c r="BH38">
        <v>5.4873119271477832E-6</v>
      </c>
      <c r="BI38">
        <v>2440661.6627307818</v>
      </c>
      <c r="BJ38">
        <f t="shared" si="0"/>
        <v>0.12840234961273841</v>
      </c>
    </row>
    <row r="39" spans="1:62" x14ac:dyDescent="0.3">
      <c r="A39">
        <v>-0.7</v>
      </c>
      <c r="B39" s="146">
        <v>1000</v>
      </c>
      <c r="C39" s="146">
        <v>25</v>
      </c>
      <c r="D39" s="146">
        <v>400</v>
      </c>
      <c r="E39" s="249">
        <v>14.781982506607287</v>
      </c>
      <c r="F39">
        <v>8.5771642641764743</v>
      </c>
      <c r="G39">
        <v>19.859270023855458</v>
      </c>
      <c r="H39">
        <v>0</v>
      </c>
      <c r="J39">
        <v>1.2299038340291034E-4</v>
      </c>
      <c r="K39">
        <v>1E-8</v>
      </c>
      <c r="L39">
        <v>108.67395530188476</v>
      </c>
      <c r="M39">
        <v>65.204372673985731</v>
      </c>
      <c r="N39">
        <v>-1.9059270189493048E-3</v>
      </c>
      <c r="Z39" t="s">
        <v>35</v>
      </c>
      <c r="AL39">
        <v>207.06692097134831</v>
      </c>
      <c r="AM39">
        <v>0.43189725774781085</v>
      </c>
      <c r="AN39">
        <v>9.5246521616401458E-2</v>
      </c>
      <c r="AO39">
        <v>244.80291504879662</v>
      </c>
      <c r="AP39">
        <v>208.01988448082298</v>
      </c>
      <c r="AQ39" t="s">
        <v>302</v>
      </c>
      <c r="AR39">
        <v>0</v>
      </c>
      <c r="AS39">
        <v>0</v>
      </c>
      <c r="AT39">
        <v>0</v>
      </c>
      <c r="AU39">
        <v>0</v>
      </c>
      <c r="AV39">
        <v>0</v>
      </c>
      <c r="AW39" s="146">
        <v>3</v>
      </c>
      <c r="AX39" s="141">
        <v>1.2313227253756278E-4</v>
      </c>
      <c r="AY39" s="141">
        <v>1E-8</v>
      </c>
      <c r="AZ39" s="209">
        <v>208.01988448082298</v>
      </c>
      <c r="BA39">
        <v>1.2313227253756278E-4</v>
      </c>
      <c r="BB39" s="249">
        <v>79.571281661821899</v>
      </c>
      <c r="BC39" s="243">
        <v>209.58328513728017</v>
      </c>
      <c r="BD39" s="209">
        <v>129083.55894241556</v>
      </c>
      <c r="BE39" s="244">
        <v>105.89886892669347</v>
      </c>
      <c r="BF39" s="209">
        <v>296036.96658361971</v>
      </c>
      <c r="BG39" t="s">
        <v>390</v>
      </c>
      <c r="BH39">
        <v>5.0545753807913777E-6</v>
      </c>
      <c r="BI39">
        <v>2490835.5894241557</v>
      </c>
      <c r="BJ39">
        <f t="shared" si="0"/>
        <v>0.11885046441465817</v>
      </c>
    </row>
    <row r="40" spans="1:62" x14ac:dyDescent="0.3">
      <c r="A40">
        <v>-0.8</v>
      </c>
      <c r="B40" s="146">
        <v>1000</v>
      </c>
      <c r="C40" s="146">
        <v>25</v>
      </c>
      <c r="D40" s="146">
        <v>400</v>
      </c>
      <c r="E40" s="249">
        <v>12.817777625719614</v>
      </c>
      <c r="F40">
        <v>9.9773562596353482</v>
      </c>
      <c r="G40">
        <v>18.63015080339262</v>
      </c>
      <c r="H40">
        <v>0</v>
      </c>
      <c r="J40">
        <v>1.1424166044059931E-4</v>
      </c>
      <c r="K40">
        <v>1E-8</v>
      </c>
      <c r="L40">
        <v>109.84879022917555</v>
      </c>
      <c r="M40">
        <v>65.909273624877628</v>
      </c>
      <c r="N40">
        <v>-1.550022480936478E-3</v>
      </c>
      <c r="Z40" t="s">
        <v>35</v>
      </c>
      <c r="AL40">
        <v>166.98412108101633</v>
      </c>
      <c r="AM40">
        <v>0.53554887262739892</v>
      </c>
      <c r="AN40">
        <v>6.3978336803900276E-2</v>
      </c>
      <c r="AO40">
        <v>199.65441013249017</v>
      </c>
      <c r="AP40">
        <v>167.7591323214846</v>
      </c>
      <c r="AQ40" t="s">
        <v>302</v>
      </c>
      <c r="AR40">
        <v>0</v>
      </c>
      <c r="AS40">
        <v>0</v>
      </c>
      <c r="AT40">
        <v>0</v>
      </c>
      <c r="AU40">
        <v>0</v>
      </c>
      <c r="AV40">
        <v>0</v>
      </c>
      <c r="AW40" s="146">
        <v>3</v>
      </c>
      <c r="AX40" s="141">
        <v>1.1437596566735196E-4</v>
      </c>
      <c r="AY40" s="141">
        <v>1E-8</v>
      </c>
      <c r="AZ40" s="209">
        <v>167.7591323214846</v>
      </c>
      <c r="BA40">
        <v>1.1437596566735196E-4</v>
      </c>
      <c r="BB40" s="249">
        <v>88.089939114479833</v>
      </c>
      <c r="BC40" s="243">
        <v>213.29070127164002</v>
      </c>
      <c r="BD40" s="209">
        <v>137711.66697755802</v>
      </c>
      <c r="BE40" s="244">
        <v>116.18731787049212</v>
      </c>
      <c r="BF40" s="209">
        <v>265921.11969572655</v>
      </c>
      <c r="BG40" t="s">
        <v>390</v>
      </c>
      <c r="BH40">
        <v>4.2648302425679216E-6</v>
      </c>
      <c r="BI40">
        <v>2577116.6697755801</v>
      </c>
      <c r="BJ40">
        <f t="shared" si="0"/>
        <v>0.10318551845729337</v>
      </c>
    </row>
    <row r="41" spans="1:62" x14ac:dyDescent="0.3">
      <c r="A41">
        <v>-0.85</v>
      </c>
      <c r="B41" s="146">
        <v>1000</v>
      </c>
      <c r="C41" s="146">
        <v>25</v>
      </c>
      <c r="D41" s="146">
        <v>400</v>
      </c>
      <c r="E41" s="249">
        <v>8.8111156271495297</v>
      </c>
      <c r="F41">
        <v>5.6005397314234324</v>
      </c>
      <c r="G41">
        <v>12.052110827421508</v>
      </c>
      <c r="H41">
        <v>0</v>
      </c>
      <c r="J41">
        <v>6.0346016496201664E-3</v>
      </c>
      <c r="K41">
        <v>1E-8</v>
      </c>
      <c r="L41">
        <v>67.590850699508266</v>
      </c>
      <c r="M41">
        <v>40.554510104280986</v>
      </c>
      <c r="N41">
        <v>-4.8158599452800613E-2</v>
      </c>
      <c r="Z41" t="s">
        <v>35</v>
      </c>
      <c r="AL41">
        <v>169.41166581377183</v>
      </c>
      <c r="AM41">
        <v>0.46469367993869015</v>
      </c>
      <c r="AN41">
        <v>4.7735054872878373E-2</v>
      </c>
      <c r="AO41">
        <v>215.41624597239667</v>
      </c>
      <c r="AP41">
        <v>193.49096554017214</v>
      </c>
      <c r="AQ41" t="s">
        <v>302</v>
      </c>
      <c r="AR41">
        <v>0</v>
      </c>
      <c r="AS41">
        <v>0</v>
      </c>
      <c r="AT41">
        <v>0</v>
      </c>
      <c r="AU41">
        <v>0</v>
      </c>
      <c r="AV41">
        <v>0</v>
      </c>
      <c r="AW41" s="146">
        <v>3</v>
      </c>
      <c r="AX41" s="141">
        <v>6.2500100000000003E-3</v>
      </c>
      <c r="AY41" s="141">
        <v>1E-8</v>
      </c>
      <c r="AZ41" s="209">
        <v>193.49096554017214</v>
      </c>
      <c r="BA41">
        <v>6.2500100000000003E-3</v>
      </c>
      <c r="BB41" s="249">
        <v>51.041284807622844</v>
      </c>
      <c r="BC41" s="243">
        <v>108.53675877332944</v>
      </c>
      <c r="BD41" s="209">
        <v>65569.567407584065</v>
      </c>
      <c r="BE41" s="244">
        <v>67.753375050775446</v>
      </c>
      <c r="BF41" s="209">
        <v>677838.48853411118</v>
      </c>
      <c r="BG41" t="s">
        <v>390</v>
      </c>
      <c r="BH41">
        <v>3.1529411699015459E-6</v>
      </c>
      <c r="BI41">
        <v>1855695.6740758405</v>
      </c>
      <c r="BJ41">
        <f t="shared" si="0"/>
        <v>0.36527459647804761</v>
      </c>
    </row>
    <row r="42" spans="1:62" s="140" customFormat="1" x14ac:dyDescent="0.3">
      <c r="A42" s="140">
        <v>-0.87</v>
      </c>
      <c r="B42" s="140">
        <v>1000</v>
      </c>
      <c r="C42" s="140">
        <v>25</v>
      </c>
      <c r="D42" s="140">
        <v>400</v>
      </c>
      <c r="E42" s="253">
        <v>3.2865315536909367</v>
      </c>
      <c r="F42" s="140">
        <v>1.1223228609438913</v>
      </c>
      <c r="G42" s="140">
        <v>3.95577829603821</v>
      </c>
      <c r="H42" s="140">
        <v>0</v>
      </c>
      <c r="J42" s="140">
        <v>8.6680489941863328E-5</v>
      </c>
      <c r="K42" s="140">
        <v>1E-8</v>
      </c>
      <c r="L42" s="140">
        <v>20.291244068929217</v>
      </c>
      <c r="M42" s="140">
        <v>12.174746346665057</v>
      </c>
      <c r="N42" s="140">
        <v>-2.9413178901259191E-4</v>
      </c>
      <c r="Z42" s="140" t="s">
        <v>35</v>
      </c>
      <c r="AL42" s="140">
        <v>316.51730309089157</v>
      </c>
      <c r="AM42" s="140">
        <v>0.28371733119318637</v>
      </c>
      <c r="AN42" s="140">
        <v>4.3728569258859783E-2</v>
      </c>
      <c r="AO42" s="140">
        <v>324.84246319069638</v>
      </c>
      <c r="AP42" s="140">
        <v>316.66436898539791</v>
      </c>
      <c r="AQ42" s="140" t="s">
        <v>302</v>
      </c>
      <c r="AR42" s="140">
        <v>0</v>
      </c>
      <c r="AS42" s="140">
        <v>0</v>
      </c>
      <c r="AT42" s="140">
        <v>0</v>
      </c>
      <c r="AU42" s="140">
        <v>0</v>
      </c>
      <c r="AV42" s="140">
        <v>0</v>
      </c>
      <c r="AW42" s="146">
        <v>3</v>
      </c>
      <c r="AX42" s="141">
        <v>8.668718782004621E-5</v>
      </c>
      <c r="AY42" s="205">
        <v>1E-8</v>
      </c>
      <c r="AZ42" s="209">
        <v>316.66436898539791</v>
      </c>
      <c r="BA42" s="140">
        <v>8.668718782004621E-5</v>
      </c>
      <c r="BB42" s="253">
        <v>11.769101450754588</v>
      </c>
      <c r="BC42" s="245">
        <v>28.556162503133525</v>
      </c>
      <c r="BD42" s="210">
        <v>11976.644820024359</v>
      </c>
      <c r="BE42" s="245">
        <v>14.677962246997447</v>
      </c>
      <c r="BF42" s="210">
        <v>805006.35005304113</v>
      </c>
      <c r="BG42" t="s">
        <v>390</v>
      </c>
      <c r="BH42" s="140">
        <v>1.1699638502804257E-6</v>
      </c>
      <c r="BI42" s="140">
        <v>1319766.4482002435</v>
      </c>
      <c r="BJ42">
        <f t="shared" si="0"/>
        <v>0.60996121787367963</v>
      </c>
    </row>
    <row r="43" spans="1:62" x14ac:dyDescent="0.3">
      <c r="A43">
        <v>-0.1</v>
      </c>
      <c r="B43" s="146">
        <v>100</v>
      </c>
      <c r="C43" s="146">
        <v>25</v>
      </c>
      <c r="D43" s="146">
        <v>400</v>
      </c>
      <c r="E43" s="249">
        <v>3.361155396998674</v>
      </c>
      <c r="F43">
        <v>0.95814655503994217</v>
      </c>
      <c r="G43">
        <v>4.0690333849205214</v>
      </c>
      <c r="H43">
        <v>0</v>
      </c>
      <c r="J43">
        <v>5.9341995489844417E-2</v>
      </c>
      <c r="K43">
        <v>1E-8</v>
      </c>
      <c r="L43">
        <v>17.467500417632454</v>
      </c>
      <c r="M43">
        <v>10.48050016906447</v>
      </c>
      <c r="N43">
        <v>0.22359943420959399</v>
      </c>
      <c r="Z43" t="s">
        <v>35</v>
      </c>
      <c r="AL43">
        <v>487.59279188319402</v>
      </c>
      <c r="AM43">
        <v>0.23547276819864607</v>
      </c>
      <c r="AN43">
        <v>0.21215179108974902</v>
      </c>
      <c r="AO43">
        <v>384.15683704703315</v>
      </c>
      <c r="AP43">
        <v>375.79307477839706</v>
      </c>
      <c r="AQ43" t="s">
        <v>308</v>
      </c>
      <c r="AR43">
        <v>0</v>
      </c>
      <c r="AS43">
        <v>0</v>
      </c>
      <c r="AT43">
        <v>0</v>
      </c>
      <c r="AU43">
        <v>1</v>
      </c>
      <c r="AV43">
        <v>0.1</v>
      </c>
      <c r="AW43">
        <v>3</v>
      </c>
      <c r="AX43" s="141">
        <v>5.4286843062588741E-2</v>
      </c>
      <c r="AY43" s="141">
        <v>1E-8</v>
      </c>
      <c r="AZ43" s="209">
        <v>375.79307477839706</v>
      </c>
      <c r="BA43">
        <v>5.4286843062588741E-2</v>
      </c>
      <c r="BB43" s="249">
        <v>10.736989514836891</v>
      </c>
      <c r="BC43" s="243">
        <v>70.200554315517621</v>
      </c>
      <c r="BD43" s="209">
        <v>26396.98511640065</v>
      </c>
      <c r="BE43" s="243">
        <v>21.321329845232846</v>
      </c>
      <c r="BF43">
        <v>19515.731498669978</v>
      </c>
      <c r="BG43" t="s">
        <v>387</v>
      </c>
      <c r="BH43">
        <v>2.0595757551051549E-6</v>
      </c>
      <c r="BI43">
        <v>1463969.8511640066</v>
      </c>
      <c r="BJ43">
        <f t="shared" si="0"/>
        <v>1.3330692215521354E-2</v>
      </c>
    </row>
    <row r="44" spans="1:62" x14ac:dyDescent="0.3">
      <c r="A44">
        <v>-0.1</v>
      </c>
      <c r="B44" s="146">
        <v>200</v>
      </c>
      <c r="C44" s="146">
        <v>25</v>
      </c>
      <c r="D44" s="146">
        <v>400</v>
      </c>
      <c r="E44" s="249">
        <v>6.0990921658596564</v>
      </c>
      <c r="F44">
        <v>1.7900323211924645</v>
      </c>
      <c r="G44">
        <v>7.333555033336836</v>
      </c>
      <c r="H44">
        <v>0</v>
      </c>
      <c r="J44">
        <v>5.9931159132603599E-2</v>
      </c>
      <c r="K44">
        <v>1E-8</v>
      </c>
      <c r="L44">
        <v>32.326881715663745</v>
      </c>
      <c r="M44">
        <v>19.396128878539464</v>
      </c>
      <c r="N44">
        <v>0.3781034139583821</v>
      </c>
      <c r="Z44" t="s">
        <v>35</v>
      </c>
      <c r="AL44">
        <v>548.02283430899058</v>
      </c>
      <c r="AM44">
        <v>0.24408793730398762</v>
      </c>
      <c r="AN44">
        <v>0.23592198820650723</v>
      </c>
      <c r="AO44">
        <v>374.14784347900206</v>
      </c>
      <c r="AP44">
        <v>358.97112732979957</v>
      </c>
      <c r="AQ44" t="s">
        <v>308</v>
      </c>
      <c r="AR44">
        <v>0</v>
      </c>
      <c r="AS44">
        <v>0</v>
      </c>
      <c r="AT44">
        <v>0</v>
      </c>
      <c r="AU44">
        <v>1</v>
      </c>
      <c r="AV44">
        <v>0.1</v>
      </c>
      <c r="AW44">
        <v>3</v>
      </c>
      <c r="AX44" s="141">
        <v>5.4778286766037375E-2</v>
      </c>
      <c r="AY44" s="141">
        <v>1E-8</v>
      </c>
      <c r="AZ44" s="209">
        <v>358.97112732979957</v>
      </c>
      <c r="BA44">
        <v>5.4778286766037375E-2</v>
      </c>
      <c r="BB44" s="249">
        <v>19.786584337041763</v>
      </c>
      <c r="BC44" s="243">
        <v>101.94758621254408</v>
      </c>
      <c r="BD44" s="209">
        <v>42989.838864744532</v>
      </c>
      <c r="BE44" s="243">
        <v>33.831096539834952</v>
      </c>
      <c r="BF44">
        <v>53672.879273754806</v>
      </c>
      <c r="BG44" t="s">
        <v>387</v>
      </c>
      <c r="BH44">
        <v>3.407833501280011E-6</v>
      </c>
      <c r="BI44">
        <v>1629898.3886474452</v>
      </c>
      <c r="BJ44">
        <f t="shared" si="0"/>
        <v>3.293019960483224E-2</v>
      </c>
    </row>
    <row r="45" spans="1:62" x14ac:dyDescent="0.3">
      <c r="A45">
        <v>-0.1</v>
      </c>
      <c r="B45" s="146">
        <v>300</v>
      </c>
      <c r="C45" s="146">
        <v>25</v>
      </c>
      <c r="D45" s="146">
        <v>400</v>
      </c>
      <c r="E45" s="252">
        <v>8.4065825556661533</v>
      </c>
      <c r="F45" s="146">
        <v>2.5434397523431911</v>
      </c>
      <c r="G45" s="146">
        <v>10.100375740717903</v>
      </c>
      <c r="H45" s="146">
        <v>0</v>
      </c>
      <c r="I45" s="146"/>
      <c r="J45" s="146">
        <v>6.061677285053424E-2</v>
      </c>
      <c r="K45" s="146">
        <v>1E-8</v>
      </c>
      <c r="L45" s="146">
        <v>45.43081856914938</v>
      </c>
      <c r="M45" s="146">
        <v>27.258490929479141</v>
      </c>
      <c r="N45" s="146">
        <v>0.4990881147188162</v>
      </c>
      <c r="O45" s="146"/>
      <c r="P45" s="146"/>
      <c r="Q45" s="146"/>
      <c r="R45" s="146"/>
      <c r="S45" s="146"/>
      <c r="T45" s="146"/>
      <c r="U45" s="146"/>
      <c r="V45" s="146"/>
      <c r="W45" s="146"/>
      <c r="X45" s="146"/>
      <c r="Y45" s="146"/>
      <c r="Z45" s="146" t="s">
        <v>35</v>
      </c>
      <c r="AA45" s="146"/>
      <c r="AB45" s="146"/>
      <c r="AC45" s="146"/>
      <c r="AD45" s="146"/>
      <c r="AE45" s="146"/>
      <c r="AF45" s="146"/>
      <c r="AG45" s="146"/>
      <c r="AH45" s="146"/>
      <c r="AI45" s="146"/>
      <c r="AJ45" s="146"/>
      <c r="AK45" s="146"/>
      <c r="AL45" s="146">
        <v>594.84991267825148</v>
      </c>
      <c r="AM45" s="146">
        <v>0.25181634996901725</v>
      </c>
      <c r="AN45" s="146">
        <v>0.24889562356691194</v>
      </c>
      <c r="AO45" s="146">
        <v>366.22446616299715</v>
      </c>
      <c r="AP45" s="146">
        <v>345.30585531884338</v>
      </c>
      <c r="AQ45" t="s">
        <v>308</v>
      </c>
      <c r="AR45">
        <v>0</v>
      </c>
      <c r="AS45">
        <v>0</v>
      </c>
      <c r="AT45">
        <v>0</v>
      </c>
      <c r="AU45">
        <v>1</v>
      </c>
      <c r="AV45">
        <v>0.1</v>
      </c>
      <c r="AW45">
        <v>3</v>
      </c>
      <c r="AX45" s="141">
        <v>5.5620331423032764E-2</v>
      </c>
      <c r="AY45" s="141">
        <v>1E-8</v>
      </c>
      <c r="AZ45" s="209">
        <v>345.30585531884338</v>
      </c>
      <c r="BA45">
        <v>5.5620331423032764E-2</v>
      </c>
      <c r="BB45" s="249">
        <v>27.789261266732897</v>
      </c>
      <c r="BC45" s="243">
        <v>124.72937035453549</v>
      </c>
      <c r="BD45" s="209">
        <v>56666.478759220612</v>
      </c>
      <c r="BE45" s="243">
        <v>44.099953197526624</v>
      </c>
      <c r="BF45">
        <v>92425.826081359482</v>
      </c>
      <c r="BG45" t="s">
        <v>387</v>
      </c>
      <c r="BH45">
        <v>4.2986782473010613E-6</v>
      </c>
      <c r="BI45">
        <v>1766664.7875922062</v>
      </c>
      <c r="BJ45">
        <f t="shared" si="0"/>
        <v>5.2316560974380984E-2</v>
      </c>
    </row>
    <row r="46" spans="1:62" x14ac:dyDescent="0.3">
      <c r="A46">
        <v>-0.1</v>
      </c>
      <c r="B46" s="146">
        <v>400</v>
      </c>
      <c r="C46" s="146">
        <v>25</v>
      </c>
      <c r="D46" s="146">
        <v>400</v>
      </c>
      <c r="E46" s="252">
        <v>10.389848068406897</v>
      </c>
      <c r="F46" s="146">
        <v>3.2349616402491046</v>
      </c>
      <c r="G46" s="146">
        <v>12.496874516836106</v>
      </c>
      <c r="H46" s="146">
        <v>0</v>
      </c>
      <c r="I46" s="146"/>
      <c r="J46" s="146">
        <v>6.1282457994249778E-2</v>
      </c>
      <c r="K46" s="146">
        <v>1E-8</v>
      </c>
      <c r="L46" s="146">
        <v>57.15248702160622</v>
      </c>
      <c r="M46" s="146">
        <v>34.291491946252123</v>
      </c>
      <c r="N46" s="146">
        <v>0.59847182012233024</v>
      </c>
      <c r="O46" s="146"/>
      <c r="P46" s="146"/>
      <c r="Q46" s="146"/>
      <c r="R46" s="146"/>
      <c r="S46" s="146"/>
      <c r="T46" s="146"/>
      <c r="U46" s="146"/>
      <c r="V46" s="146"/>
      <c r="W46" s="146"/>
      <c r="X46" s="146"/>
      <c r="Y46" s="146"/>
      <c r="Z46" s="146" t="s">
        <v>35</v>
      </c>
      <c r="AA46" s="146"/>
      <c r="AB46" s="146"/>
      <c r="AC46" s="146"/>
      <c r="AD46" s="146"/>
      <c r="AE46" s="146"/>
      <c r="AF46" s="146"/>
      <c r="AG46" s="146"/>
      <c r="AH46" s="146"/>
      <c r="AI46" s="146"/>
      <c r="AJ46" s="146"/>
      <c r="AK46" s="146"/>
      <c r="AL46" s="146">
        <v>633.03010499299842</v>
      </c>
      <c r="AM46" s="146">
        <v>0.2588616566398968</v>
      </c>
      <c r="AN46" s="146">
        <v>0.25747954554185581</v>
      </c>
      <c r="AO46" s="146">
        <v>359.64787009957678</v>
      </c>
      <c r="AP46" s="146">
        <v>333.79419493183337</v>
      </c>
      <c r="AQ46" t="s">
        <v>308</v>
      </c>
      <c r="AR46">
        <v>0</v>
      </c>
      <c r="AS46">
        <v>0</v>
      </c>
      <c r="AT46">
        <v>0</v>
      </c>
      <c r="AU46">
        <v>1</v>
      </c>
      <c r="AV46">
        <v>0.1</v>
      </c>
      <c r="AW46">
        <v>3</v>
      </c>
      <c r="AX46" s="141">
        <v>5.6467927044577808E-2</v>
      </c>
      <c r="AY46" s="141">
        <v>1E-8</v>
      </c>
      <c r="AZ46" s="209">
        <v>333.79419493183337</v>
      </c>
      <c r="BA46">
        <v>5.6467927044577808E-2</v>
      </c>
      <c r="BB46" s="249">
        <v>34.988644280260552</v>
      </c>
      <c r="BC46" s="243">
        <v>142.80999774085515</v>
      </c>
      <c r="BD46" s="209">
        <v>68519.746034809636</v>
      </c>
      <c r="BE46" s="243">
        <v>53.008253581008091</v>
      </c>
      <c r="BF46">
        <v>132743.79422219429</v>
      </c>
      <c r="BG46" t="s">
        <v>387</v>
      </c>
      <c r="BH46">
        <v>4.9180384667024467E-6</v>
      </c>
      <c r="BI46">
        <v>1885197.4603480962</v>
      </c>
      <c r="BJ46">
        <f t="shared" si="0"/>
        <v>7.0413734908004566E-2</v>
      </c>
    </row>
    <row r="47" spans="1:62" x14ac:dyDescent="0.3">
      <c r="A47">
        <v>-0.1</v>
      </c>
      <c r="B47" s="146">
        <v>600</v>
      </c>
      <c r="C47" s="146">
        <v>25</v>
      </c>
      <c r="D47" s="146">
        <v>400</v>
      </c>
      <c r="E47" s="252">
        <v>13.6184224679492</v>
      </c>
      <c r="F47" s="146">
        <v>4.4594796093937443</v>
      </c>
      <c r="G47" s="146">
        <v>16.443643316509768</v>
      </c>
      <c r="H47" s="146">
        <v>0</v>
      </c>
      <c r="I47" s="146"/>
      <c r="J47" s="146">
        <v>6.2439011984407711E-2</v>
      </c>
      <c r="K47" s="146">
        <v>1E-8</v>
      </c>
      <c r="L47" s="146">
        <v>77.23673379030518</v>
      </c>
      <c r="M47" s="146">
        <v>46.342039913745012</v>
      </c>
      <c r="N47" s="146">
        <v>0.75423051082524251</v>
      </c>
      <c r="O47" s="146"/>
      <c r="P47" s="146"/>
      <c r="Q47" s="146"/>
      <c r="R47" s="146"/>
      <c r="S47" s="146"/>
      <c r="T47" s="146"/>
      <c r="U47" s="146"/>
      <c r="V47" s="146"/>
      <c r="W47" s="146"/>
      <c r="X47" s="146"/>
      <c r="Y47" s="146"/>
      <c r="Z47" s="146" t="s">
        <v>35</v>
      </c>
      <c r="AA47" s="146"/>
      <c r="AB47" s="146"/>
      <c r="AC47" s="146"/>
      <c r="AD47" s="146"/>
      <c r="AE47" s="146"/>
      <c r="AF47" s="146"/>
      <c r="AG47" s="146"/>
      <c r="AH47" s="146"/>
      <c r="AI47" s="146"/>
      <c r="AJ47" s="146"/>
      <c r="AK47" s="146"/>
      <c r="AL47" s="146">
        <v>692.53431961089484</v>
      </c>
      <c r="AM47" s="146">
        <v>0.27119778284878826</v>
      </c>
      <c r="AN47" s="146">
        <v>0.26864265828943595</v>
      </c>
      <c r="AO47" s="146">
        <v>349.30655259792474</v>
      </c>
      <c r="AP47" s="146">
        <v>315.4190641982733</v>
      </c>
      <c r="AQ47" t="s">
        <v>308</v>
      </c>
      <c r="AR47">
        <v>0</v>
      </c>
      <c r="AS47">
        <v>0</v>
      </c>
      <c r="AT47">
        <v>0</v>
      </c>
      <c r="AU47">
        <v>1</v>
      </c>
      <c r="AV47">
        <v>0.1</v>
      </c>
      <c r="AW47">
        <v>3</v>
      </c>
      <c r="AX47" s="141">
        <v>5.7951268891811243E-2</v>
      </c>
      <c r="AY47" s="141">
        <v>1E-8</v>
      </c>
      <c r="AZ47" s="209">
        <v>315.4190641982733</v>
      </c>
      <c r="BA47">
        <v>5.7951268891811243E-2</v>
      </c>
      <c r="BB47" s="249">
        <v>47.433492980941665</v>
      </c>
      <c r="BC47" s="243">
        <v>170.27743721035208</v>
      </c>
      <c r="BD47" s="209">
        <v>88186.575136050131</v>
      </c>
      <c r="BE47" s="243">
        <v>67.914980335125819</v>
      </c>
      <c r="BF47">
        <v>212492.89491081744</v>
      </c>
      <c r="BG47" t="s">
        <v>387</v>
      </c>
      <c r="BH47">
        <v>5.6923913830828793E-6</v>
      </c>
      <c r="BI47">
        <v>2081865.7513605012</v>
      </c>
      <c r="BJ47">
        <f t="shared" si="0"/>
        <v>0.1020684906180685</v>
      </c>
    </row>
    <row r="48" spans="1:62" x14ac:dyDescent="0.3">
      <c r="A48">
        <v>-0.1</v>
      </c>
      <c r="B48" s="146">
        <v>800</v>
      </c>
      <c r="C48" s="146">
        <v>25</v>
      </c>
      <c r="D48" s="146">
        <v>400</v>
      </c>
      <c r="E48" s="252">
        <v>16.102405160593658</v>
      </c>
      <c r="F48" s="146">
        <v>5.4963568647910801</v>
      </c>
      <c r="G48" s="146">
        <v>19.525276724408837</v>
      </c>
      <c r="H48" s="146">
        <v>0</v>
      </c>
      <c r="I48" s="146"/>
      <c r="J48" s="146">
        <v>6.3498904249437313E-2</v>
      </c>
      <c r="K48" s="146">
        <v>1E-8</v>
      </c>
      <c r="L48" s="146">
        <v>93.623875436974913</v>
      </c>
      <c r="M48" s="146">
        <v>56.174324825273523</v>
      </c>
      <c r="N48" s="146">
        <v>0.86838406388242118</v>
      </c>
      <c r="O48" s="146"/>
      <c r="P48" s="146"/>
      <c r="Q48" s="146"/>
      <c r="R48" s="146"/>
      <c r="S48" s="146"/>
      <c r="T48" s="146"/>
      <c r="U48" s="146"/>
      <c r="V48" s="146"/>
      <c r="W48" s="146"/>
      <c r="X48" s="146"/>
      <c r="Y48" s="146"/>
      <c r="Z48" s="146" t="s">
        <v>35</v>
      </c>
      <c r="AA48" s="146"/>
      <c r="AB48" s="146"/>
      <c r="AC48" s="146"/>
      <c r="AD48" s="146"/>
      <c r="AE48" s="146"/>
      <c r="AF48" s="146"/>
      <c r="AG48" s="146"/>
      <c r="AH48" s="146"/>
      <c r="AI48" s="146"/>
      <c r="AJ48" s="146"/>
      <c r="AK48" s="146"/>
      <c r="AL48" s="146">
        <v>735.72331726782454</v>
      </c>
      <c r="AM48" s="146">
        <v>0.28149956297008599</v>
      </c>
      <c r="AN48" s="146">
        <v>0.27572522325266929</v>
      </c>
      <c r="AO48" s="146">
        <v>341.59981096166263</v>
      </c>
      <c r="AP48" s="146">
        <v>301.5312853266139</v>
      </c>
      <c r="AQ48" t="s">
        <v>308</v>
      </c>
      <c r="AR48">
        <v>0</v>
      </c>
      <c r="AS48">
        <v>0</v>
      </c>
      <c r="AT48">
        <v>0</v>
      </c>
      <c r="AU48">
        <v>1</v>
      </c>
      <c r="AV48">
        <v>0.1</v>
      </c>
      <c r="AW48">
        <v>3</v>
      </c>
      <c r="AX48" s="141">
        <v>5.9258799381662154E-2</v>
      </c>
      <c r="AY48" s="141">
        <v>1E-8</v>
      </c>
      <c r="AZ48" s="209">
        <v>301.5312853266139</v>
      </c>
      <c r="BA48">
        <v>5.9258799381662154E-2</v>
      </c>
      <c r="BB48" s="249">
        <v>57.704159034195456</v>
      </c>
      <c r="BC48" s="243">
        <v>189.97279414212906</v>
      </c>
      <c r="BD48" s="209">
        <v>103644.99427820207</v>
      </c>
      <c r="BE48" s="243">
        <v>79.904458425725466</v>
      </c>
      <c r="BF48">
        <v>286432.60692926013</v>
      </c>
      <c r="BG48" t="s">
        <v>387</v>
      </c>
      <c r="BH48">
        <v>6.1295600552315841E-6</v>
      </c>
      <c r="BI48">
        <v>2236449.9427820207</v>
      </c>
      <c r="BJ48">
        <f t="shared" si="0"/>
        <v>0.1280746782881059</v>
      </c>
    </row>
    <row r="49" spans="1:62" x14ac:dyDescent="0.3">
      <c r="A49">
        <v>-0.1</v>
      </c>
      <c r="B49" s="146">
        <v>1000</v>
      </c>
      <c r="C49" s="146">
        <v>25</v>
      </c>
      <c r="D49" s="146">
        <v>400</v>
      </c>
      <c r="E49" s="252">
        <v>18.009822496854699</v>
      </c>
      <c r="F49" s="146">
        <v>6.3530947947460819</v>
      </c>
      <c r="G49" s="146">
        <v>21.919928797480679</v>
      </c>
      <c r="H49" s="146">
        <v>0</v>
      </c>
      <c r="I49" s="146"/>
      <c r="J49" s="146">
        <v>6.4096329812298097E-2</v>
      </c>
      <c r="K49" s="146">
        <v>1E-8</v>
      </c>
      <c r="L49" s="146">
        <v>106.9113566715474</v>
      </c>
      <c r="M49" s="146">
        <v>64.146813504008776</v>
      </c>
      <c r="N49" s="146">
        <v>0.95878634269222696</v>
      </c>
      <c r="O49" s="146"/>
      <c r="P49" s="146"/>
      <c r="Q49" s="146"/>
      <c r="R49" s="146"/>
      <c r="S49" s="146"/>
      <c r="T49" s="146"/>
      <c r="U49" s="146"/>
      <c r="V49" s="146"/>
      <c r="W49" s="146"/>
      <c r="X49" s="146"/>
      <c r="Y49" s="146"/>
      <c r="Z49" s="146" t="s">
        <v>35</v>
      </c>
      <c r="AA49" s="146"/>
      <c r="AB49" s="146"/>
      <c r="AC49" s="146"/>
      <c r="AD49" s="146"/>
      <c r="AE49" s="146"/>
      <c r="AF49" s="146"/>
      <c r="AG49" s="146"/>
      <c r="AH49" s="146"/>
      <c r="AI49" s="146"/>
      <c r="AJ49" s="146"/>
      <c r="AK49" s="146"/>
      <c r="AL49" s="146">
        <v>770.5018189478493</v>
      </c>
      <c r="AM49" s="146">
        <v>0.28983190837172162</v>
      </c>
      <c r="AN49" s="146">
        <v>0.28106783029809201</v>
      </c>
      <c r="AO49" s="146">
        <v>335.92357233570976</v>
      </c>
      <c r="AP49" s="146">
        <v>291.10864760173581</v>
      </c>
      <c r="AQ49" t="s">
        <v>308</v>
      </c>
      <c r="AR49">
        <v>0</v>
      </c>
      <c r="AS49">
        <v>0</v>
      </c>
      <c r="AT49">
        <v>0</v>
      </c>
      <c r="AU49">
        <v>1</v>
      </c>
      <c r="AV49">
        <v>0.1</v>
      </c>
      <c r="AW49">
        <v>3</v>
      </c>
      <c r="AX49" s="141">
        <v>6.0079128768922963E-2</v>
      </c>
      <c r="AY49" s="141">
        <v>1E-8</v>
      </c>
      <c r="AZ49" s="209">
        <v>291.10864760173581</v>
      </c>
      <c r="BA49">
        <v>6.0079128768922963E-2</v>
      </c>
      <c r="BB49" s="249">
        <v>66.035144217096416</v>
      </c>
      <c r="BC49" s="243">
        <v>204.13889095327374</v>
      </c>
      <c r="BD49" s="209">
        <v>115494.83793650313</v>
      </c>
      <c r="BE49" s="243">
        <v>89.284670347900942</v>
      </c>
      <c r="BF49">
        <v>350881.64514813898</v>
      </c>
      <c r="BG49" t="s">
        <v>387</v>
      </c>
      <c r="BH49">
        <v>6.3954171427784872E-6</v>
      </c>
      <c r="BI49">
        <v>2354948.3793650316</v>
      </c>
      <c r="BJ49">
        <f t="shared" si="0"/>
        <v>0.1489975951161816</v>
      </c>
    </row>
    <row r="50" spans="1:62" x14ac:dyDescent="0.3">
      <c r="A50">
        <v>-0.1</v>
      </c>
      <c r="B50" s="146">
        <v>1300</v>
      </c>
      <c r="C50" s="146">
        <v>25</v>
      </c>
      <c r="D50" s="146">
        <v>400</v>
      </c>
      <c r="E50" s="252">
        <v>20.106044307102195</v>
      </c>
      <c r="F50" s="146">
        <v>7.3638482552163067</v>
      </c>
      <c r="G50" s="146">
        <v>24.584188231549245</v>
      </c>
      <c r="H50" s="146">
        <v>0</v>
      </c>
      <c r="I50" s="146"/>
      <c r="J50" s="146">
        <v>6.4981016142536388E-2</v>
      </c>
      <c r="K50" s="146">
        <v>1E-8</v>
      </c>
      <c r="L50" s="146">
        <v>122.23743983829652</v>
      </c>
      <c r="M50" s="146">
        <v>73.342463332536525</v>
      </c>
      <c r="N50" s="146">
        <v>1.0531056449881735</v>
      </c>
      <c r="O50" s="146"/>
      <c r="P50" s="146"/>
      <c r="Q50" s="146"/>
      <c r="R50" s="146"/>
      <c r="S50" s="146"/>
      <c r="T50" s="146"/>
      <c r="U50" s="146"/>
      <c r="V50" s="146"/>
      <c r="W50" s="146"/>
      <c r="X50" s="146"/>
      <c r="Y50" s="146"/>
      <c r="Z50" s="146" t="s">
        <v>35</v>
      </c>
      <c r="AA50" s="146"/>
      <c r="AB50" s="146"/>
      <c r="AC50" s="146"/>
      <c r="AD50" s="146"/>
      <c r="AE50" s="146"/>
      <c r="AF50" s="146"/>
      <c r="AG50" s="146"/>
      <c r="AH50" s="146"/>
      <c r="AI50" s="146"/>
      <c r="AJ50" s="146"/>
      <c r="AK50" s="146"/>
      <c r="AL50" s="146">
        <v>806.34389715158011</v>
      </c>
      <c r="AM50" s="146">
        <v>0.2995359531849896</v>
      </c>
      <c r="AN50" s="146">
        <v>0.28650108873655644</v>
      </c>
      <c r="AO50" s="146">
        <v>329.82210156419296</v>
      </c>
      <c r="AP50" s="146">
        <v>279.79107465749371</v>
      </c>
      <c r="AQ50" t="s">
        <v>308</v>
      </c>
      <c r="AR50">
        <v>0</v>
      </c>
      <c r="AS50">
        <v>0</v>
      </c>
      <c r="AT50">
        <v>0</v>
      </c>
      <c r="AU50">
        <v>1</v>
      </c>
      <c r="AV50">
        <v>0.1</v>
      </c>
      <c r="AW50">
        <v>3</v>
      </c>
      <c r="AX50" s="141">
        <v>6.1192185316342268E-2</v>
      </c>
      <c r="AY50" s="228">
        <v>1E-8</v>
      </c>
      <c r="AZ50" s="209">
        <v>279.79107465749371</v>
      </c>
      <c r="BA50">
        <v>6.1192185316342268E-2</v>
      </c>
      <c r="BB50" s="249">
        <v>75.697245947311103</v>
      </c>
      <c r="BC50" s="243">
        <v>218.47073183891487</v>
      </c>
      <c r="BD50" s="209">
        <v>128502.18243043107</v>
      </c>
      <c r="BE50" s="243">
        <v>100.01718689664351</v>
      </c>
      <c r="BF50">
        <v>430050.318424267</v>
      </c>
      <c r="BG50" t="s">
        <v>387</v>
      </c>
      <c r="BH50">
        <v>6.628425913285397E-6</v>
      </c>
      <c r="BI50">
        <v>2485021.8243043106</v>
      </c>
      <c r="BJ50">
        <f t="shared" si="0"/>
        <v>0.1730569583809031</v>
      </c>
    </row>
    <row r="51" spans="1:62" x14ac:dyDescent="0.3">
      <c r="A51">
        <v>-0.1</v>
      </c>
      <c r="B51" s="227">
        <v>1600</v>
      </c>
      <c r="C51" s="146">
        <v>25</v>
      </c>
      <c r="D51" s="146">
        <v>400</v>
      </c>
      <c r="E51" s="252">
        <v>21.549201959835163</v>
      </c>
      <c r="F51" s="146">
        <v>8.1033120089217157</v>
      </c>
      <c r="G51" s="146">
        <v>26.438049589385702</v>
      </c>
      <c r="H51" s="146">
        <v>0</v>
      </c>
      <c r="I51" s="146"/>
      <c r="J51" s="146">
        <v>6.5567101919237966E-2</v>
      </c>
      <c r="K51" s="146">
        <v>1E-8</v>
      </c>
      <c r="L51" s="146">
        <v>133.34190948770706</v>
      </c>
      <c r="M51" s="146">
        <v>80.005145070361976</v>
      </c>
      <c r="N51" s="146">
        <v>1.1180284624361585</v>
      </c>
      <c r="O51" s="146"/>
      <c r="P51" s="146"/>
      <c r="Q51" s="146"/>
      <c r="R51" s="146"/>
      <c r="S51" s="146"/>
      <c r="T51" s="146"/>
      <c r="U51" s="146"/>
      <c r="V51" s="146"/>
      <c r="W51" s="146"/>
      <c r="X51" s="146"/>
      <c r="Y51" s="146"/>
      <c r="Z51" s="146" t="s">
        <v>35</v>
      </c>
      <c r="AA51" s="146"/>
      <c r="AB51" s="146"/>
      <c r="AC51" s="146"/>
      <c r="AD51" s="146"/>
      <c r="AE51" s="146"/>
      <c r="AF51" s="146"/>
      <c r="AG51" s="146"/>
      <c r="AH51" s="146"/>
      <c r="AI51" s="146"/>
      <c r="AJ51" s="146"/>
      <c r="AK51" s="146"/>
      <c r="AL51" s="146">
        <v>831.1632987932054</v>
      </c>
      <c r="AM51" s="146">
        <v>0.30650188401851769</v>
      </c>
      <c r="AN51" s="146">
        <v>0.2903079574136101</v>
      </c>
      <c r="AO51" s="146">
        <v>325.77123220520821</v>
      </c>
      <c r="AP51" s="146">
        <v>272.14906757512608</v>
      </c>
      <c r="AQ51" t="s">
        <v>308</v>
      </c>
      <c r="AR51">
        <v>0</v>
      </c>
      <c r="AS51">
        <v>0</v>
      </c>
      <c r="AT51">
        <v>0</v>
      </c>
      <c r="AU51">
        <v>1</v>
      </c>
      <c r="AV51">
        <v>0.1</v>
      </c>
      <c r="AW51">
        <v>3</v>
      </c>
      <c r="AX51" s="141">
        <v>6.1945734251945585E-2</v>
      </c>
      <c r="AY51" s="228">
        <v>1E-8</v>
      </c>
      <c r="AZ51" s="209">
        <v>272.14906757512608</v>
      </c>
      <c r="BA51">
        <v>6.1945734251945585E-2</v>
      </c>
      <c r="BB51" s="249">
        <v>82.667463682647053</v>
      </c>
      <c r="BC51" s="243">
        <v>227.31640240225903</v>
      </c>
      <c r="BD51" s="209">
        <v>137245.56886327273</v>
      </c>
      <c r="BE51" s="243">
        <v>107.56024763361451</v>
      </c>
      <c r="BF51">
        <v>489573.40364514926</v>
      </c>
      <c r="BG51" t="s">
        <v>387</v>
      </c>
      <c r="BH51">
        <v>6.7629431102520007E-6</v>
      </c>
      <c r="BI51">
        <v>2572455.6886327271</v>
      </c>
      <c r="BJ51">
        <f t="shared" si="0"/>
        <v>0.19031363914585442</v>
      </c>
    </row>
    <row r="52" spans="1:62" s="140" customFormat="1" x14ac:dyDescent="0.3">
      <c r="A52" s="140">
        <v>-0.1</v>
      </c>
      <c r="B52" s="140">
        <v>1900</v>
      </c>
      <c r="C52" s="140">
        <v>25</v>
      </c>
      <c r="D52" s="140">
        <v>400</v>
      </c>
      <c r="E52" s="253">
        <v>22.570907081757053</v>
      </c>
      <c r="F52" s="140">
        <v>8.6499851628271465</v>
      </c>
      <c r="G52" s="140">
        <v>27.760748387344961</v>
      </c>
      <c r="H52" s="140">
        <v>0</v>
      </c>
      <c r="J52" s="140">
        <v>6.6025310974005533E-2</v>
      </c>
      <c r="K52" s="140">
        <v>1E-8</v>
      </c>
      <c r="L52" s="140">
        <v>141.49621874656515</v>
      </c>
      <c r="M52" s="140">
        <v>84.897730587623386</v>
      </c>
      <c r="N52" s="140">
        <v>1.1627299499994397</v>
      </c>
      <c r="Z52" s="140" t="s">
        <v>35</v>
      </c>
      <c r="AL52" s="140">
        <v>848.1674649653753</v>
      </c>
      <c r="AM52" s="140">
        <v>0.3115904889210529</v>
      </c>
      <c r="AN52" s="140">
        <v>0.29300314381872961</v>
      </c>
      <c r="AO52" s="140">
        <v>322.96701397947845</v>
      </c>
      <c r="AP52" s="140">
        <v>266.80248996565535</v>
      </c>
      <c r="AQ52" s="140" t="s">
        <v>308</v>
      </c>
      <c r="AR52" s="140">
        <v>0</v>
      </c>
      <c r="AS52" s="140">
        <v>0</v>
      </c>
      <c r="AT52" s="140">
        <v>0</v>
      </c>
      <c r="AU52" s="140">
        <v>1</v>
      </c>
      <c r="AV52">
        <v>0.1</v>
      </c>
      <c r="AW52">
        <v>3</v>
      </c>
      <c r="AX52" s="141">
        <v>6.2521977667584216E-2</v>
      </c>
      <c r="AY52" s="205">
        <v>1E-8</v>
      </c>
      <c r="AZ52" s="209">
        <v>266.80248996565535</v>
      </c>
      <c r="BA52" s="140">
        <v>6.2521977667584216E-2</v>
      </c>
      <c r="BB52" s="253">
        <v>87.7705575234462</v>
      </c>
      <c r="BC52" s="245">
        <v>232.931976338526</v>
      </c>
      <c r="BD52" s="210">
        <v>143286.25048392641</v>
      </c>
      <c r="BE52" s="245">
        <v>113.00751333120675</v>
      </c>
      <c r="BF52" s="140">
        <v>534220.56192729529</v>
      </c>
      <c r="BG52" t="s">
        <v>387</v>
      </c>
      <c r="BH52" s="140">
        <v>6.8480008519785832E-6</v>
      </c>
      <c r="BI52" s="140">
        <v>2632862.5048392639</v>
      </c>
      <c r="BJ52">
        <f t="shared" si="0"/>
        <v>0.20290484632045358</v>
      </c>
    </row>
    <row r="53" spans="1:62" x14ac:dyDescent="0.3">
      <c r="A53">
        <v>-0.1</v>
      </c>
      <c r="B53" s="146">
        <v>1000</v>
      </c>
      <c r="C53" s="146">
        <v>25</v>
      </c>
      <c r="D53" s="146">
        <v>200</v>
      </c>
      <c r="E53" s="252">
        <v>12.407846734465398</v>
      </c>
      <c r="F53" s="146">
        <v>10.916976058886249</v>
      </c>
      <c r="G53" s="146">
        <v>18.737724740346373</v>
      </c>
      <c r="H53" s="146">
        <v>0</v>
      </c>
      <c r="I53" s="146"/>
      <c r="J53" s="146">
        <v>9.8075863044557121E-2</v>
      </c>
      <c r="K53" s="146">
        <v>1E-8</v>
      </c>
      <c r="L53" s="146">
        <v>113.27586348643757</v>
      </c>
      <c r="M53" s="146">
        <v>67.965517563241832</v>
      </c>
      <c r="N53" s="146">
        <v>1.040420268059675</v>
      </c>
      <c r="O53" s="146"/>
      <c r="P53" s="146"/>
      <c r="Q53" s="146"/>
      <c r="R53" s="146"/>
      <c r="S53" s="146"/>
      <c r="T53" s="146"/>
      <c r="U53" s="146"/>
      <c r="V53" s="146"/>
      <c r="W53" s="146"/>
      <c r="X53" s="146"/>
      <c r="Y53" s="146"/>
      <c r="Z53" s="146" t="s">
        <v>35</v>
      </c>
      <c r="AA53" s="146"/>
      <c r="AB53" s="146"/>
      <c r="AC53" s="146"/>
      <c r="AD53" s="146"/>
      <c r="AE53" s="146"/>
      <c r="AF53" s="146"/>
      <c r="AG53" s="146"/>
      <c r="AH53" s="146"/>
      <c r="AI53" s="146"/>
      <c r="AJ53" s="146"/>
      <c r="AK53" s="146"/>
      <c r="AL53" s="146">
        <v>646.03864885685857</v>
      </c>
      <c r="AM53" s="146">
        <v>0.58262015320246641</v>
      </c>
      <c r="AN53" s="146">
        <v>0.28657957214488039</v>
      </c>
      <c r="AO53" s="146">
        <v>156.70365950510734</v>
      </c>
      <c r="AP53" s="146">
        <v>125.82851482702119</v>
      </c>
      <c r="AQ53" t="s">
        <v>308</v>
      </c>
      <c r="AR53">
        <v>0</v>
      </c>
      <c r="AS53">
        <v>0</v>
      </c>
      <c r="AT53">
        <v>0</v>
      </c>
      <c r="AU53">
        <v>1</v>
      </c>
      <c r="AV53">
        <v>0.1</v>
      </c>
      <c r="AW53">
        <v>3</v>
      </c>
      <c r="AX53" s="141">
        <v>9.1632967022558187E-2</v>
      </c>
      <c r="AY53" s="141">
        <v>1E-8</v>
      </c>
      <c r="AZ53" s="209">
        <v>125.82851482702119</v>
      </c>
      <c r="BA53">
        <v>9.1632967022558187E-2</v>
      </c>
      <c r="BB53" s="249">
        <v>94.219829031827501</v>
      </c>
      <c r="BC53" s="243">
        <v>224.48799745007366</v>
      </c>
      <c r="BD53" s="209">
        <v>147686.07576171213</v>
      </c>
      <c r="BE53" s="243">
        <v>124.06799312506656</v>
      </c>
      <c r="BF53">
        <v>259148.93763642927</v>
      </c>
      <c r="BG53" t="s">
        <v>388</v>
      </c>
      <c r="BH53">
        <v>3.9849012227145639E-6</v>
      </c>
      <c r="BI53">
        <v>2676860.7576171216</v>
      </c>
      <c r="BJ53">
        <f t="shared" si="0"/>
        <v>9.6810764960041318E-2</v>
      </c>
    </row>
    <row r="54" spans="1:62" x14ac:dyDescent="0.3">
      <c r="A54">
        <v>-0.1</v>
      </c>
      <c r="B54" s="146">
        <v>1000</v>
      </c>
      <c r="C54" s="146">
        <v>25</v>
      </c>
      <c r="D54" s="146">
        <v>300</v>
      </c>
      <c r="E54" s="252">
        <v>15.802655511282222</v>
      </c>
      <c r="F54" s="146">
        <v>8.1322552460457427</v>
      </c>
      <c r="G54" s="146">
        <v>20.655515762481492</v>
      </c>
      <c r="H54" s="146">
        <v>0</v>
      </c>
      <c r="I54" s="146"/>
      <c r="J54" s="146">
        <v>7.825222630495822E-2</v>
      </c>
      <c r="K54" s="146">
        <v>1E-8</v>
      </c>
      <c r="L54" s="146">
        <v>109.40292426346309</v>
      </c>
      <c r="M54" s="146">
        <v>65.641754047530867</v>
      </c>
      <c r="N54" s="146">
        <v>1.0182927353897031</v>
      </c>
      <c r="O54" s="146"/>
      <c r="P54" s="146"/>
      <c r="Q54" s="146"/>
      <c r="R54" s="146"/>
      <c r="S54" s="146"/>
      <c r="T54" s="146"/>
      <c r="U54" s="146"/>
      <c r="V54" s="146"/>
      <c r="W54" s="146"/>
      <c r="X54" s="146"/>
      <c r="Y54" s="146"/>
      <c r="Z54" s="146" t="s">
        <v>35</v>
      </c>
      <c r="AA54" s="146"/>
      <c r="AB54" s="146"/>
      <c r="AC54" s="146"/>
      <c r="AD54" s="146"/>
      <c r="AE54" s="146"/>
      <c r="AF54" s="146"/>
      <c r="AG54" s="146"/>
      <c r="AH54" s="146"/>
      <c r="AI54" s="146"/>
      <c r="AJ54" s="146"/>
      <c r="AK54" s="146"/>
      <c r="AL54" s="146">
        <v>714.13526909444522</v>
      </c>
      <c r="AM54" s="146">
        <v>0.39370865097530527</v>
      </c>
      <c r="AN54" s="146">
        <v>0.28377001340886654</v>
      </c>
      <c r="AO54" s="146">
        <v>244.31174978128095</v>
      </c>
      <c r="AP54" s="146">
        <v>204.98890139959349</v>
      </c>
      <c r="AQ54" t="s">
        <v>308</v>
      </c>
      <c r="AR54">
        <v>0</v>
      </c>
      <c r="AS54">
        <v>0</v>
      </c>
      <c r="AT54">
        <v>0</v>
      </c>
      <c r="AU54">
        <v>1</v>
      </c>
      <c r="AV54">
        <v>0.1</v>
      </c>
      <c r="AW54">
        <v>3</v>
      </c>
      <c r="AX54" s="141">
        <v>7.3078866894265043E-2</v>
      </c>
      <c r="AY54" s="141">
        <v>1E-8</v>
      </c>
      <c r="AZ54" s="209">
        <v>204.98890139959349</v>
      </c>
      <c r="BA54">
        <v>7.3078866894265043E-2</v>
      </c>
      <c r="BB54" s="249">
        <v>77.042510072283122</v>
      </c>
      <c r="BC54" s="243">
        <v>211.8761064111093</v>
      </c>
      <c r="BD54" s="209">
        <v>127848.5206246389</v>
      </c>
      <c r="BE54" s="243">
        <v>102.81694485945043</v>
      </c>
      <c r="BF54">
        <v>318920.61577862373</v>
      </c>
      <c r="BG54" t="s">
        <v>388</v>
      </c>
      <c r="BH54">
        <v>5.3958366023753716E-6</v>
      </c>
      <c r="BI54">
        <v>2478485.2062463891</v>
      </c>
      <c r="BJ54">
        <f t="shared" si="0"/>
        <v>0.12867561806496394</v>
      </c>
    </row>
    <row r="55" spans="1:62" x14ac:dyDescent="0.3">
      <c r="A55">
        <v>-0.1</v>
      </c>
      <c r="B55" s="146">
        <v>1000</v>
      </c>
      <c r="C55" s="146">
        <v>25</v>
      </c>
      <c r="D55" s="146">
        <v>400</v>
      </c>
      <c r="E55" s="252">
        <v>18.013886112790335</v>
      </c>
      <c r="F55" s="146">
        <v>6.3555571673831679</v>
      </c>
      <c r="G55" s="146">
        <v>21.925468547115713</v>
      </c>
      <c r="H55" s="146">
        <v>0</v>
      </c>
      <c r="I55" s="146"/>
      <c r="J55" s="146">
        <v>6.416856135431194E-2</v>
      </c>
      <c r="K55" s="146">
        <v>1E-8</v>
      </c>
      <c r="L55" s="146">
        <v>106.92277782197449</v>
      </c>
      <c r="M55" s="146">
        <v>64.153666194211723</v>
      </c>
      <c r="N55" s="146">
        <v>0.95760004295130186</v>
      </c>
      <c r="O55" s="146"/>
      <c r="P55" s="146"/>
      <c r="Q55" s="146"/>
      <c r="R55" s="146"/>
      <c r="S55" s="146"/>
      <c r="T55" s="146"/>
      <c r="U55" s="146"/>
      <c r="V55" s="146"/>
      <c r="W55" s="146"/>
      <c r="X55" s="146"/>
      <c r="Y55" s="146"/>
      <c r="Z55" s="146" t="s">
        <v>35</v>
      </c>
      <c r="AA55" s="146"/>
      <c r="AB55" s="146"/>
      <c r="AC55" s="146"/>
      <c r="AD55" s="146"/>
      <c r="AE55" s="146"/>
      <c r="AF55" s="146"/>
      <c r="AG55" s="146"/>
      <c r="AH55" s="146"/>
      <c r="AI55" s="146"/>
      <c r="AJ55" s="146"/>
      <c r="AK55" s="146"/>
      <c r="AL55" s="146">
        <v>769.8645527596193</v>
      </c>
      <c r="AM55" s="146">
        <v>0.28987098513884391</v>
      </c>
      <c r="AN55" s="146">
        <v>0.28098214991417675</v>
      </c>
      <c r="AO55" s="146">
        <v>335.88957121193465</v>
      </c>
      <c r="AP55" s="146">
        <v>291.06453128396862</v>
      </c>
      <c r="AQ55" t="s">
        <v>308</v>
      </c>
      <c r="AR55">
        <v>0</v>
      </c>
      <c r="AS55">
        <v>0</v>
      </c>
      <c r="AT55">
        <v>0</v>
      </c>
      <c r="AU55">
        <v>1</v>
      </c>
      <c r="AV55">
        <v>0.1</v>
      </c>
      <c r="AW55">
        <v>3</v>
      </c>
      <c r="AX55" s="141">
        <v>6.0143590440946477E-2</v>
      </c>
      <c r="AY55" s="141">
        <v>1E-8</v>
      </c>
      <c r="AZ55" s="209">
        <v>291.06453128396862</v>
      </c>
      <c r="BA55">
        <v>6.0143590440946477E-2</v>
      </c>
      <c r="BB55" s="249">
        <v>66.057495004500907</v>
      </c>
      <c r="BC55" s="243">
        <v>204.1737268956258</v>
      </c>
      <c r="BD55" s="209">
        <v>115551.63611832293</v>
      </c>
      <c r="BE55" s="243">
        <v>89.347813357892534</v>
      </c>
      <c r="BF55">
        <v>351087.38281997328</v>
      </c>
      <c r="BG55" t="s">
        <v>388</v>
      </c>
      <c r="BH55">
        <v>6.394997651093137E-6</v>
      </c>
      <c r="BI55">
        <v>2355516.3611832294</v>
      </c>
      <c r="BJ55">
        <f t="shared" si="0"/>
        <v>0.14904901048686162</v>
      </c>
    </row>
    <row r="56" spans="1:62" x14ac:dyDescent="0.3">
      <c r="A56">
        <v>-0.1</v>
      </c>
      <c r="B56" s="146">
        <v>1000</v>
      </c>
      <c r="C56" s="146">
        <v>25</v>
      </c>
      <c r="D56" s="146">
        <v>500</v>
      </c>
      <c r="E56" s="252">
        <v>19.526999899512166</v>
      </c>
      <c r="F56" s="146">
        <v>5.1656330219926954</v>
      </c>
      <c r="G56" s="146">
        <v>22.808935603698288</v>
      </c>
      <c r="H56" s="146">
        <v>0</v>
      </c>
      <c r="I56" s="146"/>
      <c r="J56" s="146">
        <v>5.3528548180815573E-2</v>
      </c>
      <c r="K56" s="146">
        <v>1E-8</v>
      </c>
      <c r="L56" s="146">
        <v>105.31575744980597</v>
      </c>
      <c r="M56" s="146">
        <v>63.189453978410043</v>
      </c>
      <c r="N56" s="146">
        <v>0.88975989919265919</v>
      </c>
      <c r="O56" s="146"/>
      <c r="P56" s="146"/>
      <c r="Q56" s="146"/>
      <c r="R56" s="146"/>
      <c r="S56" s="146"/>
      <c r="T56" s="146"/>
      <c r="U56" s="146"/>
      <c r="V56" s="146"/>
      <c r="W56" s="146"/>
      <c r="X56" s="146"/>
      <c r="Y56" s="146"/>
      <c r="Z56" s="146" t="s">
        <v>35</v>
      </c>
      <c r="AA56" s="146"/>
      <c r="AB56" s="146"/>
      <c r="AC56" s="146"/>
      <c r="AD56" s="146"/>
      <c r="AE56" s="146"/>
      <c r="AF56" s="146"/>
      <c r="AG56" s="146"/>
      <c r="AH56" s="146"/>
      <c r="AI56" s="146"/>
      <c r="AJ56" s="146"/>
      <c r="AK56" s="146"/>
      <c r="AL56" s="146">
        <v>826.21305636277953</v>
      </c>
      <c r="AM56" s="146">
        <v>0.22647409382641814</v>
      </c>
      <c r="AN56" s="146">
        <v>0.27865159778665016</v>
      </c>
      <c r="AO56" s="146">
        <v>429.92324445789461</v>
      </c>
      <c r="AP56" s="146">
        <v>381.3331067664501</v>
      </c>
      <c r="AQ56" t="s">
        <v>308</v>
      </c>
      <c r="AR56">
        <v>0</v>
      </c>
      <c r="AS56">
        <v>0</v>
      </c>
      <c r="AT56">
        <v>0</v>
      </c>
      <c r="AU56">
        <v>1</v>
      </c>
      <c r="AV56">
        <v>0.1</v>
      </c>
      <c r="AW56">
        <v>3</v>
      </c>
      <c r="AX56" s="141">
        <v>5.0465036235979172E-2</v>
      </c>
      <c r="AY56" s="141">
        <v>1E-8</v>
      </c>
      <c r="AZ56" s="209">
        <v>381.3331067664501</v>
      </c>
      <c r="BA56">
        <v>5.0465036235979172E-2</v>
      </c>
      <c r="BB56" s="249">
        <v>58.708266112830181</v>
      </c>
      <c r="BC56" s="243">
        <v>199.32698946855533</v>
      </c>
      <c r="BD56" s="209">
        <v>107520.21018880323</v>
      </c>
      <c r="BE56" s="243">
        <v>80.320687807354261</v>
      </c>
      <c r="BF56">
        <v>369611.11955368519</v>
      </c>
      <c r="BG56" t="s">
        <v>388</v>
      </c>
      <c r="BH56">
        <v>7.1179136256119981E-6</v>
      </c>
      <c r="BI56">
        <v>2275202.1018880326</v>
      </c>
      <c r="BJ56">
        <f t="shared" si="0"/>
        <v>0.16245199459290693</v>
      </c>
    </row>
    <row r="57" spans="1:62" x14ac:dyDescent="0.3">
      <c r="A57">
        <v>-0.1</v>
      </c>
      <c r="B57" s="146">
        <v>1000</v>
      </c>
      <c r="C57" s="146">
        <v>25</v>
      </c>
      <c r="D57" s="146">
        <v>600</v>
      </c>
      <c r="E57" s="252">
        <v>20.619284420568476</v>
      </c>
      <c r="F57" s="146">
        <v>4.3302285838671555</v>
      </c>
      <c r="G57" s="146">
        <v>23.459842901627528</v>
      </c>
      <c r="H57" s="146">
        <v>0</v>
      </c>
      <c r="I57" s="146"/>
      <c r="J57" s="146">
        <v>4.5403104474437156E-2</v>
      </c>
      <c r="K57" s="146">
        <v>1E-8</v>
      </c>
      <c r="L57" s="146">
        <v>104.24485493351284</v>
      </c>
      <c r="M57" s="146">
        <v>62.546912473631714</v>
      </c>
      <c r="N57" s="146">
        <v>0.82288186053953627</v>
      </c>
      <c r="O57" s="146"/>
      <c r="P57" s="146"/>
      <c r="Q57" s="146"/>
      <c r="R57" s="146"/>
      <c r="S57" s="146"/>
      <c r="T57" s="146"/>
      <c r="U57" s="146"/>
      <c r="V57" s="146"/>
      <c r="W57" s="146"/>
      <c r="X57" s="146"/>
      <c r="Y57" s="146"/>
      <c r="Z57" s="146" t="s">
        <v>35</v>
      </c>
      <c r="AA57" s="146"/>
      <c r="AB57" s="146"/>
      <c r="AC57" s="146"/>
      <c r="AD57" s="146"/>
      <c r="AE57" s="146"/>
      <c r="AF57" s="146"/>
      <c r="AG57" s="146"/>
      <c r="AH57" s="146"/>
      <c r="AI57" s="146"/>
      <c r="AJ57" s="146"/>
      <c r="AK57" s="146"/>
      <c r="AL57" s="146">
        <v>885.59874028233128</v>
      </c>
      <c r="AM57" s="146">
        <v>0.18458045955485686</v>
      </c>
      <c r="AN57" s="146">
        <v>0.27664256573080875</v>
      </c>
      <c r="AO57" s="146">
        <v>525.46597315529391</v>
      </c>
      <c r="AP57" s="146">
        <v>474.15781001256306</v>
      </c>
      <c r="AQ57" t="s">
        <v>308</v>
      </c>
      <c r="AR57">
        <v>0</v>
      </c>
      <c r="AS57">
        <v>0</v>
      </c>
      <c r="AT57">
        <v>0</v>
      </c>
      <c r="AU57">
        <v>1</v>
      </c>
      <c r="AV57">
        <v>0.1</v>
      </c>
      <c r="AW57">
        <v>3</v>
      </c>
      <c r="AX57" s="141">
        <v>4.3090183792779714E-2</v>
      </c>
      <c r="AY57" s="141">
        <v>1E-8</v>
      </c>
      <c r="AZ57" s="209">
        <v>474.15781001256306</v>
      </c>
      <c r="BA57">
        <v>4.3090183792779714E-2</v>
      </c>
      <c r="BB57" s="249">
        <v>53.568651776051027</v>
      </c>
      <c r="BC57" s="243">
        <v>196.15699856858973</v>
      </c>
      <c r="BD57" s="209">
        <v>102043.75580079932</v>
      </c>
      <c r="BE57" s="243">
        <v>74.020677081600965</v>
      </c>
      <c r="BF57">
        <v>381406.47531905177</v>
      </c>
      <c r="BG57" t="s">
        <v>388</v>
      </c>
      <c r="BH57">
        <v>7.6564642885021206E-6</v>
      </c>
      <c r="BI57">
        <v>2220437.5580079933</v>
      </c>
      <c r="BJ57">
        <f t="shared" si="0"/>
        <v>0.17177086288398963</v>
      </c>
    </row>
    <row r="58" spans="1:62" x14ac:dyDescent="0.3">
      <c r="A58">
        <v>-0.1</v>
      </c>
      <c r="B58" s="146">
        <v>1000</v>
      </c>
      <c r="C58" s="146">
        <v>25</v>
      </c>
      <c r="D58" s="146">
        <v>700</v>
      </c>
      <c r="E58" s="252">
        <v>21.439155322018948</v>
      </c>
      <c r="F58" s="146">
        <v>3.7168445086745479</v>
      </c>
      <c r="G58" s="146">
        <v>23.95601809414195</v>
      </c>
      <c r="H58" s="146">
        <v>0</v>
      </c>
      <c r="I58" s="146"/>
      <c r="J58" s="146">
        <v>3.9077203006869954E-2</v>
      </c>
      <c r="K58" s="146">
        <v>1E-8</v>
      </c>
      <c r="L58" s="146">
        <v>103.49684461277519</v>
      </c>
      <c r="M58" s="146">
        <v>62.098106284679837</v>
      </c>
      <c r="N58" s="146">
        <v>0.76115963911578932</v>
      </c>
      <c r="O58" s="146"/>
      <c r="P58" s="146"/>
      <c r="Q58" s="146"/>
      <c r="R58" s="146"/>
      <c r="S58" s="146"/>
      <c r="T58" s="146"/>
      <c r="U58" s="146"/>
      <c r="V58" s="146"/>
      <c r="W58" s="146"/>
      <c r="X58" s="146"/>
      <c r="Y58" s="146"/>
      <c r="Z58" s="146" t="s">
        <v>35</v>
      </c>
      <c r="AA58" s="146"/>
      <c r="AB58" s="146"/>
      <c r="AC58" s="146"/>
      <c r="AD58" s="146"/>
      <c r="AE58" s="146"/>
      <c r="AF58" s="146"/>
      <c r="AG58" s="146"/>
      <c r="AH58" s="146"/>
      <c r="AI58" s="146"/>
      <c r="AJ58" s="146"/>
      <c r="AK58" s="146"/>
      <c r="AL58" s="146">
        <v>949.25712401926421</v>
      </c>
      <c r="AM58" s="146">
        <v>0.15515285111524613</v>
      </c>
      <c r="AN58" s="146">
        <v>0.27495175385370446</v>
      </c>
      <c r="AO58" s="146">
        <v>622.02575534969583</v>
      </c>
      <c r="AP58" s="146">
        <v>568.67730446136977</v>
      </c>
      <c r="AQ58" t="s">
        <v>308</v>
      </c>
      <c r="AR58">
        <v>0</v>
      </c>
      <c r="AS58">
        <v>0</v>
      </c>
      <c r="AT58">
        <v>0</v>
      </c>
      <c r="AU58">
        <v>1</v>
      </c>
      <c r="AV58">
        <v>0.1</v>
      </c>
      <c r="AW58">
        <v>3</v>
      </c>
      <c r="AX58" s="141">
        <v>3.7334206466820737E-2</v>
      </c>
      <c r="AY58" s="141">
        <v>1E-8</v>
      </c>
      <c r="AZ58" s="209">
        <v>568.67730446136977</v>
      </c>
      <c r="BA58">
        <v>3.7334206466820737E-2</v>
      </c>
      <c r="BB58" s="249">
        <v>49.808274970113551</v>
      </c>
      <c r="BC58" s="243">
        <v>193.97027527425061</v>
      </c>
      <c r="BD58" s="209">
        <v>98110.175711065502</v>
      </c>
      <c r="BE58" s="243">
        <v>69.405931840040026</v>
      </c>
      <c r="BF58">
        <v>389408.79275724734</v>
      </c>
      <c r="BG58" t="s">
        <v>388</v>
      </c>
      <c r="BH58">
        <v>8.069731170651931E-6</v>
      </c>
      <c r="BI58">
        <v>2181101.7571106553</v>
      </c>
      <c r="BJ58">
        <f t="shared" si="0"/>
        <v>0.17853765487452733</v>
      </c>
    </row>
    <row r="59" spans="1:62" x14ac:dyDescent="0.3">
      <c r="A59">
        <v>-0.1</v>
      </c>
      <c r="B59" s="146">
        <v>1000</v>
      </c>
      <c r="C59" s="146">
        <v>25</v>
      </c>
      <c r="D59" s="146">
        <v>800</v>
      </c>
      <c r="E59" s="252">
        <v>22.072629741169578</v>
      </c>
      <c r="F59" s="146">
        <v>3.2495273406721252</v>
      </c>
      <c r="G59" s="146">
        <v>24.343053517791862</v>
      </c>
      <c r="H59" s="146">
        <v>0</v>
      </c>
      <c r="I59" s="146"/>
      <c r="J59" s="146">
        <v>3.4050725809827508E-2</v>
      </c>
      <c r="K59" s="146">
        <v>1E-8</v>
      </c>
      <c r="L59" s="146">
        <v>102.95028590844292</v>
      </c>
      <c r="M59" s="146">
        <v>61.770171064631086</v>
      </c>
      <c r="N59" s="146">
        <v>0.70619289268006324</v>
      </c>
      <c r="O59" s="146"/>
      <c r="P59" s="146"/>
      <c r="Q59" s="146"/>
      <c r="R59" s="146"/>
      <c r="S59" s="146"/>
      <c r="T59" s="146"/>
      <c r="U59" s="146"/>
      <c r="V59" s="146"/>
      <c r="W59" s="146"/>
      <c r="X59" s="146"/>
      <c r="Y59" s="146"/>
      <c r="Z59" s="146" t="s">
        <v>35</v>
      </c>
      <c r="AA59" s="146"/>
      <c r="AB59" s="146"/>
      <c r="AC59" s="146"/>
      <c r="AD59" s="146"/>
      <c r="AE59" s="146"/>
      <c r="AF59" s="146"/>
      <c r="AG59" s="146"/>
      <c r="AH59" s="146"/>
      <c r="AI59" s="146"/>
      <c r="AJ59" s="146"/>
      <c r="AK59" s="146"/>
      <c r="AL59" s="146">
        <v>1017.4872560016152</v>
      </c>
      <c r="AM59" s="146">
        <v>0.13348889605394448</v>
      </c>
      <c r="AN59" s="146">
        <v>0.27356678376977417</v>
      </c>
      <c r="AO59" s="146">
        <v>719.31538823168944</v>
      </c>
      <c r="AP59" s="146">
        <v>664.39080966158349</v>
      </c>
      <c r="AQ59" t="s">
        <v>308</v>
      </c>
      <c r="AR59">
        <v>0</v>
      </c>
      <c r="AS59">
        <v>0</v>
      </c>
      <c r="AT59">
        <v>0</v>
      </c>
      <c r="AU59">
        <v>1</v>
      </c>
      <c r="AV59">
        <v>0.1</v>
      </c>
      <c r="AW59">
        <v>3</v>
      </c>
      <c r="AX59" s="141">
        <v>3.2734623113731459E-2</v>
      </c>
      <c r="AY59" s="141">
        <v>1E-8</v>
      </c>
      <c r="AZ59" s="209">
        <v>664.39080966158349</v>
      </c>
      <c r="BA59">
        <v>3.2734623113731459E-2</v>
      </c>
      <c r="BB59" s="249">
        <v>46.949884031032397</v>
      </c>
      <c r="BC59" s="243">
        <v>192.3864432918991</v>
      </c>
      <c r="BD59" s="209">
        <v>95151.744457314024</v>
      </c>
      <c r="BE59" s="243">
        <v>65.877599222589609</v>
      </c>
      <c r="BF59">
        <v>395038.34815255157</v>
      </c>
      <c r="BG59" t="s">
        <v>388</v>
      </c>
      <c r="BH59">
        <v>8.3952479716157025E-6</v>
      </c>
      <c r="BI59">
        <v>2151517.4445731402</v>
      </c>
      <c r="BJ59">
        <f t="shared" si="0"/>
        <v>0.18360917739661969</v>
      </c>
    </row>
    <row r="60" spans="1:62" x14ac:dyDescent="0.3">
      <c r="A60">
        <v>-0.1</v>
      </c>
      <c r="B60" s="146">
        <v>1000</v>
      </c>
      <c r="C60" s="146">
        <v>25</v>
      </c>
      <c r="D60" s="146">
        <v>900</v>
      </c>
      <c r="E60" s="252">
        <v>22.579706540311811</v>
      </c>
      <c r="F60" s="146">
        <v>2.8838769016771288</v>
      </c>
      <c r="G60" s="146">
        <v>24.657538913000902</v>
      </c>
      <c r="H60" s="146">
        <v>0</v>
      </c>
      <c r="I60" s="146"/>
      <c r="J60" s="146">
        <v>3.0062768530701639E-2</v>
      </c>
      <c r="K60" s="146">
        <v>1E-8</v>
      </c>
      <c r="L60" s="146">
        <v>102.54356500275406</v>
      </c>
      <c r="M60" s="146">
        <v>61.526138523115797</v>
      </c>
      <c r="N60" s="146">
        <v>0.65640560692791505</v>
      </c>
      <c r="O60" s="146"/>
      <c r="P60" s="146"/>
      <c r="Q60" s="146"/>
      <c r="R60" s="146"/>
      <c r="S60" s="146"/>
      <c r="T60" s="146"/>
      <c r="U60" s="146"/>
      <c r="V60" s="146"/>
      <c r="W60" s="146"/>
      <c r="X60" s="146"/>
      <c r="Y60" s="146"/>
      <c r="Z60" s="146" t="s">
        <v>35</v>
      </c>
      <c r="AA60" s="146"/>
      <c r="AB60" s="146"/>
      <c r="AC60" s="146"/>
      <c r="AD60" s="146"/>
      <c r="AE60" s="146"/>
      <c r="AF60" s="146"/>
      <c r="AG60" s="146"/>
      <c r="AH60" s="146"/>
      <c r="AI60" s="146"/>
      <c r="AJ60" s="146"/>
      <c r="AK60" s="146"/>
      <c r="AL60" s="146">
        <v>1089.1037719598137</v>
      </c>
      <c r="AM60" s="146">
        <v>0.11695720776725935</v>
      </c>
      <c r="AN60" s="146">
        <v>0.27233118064157791</v>
      </c>
      <c r="AO60" s="146">
        <v>817.08732548686908</v>
      </c>
      <c r="AP60" s="146">
        <v>760.90096849585632</v>
      </c>
      <c r="AQ60" t="s">
        <v>308</v>
      </c>
      <c r="AR60">
        <v>0</v>
      </c>
      <c r="AS60">
        <v>0</v>
      </c>
      <c r="AT60">
        <v>0</v>
      </c>
      <c r="AU60">
        <v>1</v>
      </c>
      <c r="AV60">
        <v>0.1</v>
      </c>
      <c r="AW60">
        <v>3</v>
      </c>
      <c r="AX60" s="141">
        <v>2.9061519974221399E-2</v>
      </c>
      <c r="AY60" s="141">
        <v>1E-8</v>
      </c>
      <c r="AZ60" s="209">
        <v>760.90096849585632</v>
      </c>
      <c r="BA60">
        <v>2.9061519974221399E-2</v>
      </c>
      <c r="BB60" s="249">
        <v>44.723588451728816</v>
      </c>
      <c r="BC60" s="243">
        <v>191.21537101447291</v>
      </c>
      <c r="BD60" s="209">
        <v>92889.258536857975</v>
      </c>
      <c r="BE60" s="243">
        <v>63.142197725738747</v>
      </c>
      <c r="BF60">
        <v>399364.70636406349</v>
      </c>
      <c r="BG60" t="s">
        <v>388</v>
      </c>
      <c r="BH60">
        <v>8.657222094141445E-6</v>
      </c>
      <c r="BI60">
        <v>2128892.5853685797</v>
      </c>
      <c r="BJ60">
        <f t="shared" si="0"/>
        <v>0.18759269918492419</v>
      </c>
    </row>
    <row r="61" spans="1:62" x14ac:dyDescent="0.3">
      <c r="A61">
        <v>-0.1</v>
      </c>
      <c r="B61" s="146">
        <v>1000</v>
      </c>
      <c r="C61" s="146">
        <v>25</v>
      </c>
      <c r="D61" s="146">
        <v>1000</v>
      </c>
      <c r="E61" s="252">
        <v>22.99064074985969</v>
      </c>
      <c r="F61" s="146">
        <v>2.5900013706499538</v>
      </c>
      <c r="G61" s="146">
        <v>24.913744679556938</v>
      </c>
      <c r="H61" s="146">
        <v>0</v>
      </c>
      <c r="I61" s="146"/>
      <c r="J61" s="146">
        <v>2.6805859598349257E-2</v>
      </c>
      <c r="K61" s="146">
        <v>1E-8</v>
      </c>
      <c r="L61" s="146">
        <v>102.22693595234071</v>
      </c>
      <c r="M61" s="146">
        <v>61.336161094345393</v>
      </c>
      <c r="N61" s="146">
        <v>0.61265897694998261</v>
      </c>
      <c r="O61" s="146"/>
      <c r="P61" s="146"/>
      <c r="Q61" s="146"/>
      <c r="R61" s="146"/>
      <c r="S61" s="146"/>
      <c r="T61" s="146"/>
      <c r="U61" s="146"/>
      <c r="V61" s="146"/>
      <c r="W61" s="146"/>
      <c r="X61" s="146"/>
      <c r="Y61" s="146"/>
      <c r="Z61" s="146" t="s">
        <v>35</v>
      </c>
      <c r="AA61" s="146"/>
      <c r="AB61" s="146"/>
      <c r="AC61" s="146"/>
      <c r="AD61" s="146"/>
      <c r="AE61" s="146"/>
      <c r="AF61" s="146"/>
      <c r="AG61" s="146"/>
      <c r="AH61" s="146"/>
      <c r="AI61" s="146"/>
      <c r="AJ61" s="146"/>
      <c r="AK61" s="146"/>
      <c r="AL61" s="146">
        <v>1164.3785084604074</v>
      </c>
      <c r="AM61" s="146">
        <v>0.10395873458457607</v>
      </c>
      <c r="AN61" s="146">
        <v>0.27130137482404248</v>
      </c>
      <c r="AO61" s="146">
        <v>915.25792759151818</v>
      </c>
      <c r="AP61" s="146">
        <v>858.04901998541595</v>
      </c>
      <c r="AQ61" t="s">
        <v>308</v>
      </c>
      <c r="AR61">
        <v>0</v>
      </c>
      <c r="AS61">
        <v>0</v>
      </c>
      <c r="AT61">
        <v>0</v>
      </c>
      <c r="AU61">
        <v>1</v>
      </c>
      <c r="AV61">
        <v>0.1</v>
      </c>
      <c r="AW61">
        <v>3</v>
      </c>
      <c r="AX61" s="141">
        <v>2.6038643541826938E-2</v>
      </c>
      <c r="AY61" s="141">
        <v>1E-8</v>
      </c>
      <c r="AZ61" s="209">
        <v>858.04901998541595</v>
      </c>
      <c r="BA61">
        <v>2.6038643541826938E-2</v>
      </c>
      <c r="BB61" s="249">
        <v>42.936974317039386</v>
      </c>
      <c r="BC61" s="243">
        <v>190.30809850088241</v>
      </c>
      <c r="BD61" s="209">
        <v>91082.898811562962</v>
      </c>
      <c r="BE61" s="243">
        <v>60.933199248026661</v>
      </c>
      <c r="BF61">
        <v>402638.38947944116</v>
      </c>
      <c r="BG61" t="s">
        <v>388</v>
      </c>
      <c r="BH61">
        <v>8.8722254993368335E-6</v>
      </c>
      <c r="BI61">
        <v>2110828.9881156296</v>
      </c>
      <c r="BJ61">
        <f t="shared" si="0"/>
        <v>0.19074893880384067</v>
      </c>
    </row>
    <row r="62" spans="1:62" s="140" customFormat="1" x14ac:dyDescent="0.3">
      <c r="A62" s="140">
        <v>-0.1</v>
      </c>
      <c r="B62" s="140">
        <v>1000</v>
      </c>
      <c r="C62" s="140">
        <v>25</v>
      </c>
      <c r="D62" s="140">
        <v>1100</v>
      </c>
      <c r="E62" s="253">
        <v>23.331455150646011</v>
      </c>
      <c r="F62" s="140">
        <v>2.3493287764321691</v>
      </c>
      <c r="G62" s="140">
        <v>25.127923814873945</v>
      </c>
      <c r="H62" s="140">
        <v>0</v>
      </c>
      <c r="J62" s="140">
        <v>2.4134126245120513E-2</v>
      </c>
      <c r="K62" s="140">
        <v>1E-8</v>
      </c>
      <c r="L62" s="140">
        <v>101.9765381147929</v>
      </c>
      <c r="M62" s="140">
        <v>61.185922392985233</v>
      </c>
      <c r="N62" s="140">
        <v>0.57371009332252598</v>
      </c>
      <c r="Z62" s="140" t="s">
        <v>35</v>
      </c>
      <c r="AL62" s="140">
        <v>1242.5132710886919</v>
      </c>
      <c r="AM62" s="140">
        <v>9.3494742890040658E-2</v>
      </c>
      <c r="AN62" s="140">
        <v>0.27040053897873484</v>
      </c>
      <c r="AO62" s="140">
        <v>1013.7152047153247</v>
      </c>
      <c r="AP62" s="140">
        <v>955.65822442742922</v>
      </c>
      <c r="AQ62" s="140" t="s">
        <v>308</v>
      </c>
      <c r="AR62" s="140">
        <v>0</v>
      </c>
      <c r="AS62" s="140">
        <v>0</v>
      </c>
      <c r="AT62" s="140">
        <v>0</v>
      </c>
      <c r="AU62" s="140">
        <v>1</v>
      </c>
      <c r="AV62">
        <v>0.1</v>
      </c>
      <c r="AW62">
        <v>3</v>
      </c>
      <c r="AX62" s="141">
        <v>2.3540788397438641E-2</v>
      </c>
      <c r="AY62" s="205">
        <v>1E-8</v>
      </c>
      <c r="AZ62" s="209">
        <v>955.65822442742922</v>
      </c>
      <c r="BA62" s="140">
        <v>2.3540788397438641E-2</v>
      </c>
      <c r="BB62" s="253">
        <v>41.477680936525473</v>
      </c>
      <c r="BC62" s="245">
        <v>189.59330756197394</v>
      </c>
      <c r="BD62" s="210">
        <v>89621.217153486927</v>
      </c>
      <c r="BE62" s="245">
        <v>59.12840284276696</v>
      </c>
      <c r="BF62" s="140">
        <v>405253.80681784049</v>
      </c>
      <c r="BG62" t="s">
        <v>388</v>
      </c>
      <c r="BH62" s="140">
        <v>9.0515096778187149E-6</v>
      </c>
      <c r="BI62" s="140">
        <v>2096212.1715348694</v>
      </c>
      <c r="BJ62">
        <f t="shared" si="0"/>
        <v>0.19332671201937981</v>
      </c>
    </row>
    <row r="63" spans="1:62" x14ac:dyDescent="0.3">
      <c r="A63">
        <v>-0.1</v>
      </c>
      <c r="B63" s="146">
        <v>1000</v>
      </c>
      <c r="C63" s="146">
        <v>25</v>
      </c>
      <c r="D63" s="146">
        <v>400</v>
      </c>
      <c r="E63" s="252">
        <v>18.016697698912274</v>
      </c>
      <c r="F63" s="146">
        <v>6.3572599627707014</v>
      </c>
      <c r="G63" s="146">
        <v>21.929301233922686</v>
      </c>
      <c r="H63" s="146">
        <v>0</v>
      </c>
      <c r="I63" s="146"/>
      <c r="J63" s="146">
        <v>6.4218524618598782E-2</v>
      </c>
      <c r="K63" s="146">
        <v>1E-8</v>
      </c>
      <c r="L63" s="146">
        <v>106.93071632526573</v>
      </c>
      <c r="M63" s="146">
        <v>64.158429296149421</v>
      </c>
      <c r="N63" s="146">
        <v>0.95677992862583405</v>
      </c>
      <c r="O63" s="146"/>
      <c r="P63" s="146"/>
      <c r="Q63" s="146"/>
      <c r="R63" s="146"/>
      <c r="S63" s="146"/>
      <c r="T63" s="146"/>
      <c r="U63" s="146"/>
      <c r="V63" s="146"/>
      <c r="W63" s="146"/>
      <c r="X63" s="146"/>
      <c r="Y63" s="146"/>
      <c r="Z63" s="146" t="s">
        <v>35</v>
      </c>
      <c r="AA63" s="146"/>
      <c r="AB63" s="146"/>
      <c r="AC63" s="146"/>
      <c r="AD63" s="146"/>
      <c r="AE63" s="146"/>
      <c r="AF63" s="146"/>
      <c r="AG63" s="146"/>
      <c r="AH63" s="146"/>
      <c r="AI63" s="146"/>
      <c r="AJ63" s="146"/>
      <c r="AK63" s="146"/>
      <c r="AL63" s="146">
        <v>769.42405775263353</v>
      </c>
      <c r="AM63" s="146">
        <v>0.28989797235018977</v>
      </c>
      <c r="AN63" s="146">
        <v>0.28092299861141029</v>
      </c>
      <c r="AO63" s="146">
        <v>335.86606369728361</v>
      </c>
      <c r="AP63" s="146">
        <v>291.03409343971651</v>
      </c>
      <c r="AQ63" t="s">
        <v>308</v>
      </c>
      <c r="AR63">
        <v>0</v>
      </c>
      <c r="AS63">
        <v>0</v>
      </c>
      <c r="AT63">
        <v>0</v>
      </c>
      <c r="AU63">
        <v>1</v>
      </c>
      <c r="AV63">
        <v>0.1</v>
      </c>
      <c r="AW63" s="146">
        <v>3</v>
      </c>
      <c r="AX63" s="141">
        <v>6.0188184636868744E-2</v>
      </c>
      <c r="AY63" s="141">
        <v>1E-8</v>
      </c>
      <c r="AZ63" s="209">
        <v>291.03409343971651</v>
      </c>
      <c r="BA63">
        <v>6.0188184636868744E-2</v>
      </c>
      <c r="BB63" s="249">
        <v>66.07295256532673</v>
      </c>
      <c r="BC63" s="243">
        <v>204.19794366771498</v>
      </c>
      <c r="BD63" s="209">
        <v>115590.96446743688</v>
      </c>
      <c r="BE63" s="243">
        <v>89.391477782310389</v>
      </c>
      <c r="BF63">
        <v>351229.81532347359</v>
      </c>
      <c r="BG63" t="s">
        <v>389</v>
      </c>
      <c r="BH63">
        <v>6.3947065954908542E-6</v>
      </c>
      <c r="BI63">
        <v>2355909.6446743687</v>
      </c>
      <c r="BJ63">
        <f t="shared" si="0"/>
        <v>0.14908458654916718</v>
      </c>
    </row>
    <row r="64" spans="1:62" x14ac:dyDescent="0.3">
      <c r="A64">
        <v>-0.1</v>
      </c>
      <c r="B64" s="146">
        <v>1000</v>
      </c>
      <c r="C64" s="146">
        <v>25</v>
      </c>
      <c r="D64" s="146">
        <v>400</v>
      </c>
      <c r="E64" s="252">
        <v>17.382440103891099</v>
      </c>
      <c r="F64" s="146">
        <v>6.0433896161890903</v>
      </c>
      <c r="G64" s="146">
        <v>21.096926893277161</v>
      </c>
      <c r="H64" s="146">
        <v>0</v>
      </c>
      <c r="I64" s="146"/>
      <c r="J64" s="146">
        <v>6.380985813462671E-2</v>
      </c>
      <c r="K64" s="146">
        <v>1E-8</v>
      </c>
      <c r="L64" s="146">
        <v>102.9474979585909</v>
      </c>
      <c r="M64" s="146">
        <v>61.768498294732893</v>
      </c>
      <c r="N64" s="146">
        <v>0.92620532687537693</v>
      </c>
      <c r="O64" s="146"/>
      <c r="P64" s="146"/>
      <c r="Q64" s="146"/>
      <c r="R64" s="146"/>
      <c r="S64" s="146"/>
      <c r="T64" s="146"/>
      <c r="U64" s="146"/>
      <c r="V64" s="146"/>
      <c r="W64" s="146"/>
      <c r="X64" s="146"/>
      <c r="Y64" s="146"/>
      <c r="Z64" s="146" t="s">
        <v>35</v>
      </c>
      <c r="AA64" s="146"/>
      <c r="AB64" s="146"/>
      <c r="AC64" s="146"/>
      <c r="AD64" s="146"/>
      <c r="AE64" s="146"/>
      <c r="AF64" s="146"/>
      <c r="AG64" s="146"/>
      <c r="AH64" s="146"/>
      <c r="AI64" s="146"/>
      <c r="AJ64" s="146"/>
      <c r="AK64" s="146"/>
      <c r="AL64" s="146">
        <v>758.32414286114295</v>
      </c>
      <c r="AM64" s="146">
        <v>0.28645829066767553</v>
      </c>
      <c r="AN64" s="146">
        <v>0.28252793251020369</v>
      </c>
      <c r="AO64" s="146">
        <v>338.47532189312528</v>
      </c>
      <c r="AP64" s="146">
        <v>295.22147942345447</v>
      </c>
      <c r="AQ64" t="s">
        <v>308</v>
      </c>
      <c r="AR64">
        <v>0</v>
      </c>
      <c r="AS64">
        <v>0</v>
      </c>
      <c r="AT64">
        <v>0</v>
      </c>
      <c r="AU64">
        <v>1</v>
      </c>
      <c r="AV64">
        <v>0.1</v>
      </c>
      <c r="AW64" s="146">
        <v>2.5</v>
      </c>
      <c r="AX64" s="141">
        <v>5.9898170350080174E-2</v>
      </c>
      <c r="AY64" s="141">
        <v>1E-8</v>
      </c>
      <c r="AZ64" s="209">
        <v>295.22147942345447</v>
      </c>
      <c r="BA64">
        <v>5.9898170350080174E-2</v>
      </c>
      <c r="BB64" s="249">
        <v>63.066667553635874</v>
      </c>
      <c r="BC64" s="243">
        <v>192.37839417176241</v>
      </c>
      <c r="BD64" s="209">
        <v>107842.19304125849</v>
      </c>
      <c r="BE64" s="243">
        <v>84.73839834484393</v>
      </c>
      <c r="BF64">
        <v>399405.94926313777</v>
      </c>
      <c r="BG64" t="s">
        <v>389</v>
      </c>
      <c r="BH64">
        <v>6.221641507065057E-6</v>
      </c>
      <c r="BI64">
        <v>2278421.9304125849</v>
      </c>
      <c r="BJ64">
        <f t="shared" si="0"/>
        <v>0.17529937889546732</v>
      </c>
    </row>
    <row r="65" spans="1:62" x14ac:dyDescent="0.3">
      <c r="A65">
        <v>-0.1</v>
      </c>
      <c r="B65" s="146">
        <v>1000</v>
      </c>
      <c r="C65" s="146">
        <v>25</v>
      </c>
      <c r="D65" s="146">
        <v>400</v>
      </c>
      <c r="E65" s="252">
        <v>15.101531852504243</v>
      </c>
      <c r="F65" s="146">
        <v>4.9969618722313109</v>
      </c>
      <c r="G65" s="146">
        <v>18.161439895151776</v>
      </c>
      <c r="H65" s="146">
        <v>0</v>
      </c>
      <c r="I65" s="146"/>
      <c r="J65" s="146">
        <v>6.2654293731474339E-2</v>
      </c>
      <c r="K65" s="146">
        <v>1E-8</v>
      </c>
      <c r="L65" s="146">
        <v>88.768773656040892</v>
      </c>
      <c r="M65" s="146">
        <v>53.261263779370253</v>
      </c>
      <c r="N65" s="146">
        <v>0.81292458507239851</v>
      </c>
      <c r="O65" s="146"/>
      <c r="P65" s="146"/>
      <c r="Q65" s="146"/>
      <c r="R65" s="146"/>
      <c r="S65" s="146"/>
      <c r="T65" s="146"/>
      <c r="U65" s="146"/>
      <c r="V65" s="146"/>
      <c r="W65" s="146"/>
      <c r="X65" s="146"/>
      <c r="Y65" s="146"/>
      <c r="Z65" s="146" t="s">
        <v>35</v>
      </c>
      <c r="AA65" s="146"/>
      <c r="AB65" s="146"/>
      <c r="AC65" s="146"/>
      <c r="AD65" s="146"/>
      <c r="AE65" s="146"/>
      <c r="AF65" s="146"/>
      <c r="AG65" s="146"/>
      <c r="AH65" s="146"/>
      <c r="AI65" s="146"/>
      <c r="AJ65" s="146"/>
      <c r="AK65" s="146"/>
      <c r="AL65" s="146">
        <v>716.30315686353663</v>
      </c>
      <c r="AM65" s="146">
        <v>0.27514128290925088</v>
      </c>
      <c r="AN65" s="146">
        <v>0.28720437699034418</v>
      </c>
      <c r="AO65" s="146">
        <v>347.41886592831435</v>
      </c>
      <c r="AP65" s="146">
        <v>309.84086432733739</v>
      </c>
      <c r="AQ65" t="s">
        <v>308</v>
      </c>
      <c r="AR65">
        <v>0</v>
      </c>
      <c r="AS65">
        <v>0</v>
      </c>
      <c r="AT65">
        <v>0</v>
      </c>
      <c r="AU65">
        <v>1</v>
      </c>
      <c r="AV65">
        <v>0.1</v>
      </c>
      <c r="AW65" s="146">
        <v>1.5</v>
      </c>
      <c r="AX65" s="141">
        <v>5.9107143729811212E-2</v>
      </c>
      <c r="AY65" s="141">
        <v>1E-8</v>
      </c>
      <c r="AZ65" s="209">
        <v>309.84086432733739</v>
      </c>
      <c r="BA65">
        <v>5.9107143729811212E-2</v>
      </c>
      <c r="BB65" s="249">
        <v>52.878785780114455</v>
      </c>
      <c r="BC65" s="243">
        <v>154.88839372533241</v>
      </c>
      <c r="BD65" s="209">
        <v>83618.493010293882</v>
      </c>
      <c r="BE65" s="243">
        <v>69.682448887419099</v>
      </c>
      <c r="BF65">
        <v>520339.60014153289</v>
      </c>
      <c r="BG65" t="s">
        <v>389</v>
      </c>
      <c r="BH65">
        <v>5.6120728082161768E-6</v>
      </c>
      <c r="BI65">
        <v>2036184.9301029388</v>
      </c>
      <c r="BJ65">
        <f t="shared" si="0"/>
        <v>0.25554633690134781</v>
      </c>
    </row>
    <row r="66" spans="1:62" x14ac:dyDescent="0.3">
      <c r="A66">
        <v>-0.1</v>
      </c>
      <c r="B66" s="146">
        <v>1000</v>
      </c>
      <c r="C66" s="146">
        <v>25</v>
      </c>
      <c r="D66" s="146">
        <v>400</v>
      </c>
      <c r="E66" s="252">
        <v>13.015293770514267</v>
      </c>
      <c r="F66" s="146">
        <v>4.1320585835805757</v>
      </c>
      <c r="G66" s="146">
        <v>15.539934495674579</v>
      </c>
      <c r="H66" s="146">
        <v>0</v>
      </c>
      <c r="I66" s="146"/>
      <c r="J66" s="146">
        <v>6.15665930486455E-2</v>
      </c>
      <c r="K66" s="146">
        <v>1E-8</v>
      </c>
      <c r="L66" s="146">
        <v>76.042339265129129</v>
      </c>
      <c r="M66" s="146">
        <v>45.625403204213228</v>
      </c>
      <c r="N66" s="146">
        <v>0.71172828340068817</v>
      </c>
      <c r="O66" s="146"/>
      <c r="P66" s="146"/>
      <c r="Q66" s="146"/>
      <c r="R66" s="146"/>
      <c r="S66" s="146"/>
      <c r="T66" s="146"/>
      <c r="U66" s="146"/>
      <c r="V66" s="146"/>
      <c r="W66" s="146"/>
      <c r="X66" s="146"/>
      <c r="Y66" s="146"/>
      <c r="Z66" s="146" t="s">
        <v>35</v>
      </c>
      <c r="AA66" s="146"/>
      <c r="AB66" s="146"/>
      <c r="AC66" s="146"/>
      <c r="AD66" s="146"/>
      <c r="AE66" s="146"/>
      <c r="AF66" s="146"/>
      <c r="AG66" s="146"/>
      <c r="AH66" s="146"/>
      <c r="AI66" s="146"/>
      <c r="AJ66" s="146"/>
      <c r="AK66" s="146"/>
      <c r="AL66" s="146">
        <v>678.70702821432917</v>
      </c>
      <c r="AM66" s="146">
        <v>0.26589935657262276</v>
      </c>
      <c r="AN66" s="146">
        <v>0.29071193815891389</v>
      </c>
      <c r="AO66" s="146">
        <v>355.22958619126393</v>
      </c>
      <c r="AP66" s="146">
        <v>322.84288651398532</v>
      </c>
      <c r="AQ66" t="s">
        <v>308</v>
      </c>
      <c r="AR66">
        <v>0</v>
      </c>
      <c r="AS66">
        <v>0</v>
      </c>
      <c r="AT66">
        <v>0</v>
      </c>
      <c r="AU66">
        <v>1</v>
      </c>
      <c r="AV66">
        <v>0.1</v>
      </c>
      <c r="AW66" s="146">
        <v>1</v>
      </c>
      <c r="AX66" s="141">
        <v>5.8331788270915411E-2</v>
      </c>
      <c r="AY66" s="141">
        <v>1E-8</v>
      </c>
      <c r="AZ66" s="209">
        <v>322.84288651398532</v>
      </c>
      <c r="BA66">
        <v>5.8331788270915411E-2</v>
      </c>
      <c r="BB66" s="249">
        <v>44.258542385803118</v>
      </c>
      <c r="BC66" s="243">
        <v>125.92716546266823</v>
      </c>
      <c r="BD66" s="209">
        <v>65340.601599397072</v>
      </c>
      <c r="BE66" s="243">
        <v>57.517407885341562</v>
      </c>
      <c r="BF66">
        <v>585591.47676360945</v>
      </c>
      <c r="BG66" t="s">
        <v>389</v>
      </c>
      <c r="BH66">
        <v>5.0242848899439403E-6</v>
      </c>
      <c r="BI66">
        <v>1853406.0159939707</v>
      </c>
      <c r="BJ66">
        <f t="shared" si="0"/>
        <v>0.3159542332927846</v>
      </c>
    </row>
    <row r="67" spans="1:62" x14ac:dyDescent="0.3">
      <c r="A67">
        <v>-0.1</v>
      </c>
      <c r="B67" s="146">
        <v>1000</v>
      </c>
      <c r="C67" s="146">
        <v>25</v>
      </c>
      <c r="D67" s="146">
        <v>400</v>
      </c>
      <c r="E67" s="252">
        <v>11.878805245410012</v>
      </c>
      <c r="F67" s="146">
        <v>3.6921992350475419</v>
      </c>
      <c r="G67" s="146">
        <v>14.132671935594981</v>
      </c>
      <c r="H67" s="146">
        <v>0</v>
      </c>
      <c r="I67" s="146"/>
      <c r="J67" s="146">
        <v>6.1071896599501775E-2</v>
      </c>
      <c r="K67" s="146">
        <v>1E-8</v>
      </c>
      <c r="L67" s="146">
        <v>69.171541265448326</v>
      </c>
      <c r="M67" s="146">
        <v>41.502924436468469</v>
      </c>
      <c r="N67" s="146">
        <v>0.65531134290373561</v>
      </c>
      <c r="O67" s="146"/>
      <c r="P67" s="146"/>
      <c r="Q67" s="146"/>
      <c r="R67" s="146"/>
      <c r="S67" s="146"/>
      <c r="T67" s="146"/>
      <c r="U67" s="146"/>
      <c r="V67" s="146"/>
      <c r="W67" s="146"/>
      <c r="X67" s="146"/>
      <c r="Y67" s="146"/>
      <c r="Z67" s="146" t="s">
        <v>35</v>
      </c>
      <c r="AA67" s="146"/>
      <c r="AB67" s="146"/>
      <c r="AC67" s="146"/>
      <c r="AD67" s="146"/>
      <c r="AE67" s="146"/>
      <c r="AF67" s="146"/>
      <c r="AG67" s="146"/>
      <c r="AH67" s="146"/>
      <c r="AI67" s="146"/>
      <c r="AJ67" s="146"/>
      <c r="AK67" s="146"/>
      <c r="AL67" s="146">
        <v>657.45336276911519</v>
      </c>
      <c r="AM67" s="146">
        <v>0.2612527377606676</v>
      </c>
      <c r="AN67" s="146">
        <v>0.29226755417970568</v>
      </c>
      <c r="AO67" s="146">
        <v>359.35640109368376</v>
      </c>
      <c r="AP67" s="146">
        <v>329.79769131724737</v>
      </c>
      <c r="AQ67" t="s">
        <v>308</v>
      </c>
      <c r="AR67">
        <v>0</v>
      </c>
      <c r="AS67">
        <v>0</v>
      </c>
      <c r="AT67">
        <v>0</v>
      </c>
      <c r="AU67">
        <v>1</v>
      </c>
      <c r="AV67">
        <v>0.1</v>
      </c>
      <c r="AW67" s="146">
        <v>0.8</v>
      </c>
      <c r="AX67" s="141">
        <v>5.7997433096296021E-2</v>
      </c>
      <c r="AY67" s="141">
        <v>1E-8</v>
      </c>
      <c r="AZ67" s="209">
        <v>329.79769131724737</v>
      </c>
      <c r="BA67">
        <v>5.7997433096296021E-2</v>
      </c>
      <c r="BB67" s="249">
        <v>39.79878840235186</v>
      </c>
      <c r="BC67" s="243">
        <v>111.69306480979847</v>
      </c>
      <c r="BD67" s="209">
        <v>56615.35351784253</v>
      </c>
      <c r="BE67" s="243">
        <v>51.413764254680515</v>
      </c>
      <c r="BF67">
        <v>610347.66002359882</v>
      </c>
      <c r="BG67" t="s">
        <v>389</v>
      </c>
      <c r="BH67">
        <v>4.6785905771082123E-6</v>
      </c>
      <c r="BI67">
        <v>1766153.5351784253</v>
      </c>
      <c r="BJ67">
        <f t="shared" si="0"/>
        <v>0.34558018194150858</v>
      </c>
    </row>
    <row r="68" spans="1:62" x14ac:dyDescent="0.3">
      <c r="A68">
        <v>-0.1</v>
      </c>
      <c r="B68" s="146">
        <v>1000</v>
      </c>
      <c r="C68" s="146">
        <v>25</v>
      </c>
      <c r="D68" s="146">
        <v>400</v>
      </c>
      <c r="E68" s="252">
        <v>10.47628804661066</v>
      </c>
      <c r="F68" s="146">
        <v>3.1757672182203667</v>
      </c>
      <c r="G68" s="146">
        <v>12.413265599967259</v>
      </c>
      <c r="H68" s="146">
        <v>0</v>
      </c>
      <c r="I68" s="146"/>
      <c r="J68" s="146">
        <v>6.0453217550419866E-2</v>
      </c>
      <c r="K68" s="146">
        <v>1E-8</v>
      </c>
      <c r="L68" s="146">
        <v>60.76583777643549</v>
      </c>
      <c r="M68" s="146">
        <v>36.459502382287383</v>
      </c>
      <c r="N68" s="146">
        <v>0.58560396750986143</v>
      </c>
      <c r="O68" s="146"/>
      <c r="P68" s="146"/>
      <c r="Q68" s="146"/>
      <c r="R68" s="146"/>
      <c r="S68" s="146"/>
      <c r="T68" s="146"/>
      <c r="U68" s="146"/>
      <c r="V68" s="146"/>
      <c r="W68" s="146"/>
      <c r="X68" s="146"/>
      <c r="Y68" s="146"/>
      <c r="Z68" s="146" t="s">
        <v>35</v>
      </c>
      <c r="AA68" s="146"/>
      <c r="AB68" s="146"/>
      <c r="AC68" s="146"/>
      <c r="AD68" s="146"/>
      <c r="AE68" s="146"/>
      <c r="AF68" s="146"/>
      <c r="AG68" s="146"/>
      <c r="AH68" s="146"/>
      <c r="AI68" s="146"/>
      <c r="AJ68" s="146"/>
      <c r="AK68" s="146"/>
      <c r="AL68" s="146">
        <v>631.09956034830373</v>
      </c>
      <c r="AM68" s="146">
        <v>0.25583656392792747</v>
      </c>
      <c r="AN68" s="146">
        <v>0.2939996024850422</v>
      </c>
      <c r="AO68" s="146">
        <v>364.36631900839507</v>
      </c>
      <c r="AP68" s="146">
        <v>338.29757659337304</v>
      </c>
      <c r="AQ68" t="s">
        <v>308</v>
      </c>
      <c r="AR68">
        <v>0</v>
      </c>
      <c r="AS68">
        <v>0</v>
      </c>
      <c r="AT68">
        <v>0</v>
      </c>
      <c r="AU68">
        <v>1</v>
      </c>
      <c r="AV68">
        <v>0.1</v>
      </c>
      <c r="AW68" s="146">
        <v>0.6</v>
      </c>
      <c r="AX68" s="141">
        <v>5.758180464631605E-2</v>
      </c>
      <c r="AY68" s="141">
        <v>1E-8</v>
      </c>
      <c r="AZ68" s="209">
        <v>338.29757659337304</v>
      </c>
      <c r="BA68">
        <v>5.758180464631605E-2</v>
      </c>
      <c r="BB68" s="249">
        <v>34.494136432664504</v>
      </c>
      <c r="BC68" s="243">
        <v>95.364973087677029</v>
      </c>
      <c r="BD68" s="209">
        <v>46859.412658343121</v>
      </c>
      <c r="BE68" s="243">
        <v>44.272604610888635</v>
      </c>
      <c r="BF68">
        <v>631842.90226317151</v>
      </c>
      <c r="BG68" t="s">
        <v>389</v>
      </c>
      <c r="BH68">
        <v>4.2258668669836597E-6</v>
      </c>
      <c r="BI68">
        <v>1668594.1265834311</v>
      </c>
      <c r="BJ68">
        <f t="shared" ref="BJ68:BJ131" si="1">BF68/BI68</f>
        <v>0.37866782112970526</v>
      </c>
    </row>
    <row r="69" spans="1:62" x14ac:dyDescent="0.3">
      <c r="A69">
        <v>-0.1</v>
      </c>
      <c r="B69" s="146">
        <v>1000</v>
      </c>
      <c r="C69" s="146">
        <v>25</v>
      </c>
      <c r="D69" s="146">
        <v>400</v>
      </c>
      <c r="E69" s="252">
        <v>8.6743713820573856</v>
      </c>
      <c r="F69" s="146">
        <v>2.5505621142310981</v>
      </c>
      <c r="G69" s="146">
        <v>10.228860444612813</v>
      </c>
      <c r="H69" s="146">
        <v>0</v>
      </c>
      <c r="I69" s="146"/>
      <c r="J69" s="146">
        <v>5.9661857158725302E-2</v>
      </c>
      <c r="K69" s="146">
        <v>1E-8</v>
      </c>
      <c r="L69" s="146">
        <v>50.073828443362466</v>
      </c>
      <c r="M69" s="146">
        <v>30.044296832339612</v>
      </c>
      <c r="N69" s="146">
        <v>0.49493008382043291</v>
      </c>
      <c r="O69" s="146"/>
      <c r="P69" s="146"/>
      <c r="Q69" s="146"/>
      <c r="R69" s="146"/>
      <c r="S69" s="146"/>
      <c r="T69" s="146"/>
      <c r="U69" s="146"/>
      <c r="V69" s="146"/>
      <c r="W69" s="146"/>
      <c r="X69" s="146"/>
      <c r="Y69" s="146"/>
      <c r="Z69" s="146" t="s">
        <v>35</v>
      </c>
      <c r="AA69" s="146"/>
      <c r="AB69" s="146"/>
      <c r="AC69" s="146"/>
      <c r="AD69" s="146"/>
      <c r="AE69" s="146"/>
      <c r="AF69" s="146"/>
      <c r="AG69" s="146"/>
      <c r="AH69" s="146"/>
      <c r="AI69" s="146"/>
      <c r="AJ69" s="146"/>
      <c r="AK69" s="146"/>
      <c r="AL69" s="146">
        <v>596.5702644093185</v>
      </c>
      <c r="AM69" s="146">
        <v>0.24934958571796637</v>
      </c>
      <c r="AN69" s="146">
        <v>0.29595413672205262</v>
      </c>
      <c r="AO69" s="146">
        <v>370.69014990588227</v>
      </c>
      <c r="AP69" s="146">
        <v>349.10522249910207</v>
      </c>
      <c r="AQ69" t="s">
        <v>308</v>
      </c>
      <c r="AR69">
        <v>0</v>
      </c>
      <c r="AS69">
        <v>0</v>
      </c>
      <c r="AT69">
        <v>0</v>
      </c>
      <c r="AU69">
        <v>1</v>
      </c>
      <c r="AV69">
        <v>0.1</v>
      </c>
      <c r="AW69" s="146">
        <v>0.4</v>
      </c>
      <c r="AX69" s="141">
        <v>5.7068325919093464E-2</v>
      </c>
      <c r="AY69" s="141">
        <v>1E-8</v>
      </c>
      <c r="AZ69" s="209">
        <v>349.10522249910207</v>
      </c>
      <c r="BA69">
        <v>5.7068325919093464E-2</v>
      </c>
      <c r="BB69" s="249">
        <v>27.96731597550674</v>
      </c>
      <c r="BC69" s="243">
        <v>76.042027064821696</v>
      </c>
      <c r="BD69" s="209">
        <v>35765.721330915527</v>
      </c>
      <c r="BE69" s="243">
        <v>35.641175111129918</v>
      </c>
      <c r="BF69">
        <v>646363.33753402031</v>
      </c>
      <c r="BG69" t="s">
        <v>389</v>
      </c>
      <c r="BH69">
        <v>3.5988462288483418E-6</v>
      </c>
      <c r="BI69">
        <v>1557657.2133091553</v>
      </c>
      <c r="BJ69">
        <f t="shared" si="1"/>
        <v>0.41495865201359527</v>
      </c>
    </row>
    <row r="70" spans="1:62" x14ac:dyDescent="0.3">
      <c r="A70">
        <v>-0.1</v>
      </c>
      <c r="B70" s="146">
        <v>1000</v>
      </c>
      <c r="C70" s="146">
        <v>25</v>
      </c>
      <c r="D70" s="146">
        <v>400</v>
      </c>
      <c r="E70" s="252">
        <v>7.536293845525373</v>
      </c>
      <c r="F70" s="146">
        <v>2.1756421713958591</v>
      </c>
      <c r="G70" s="146">
        <v>8.861861457906846</v>
      </c>
      <c r="H70" s="146">
        <v>0</v>
      </c>
      <c r="I70" s="146"/>
      <c r="J70" s="146">
        <v>5.9179588703917478E-2</v>
      </c>
      <c r="K70" s="146">
        <v>1E-8</v>
      </c>
      <c r="L70" s="146">
        <v>43.377011746144142</v>
      </c>
      <c r="M70" s="146">
        <v>26.026206845260432</v>
      </c>
      <c r="N70" s="146">
        <v>0.43644357133187617</v>
      </c>
      <c r="O70" s="146"/>
      <c r="P70" s="146"/>
      <c r="Q70" s="146"/>
      <c r="R70" s="146"/>
      <c r="S70" s="146"/>
      <c r="T70" s="146"/>
      <c r="U70" s="146"/>
      <c r="V70" s="146"/>
      <c r="W70" s="146"/>
      <c r="X70" s="146"/>
      <c r="Y70" s="146"/>
      <c r="Z70" s="146" t="s">
        <v>35</v>
      </c>
      <c r="AA70" s="146"/>
      <c r="AB70" s="146"/>
      <c r="AC70" s="146"/>
      <c r="AD70" s="146"/>
      <c r="AE70" s="146"/>
      <c r="AF70" s="146"/>
      <c r="AG70" s="146"/>
      <c r="AH70" s="146"/>
      <c r="AI70" s="146"/>
      <c r="AJ70" s="146"/>
      <c r="AK70" s="146"/>
      <c r="AL70" s="146">
        <v>574.09738308650253</v>
      </c>
      <c r="AM70" s="146">
        <v>0.24550622707542771</v>
      </c>
      <c r="AN70" s="146">
        <v>0.29703912547705347</v>
      </c>
      <c r="AO70" s="146">
        <v>374.62861556227023</v>
      </c>
      <c r="AP70" s="146">
        <v>355.87559742056447</v>
      </c>
      <c r="AQ70" t="s">
        <v>308</v>
      </c>
      <c r="AR70">
        <v>0</v>
      </c>
      <c r="AS70">
        <v>0</v>
      </c>
      <c r="AT70">
        <v>0</v>
      </c>
      <c r="AU70">
        <v>1</v>
      </c>
      <c r="AV70">
        <v>0.1</v>
      </c>
      <c r="AW70" s="146">
        <v>0.3</v>
      </c>
      <c r="AX70" s="141">
        <v>5.6777575036756886E-2</v>
      </c>
      <c r="AY70" s="141">
        <v>1E-8</v>
      </c>
      <c r="AZ70" s="209">
        <v>355.87559742056447</v>
      </c>
      <c r="BA70">
        <v>5.6777575036756886E-2</v>
      </c>
      <c r="BB70" s="249">
        <v>23.995190527204443</v>
      </c>
      <c r="BC70" s="243">
        <v>64.636448864505823</v>
      </c>
      <c r="BD70" s="209">
        <v>29504.047624009781</v>
      </c>
      <c r="BE70" s="243">
        <v>30.462161808911471</v>
      </c>
      <c r="BF70">
        <v>647992.78516107937</v>
      </c>
      <c r="BG70" t="s">
        <v>389</v>
      </c>
      <c r="BH70">
        <v>3.1755412679504889E-6</v>
      </c>
      <c r="BI70">
        <v>1495040.4762400978</v>
      </c>
      <c r="BJ70">
        <f t="shared" si="1"/>
        <v>0.433428255260839</v>
      </c>
    </row>
    <row r="71" spans="1:62" x14ac:dyDescent="0.3">
      <c r="A71">
        <v>-0.1</v>
      </c>
      <c r="B71" s="146">
        <v>1000</v>
      </c>
      <c r="C71" s="146">
        <v>25</v>
      </c>
      <c r="D71" s="146">
        <v>400</v>
      </c>
      <c r="E71" s="252">
        <v>6.1291336177399449</v>
      </c>
      <c r="F71" s="146">
        <v>1.731339393313498</v>
      </c>
      <c r="G71" s="146">
        <v>7.1837281203001648</v>
      </c>
      <c r="H71" s="146">
        <v>0</v>
      </c>
      <c r="I71" s="146"/>
      <c r="J71" s="146">
        <v>5.8587771084251582E-2</v>
      </c>
      <c r="K71" s="146">
        <v>1E-8</v>
      </c>
      <c r="L71" s="146">
        <v>35.155465042617621</v>
      </c>
      <c r="M71" s="146">
        <v>21.093278861511735</v>
      </c>
      <c r="N71" s="146">
        <v>0.36248838664489536</v>
      </c>
      <c r="O71" s="146"/>
      <c r="P71" s="146"/>
      <c r="Q71" s="146"/>
      <c r="R71" s="146"/>
      <c r="S71" s="146"/>
      <c r="T71" s="146"/>
      <c r="U71" s="146"/>
      <c r="V71" s="146"/>
      <c r="W71" s="146"/>
      <c r="X71" s="146"/>
      <c r="Y71" s="146"/>
      <c r="Z71" s="146" t="s">
        <v>35</v>
      </c>
      <c r="AA71" s="146"/>
      <c r="AB71" s="146"/>
      <c r="AC71" s="146"/>
      <c r="AD71" s="146"/>
      <c r="AE71" s="146"/>
      <c r="AF71" s="146"/>
      <c r="AG71" s="146"/>
      <c r="AH71" s="146"/>
      <c r="AI71" s="146"/>
      <c r="AJ71" s="146"/>
      <c r="AK71" s="146"/>
      <c r="AL71" s="146">
        <v>545.44286580775452</v>
      </c>
      <c r="AM71" s="146">
        <v>0.24100847976428647</v>
      </c>
      <c r="AN71" s="146">
        <v>0.29825717192290097</v>
      </c>
      <c r="AO71" s="146">
        <v>379.45017188279274</v>
      </c>
      <c r="AP71" s="146">
        <v>364.19867248530693</v>
      </c>
      <c r="AQ71" t="s">
        <v>308</v>
      </c>
      <c r="AR71">
        <v>0</v>
      </c>
      <c r="AS71">
        <v>0</v>
      </c>
      <c r="AT71">
        <v>0</v>
      </c>
      <c r="AU71">
        <v>1</v>
      </c>
      <c r="AV71">
        <v>0.1</v>
      </c>
      <c r="AW71" s="146">
        <v>0.2</v>
      </c>
      <c r="AX71" s="141">
        <v>5.6450685672213397E-2</v>
      </c>
      <c r="AY71" s="141">
        <v>1E-8</v>
      </c>
      <c r="AZ71" s="209">
        <v>364.19867248530693</v>
      </c>
      <c r="BA71">
        <v>5.6450685672213397E-2</v>
      </c>
      <c r="BB71" s="249">
        <v>19.22877141706282</v>
      </c>
      <c r="BC71" s="243">
        <v>51.26075630572538</v>
      </c>
      <c r="BD71" s="209">
        <v>22485.067682340756</v>
      </c>
      <c r="BE71" s="243">
        <v>24.309166055663013</v>
      </c>
      <c r="BF71">
        <v>640408.77754485013</v>
      </c>
      <c r="BG71" t="s">
        <v>389</v>
      </c>
      <c r="BH71">
        <v>2.6230236040742092E-6</v>
      </c>
      <c r="BI71">
        <v>1424850.6768234076</v>
      </c>
      <c r="BJ71">
        <f t="shared" si="1"/>
        <v>0.44945676621538411</v>
      </c>
    </row>
    <row r="72" spans="1:62" s="140" customFormat="1" x14ac:dyDescent="0.3">
      <c r="A72" s="140">
        <v>-0.1</v>
      </c>
      <c r="B72" s="140">
        <v>1000</v>
      </c>
      <c r="C72" s="140">
        <v>25</v>
      </c>
      <c r="D72" s="140">
        <v>400</v>
      </c>
      <c r="E72" s="253">
        <v>4.2142074723995098</v>
      </c>
      <c r="F72" s="140">
        <v>1.1576070750866434</v>
      </c>
      <c r="G72" s="140">
        <v>4.919213158609522</v>
      </c>
      <c r="H72" s="140">
        <v>0</v>
      </c>
      <c r="J72" s="140">
        <v>5.7813708473513747E-2</v>
      </c>
      <c r="K72" s="140">
        <v>1E-8</v>
      </c>
      <c r="L72" s="140">
        <v>24.06292946689603</v>
      </c>
      <c r="M72" s="140">
        <v>14.437757567843946</v>
      </c>
      <c r="N72" s="140">
        <v>0.25772613246884035</v>
      </c>
      <c r="Z72" s="140" t="s">
        <v>35</v>
      </c>
      <c r="AL72" s="140">
        <v>504.31514875228606</v>
      </c>
      <c r="AM72" s="140">
        <v>0.23532362549905353</v>
      </c>
      <c r="AN72" s="140">
        <v>0.29969991184777139</v>
      </c>
      <c r="AO72" s="140">
        <v>385.93857620305187</v>
      </c>
      <c r="AP72" s="140">
        <v>375.45208251786596</v>
      </c>
      <c r="AQ72" s="140" t="s">
        <v>308</v>
      </c>
      <c r="AR72" s="140">
        <v>0</v>
      </c>
      <c r="AS72" s="140">
        <v>0</v>
      </c>
      <c r="AT72" s="140">
        <v>0</v>
      </c>
      <c r="AU72" s="140">
        <v>1</v>
      </c>
      <c r="AV72">
        <v>0.1</v>
      </c>
      <c r="AW72" s="146">
        <v>0.1</v>
      </c>
      <c r="AX72" s="141">
        <v>5.6113543742110042E-2</v>
      </c>
      <c r="AY72" s="205">
        <v>1E-8</v>
      </c>
      <c r="AZ72" s="209">
        <v>375.45208251786596</v>
      </c>
      <c r="BA72" s="140">
        <v>5.6113543742110042E-2</v>
      </c>
      <c r="BB72" s="253">
        <v>12.974629950879464</v>
      </c>
      <c r="BC72" s="245">
        <v>34.155790177683443</v>
      </c>
      <c r="BD72" s="210">
        <v>14115.043726164862</v>
      </c>
      <c r="BE72" s="245">
        <v>16.325069288992921</v>
      </c>
      <c r="BF72" s="140">
        <v>606210.8538866021</v>
      </c>
      <c r="BG72" t="s">
        <v>389</v>
      </c>
      <c r="BH72" s="140">
        <v>1.8187877266477966E-6</v>
      </c>
      <c r="BI72" s="140">
        <v>1341150.4372616487</v>
      </c>
      <c r="BJ72">
        <f t="shared" si="1"/>
        <v>0.45200809472527115</v>
      </c>
    </row>
    <row r="73" spans="1:62" x14ac:dyDescent="0.3">
      <c r="A73">
        <v>-0.1</v>
      </c>
      <c r="B73" s="146">
        <v>1000</v>
      </c>
      <c r="C73" s="146">
        <v>25</v>
      </c>
      <c r="D73" s="146">
        <v>400</v>
      </c>
      <c r="E73" s="252">
        <v>18.013465474983366</v>
      </c>
      <c r="F73" s="146">
        <v>6.355300206761572</v>
      </c>
      <c r="G73" s="146">
        <v>21.924893994813527</v>
      </c>
      <c r="H73" s="146">
        <v>0</v>
      </c>
      <c r="I73" s="146"/>
      <c r="J73" s="146">
        <v>6.416102461348408E-2</v>
      </c>
      <c r="K73" s="146">
        <v>1E-8</v>
      </c>
      <c r="L73" s="146">
        <v>106.92160725027625</v>
      </c>
      <c r="M73" s="146">
        <v>64.152963851198251</v>
      </c>
      <c r="N73" s="146">
        <v>0.95772366792753738</v>
      </c>
      <c r="O73" s="146"/>
      <c r="P73" s="146"/>
      <c r="Q73" s="146"/>
      <c r="R73" s="146"/>
      <c r="S73" s="146"/>
      <c r="T73" s="146"/>
      <c r="U73" s="146"/>
      <c r="V73" s="146"/>
      <c r="W73" s="146"/>
      <c r="X73" s="146"/>
      <c r="Y73" s="146"/>
      <c r="Z73" s="146" t="s">
        <v>35</v>
      </c>
      <c r="AA73" s="146"/>
      <c r="AB73" s="146"/>
      <c r="AC73" s="146"/>
      <c r="AD73" s="146"/>
      <c r="AE73" s="146"/>
      <c r="AF73" s="146"/>
      <c r="AG73" s="146"/>
      <c r="AH73" s="146"/>
      <c r="AI73" s="146"/>
      <c r="AJ73" s="146"/>
      <c r="AK73" s="146"/>
      <c r="AL73" s="146">
        <v>769.93101721849996</v>
      </c>
      <c r="AM73" s="146">
        <v>0.28986686130683043</v>
      </c>
      <c r="AN73" s="146">
        <v>0.28099113162260164</v>
      </c>
      <c r="AO73" s="146">
        <v>335.89311744123938</v>
      </c>
      <c r="AP73" s="146">
        <v>291.06918325473151</v>
      </c>
      <c r="AQ73" t="s">
        <v>308</v>
      </c>
      <c r="AR73">
        <v>0</v>
      </c>
      <c r="AS73">
        <v>0</v>
      </c>
      <c r="AT73">
        <v>0</v>
      </c>
      <c r="AU73">
        <v>1</v>
      </c>
      <c r="AV73">
        <v>0.1</v>
      </c>
      <c r="AW73" s="146">
        <v>3</v>
      </c>
      <c r="AX73" s="141">
        <v>6.0136867401108775E-2</v>
      </c>
      <c r="AY73" s="141">
        <v>1E-8</v>
      </c>
      <c r="AZ73" s="209">
        <v>291.06918325473151</v>
      </c>
      <c r="BA73">
        <v>6.0136867401108775E-2</v>
      </c>
      <c r="BB73" s="249">
        <v>66.055166151210841</v>
      </c>
      <c r="BC73" s="243">
        <v>204.17015624422353</v>
      </c>
      <c r="BD73" s="209">
        <v>115545.72450781675</v>
      </c>
      <c r="BE73" s="243">
        <v>89.341210335526398</v>
      </c>
      <c r="BF73">
        <v>351066.02195311926</v>
      </c>
      <c r="BG73" t="s">
        <v>390</v>
      </c>
      <c r="BH73">
        <v>6.3950420165119676E-6</v>
      </c>
      <c r="BI73">
        <v>2355457.2450781674</v>
      </c>
      <c r="BJ73">
        <f t="shared" si="1"/>
        <v>0.14904368257445016</v>
      </c>
    </row>
    <row r="74" spans="1:62" x14ac:dyDescent="0.3">
      <c r="A74">
        <v>-0.2</v>
      </c>
      <c r="B74" s="146">
        <v>1000</v>
      </c>
      <c r="C74" s="146">
        <v>25</v>
      </c>
      <c r="D74" s="146">
        <v>400</v>
      </c>
      <c r="E74" s="252">
        <v>17.865513701457289</v>
      </c>
      <c r="F74" s="146">
        <v>6.4691917832600287</v>
      </c>
      <c r="G74" s="146">
        <v>21.837130858568695</v>
      </c>
      <c r="H74" s="146">
        <v>0</v>
      </c>
      <c r="I74" s="146"/>
      <c r="J74" s="146">
        <v>6.5088809319307217E-2</v>
      </c>
      <c r="K74" s="146">
        <v>1E-8</v>
      </c>
      <c r="L74" s="146">
        <v>107.07319614652002</v>
      </c>
      <c r="M74" s="146">
        <v>64.243917188237091</v>
      </c>
      <c r="N74" s="146">
        <v>0.96378106995798563</v>
      </c>
      <c r="O74" s="146"/>
      <c r="P74" s="146"/>
      <c r="Q74" s="146"/>
      <c r="R74" s="146"/>
      <c r="S74" s="146"/>
      <c r="T74" s="146"/>
      <c r="U74" s="146"/>
      <c r="V74" s="146"/>
      <c r="W74" s="146"/>
      <c r="X74" s="146"/>
      <c r="Y74" s="146"/>
      <c r="Z74" s="146" t="s">
        <v>35</v>
      </c>
      <c r="AA74" s="146"/>
      <c r="AB74" s="146"/>
      <c r="AC74" s="146"/>
      <c r="AD74" s="146"/>
      <c r="AE74" s="146"/>
      <c r="AF74" s="146"/>
      <c r="AG74" s="146"/>
      <c r="AH74" s="146"/>
      <c r="AI74" s="146"/>
      <c r="AJ74" s="146"/>
      <c r="AK74" s="146"/>
      <c r="AL74" s="146">
        <v>765.97295433955298</v>
      </c>
      <c r="AM74" s="146">
        <v>0.29624733327645814</v>
      </c>
      <c r="AN74" s="146">
        <v>0.25000196712865969</v>
      </c>
      <c r="AO74" s="146">
        <v>328.53850748997075</v>
      </c>
      <c r="AP74" s="146">
        <v>284.08241936055998</v>
      </c>
      <c r="AQ74" t="s">
        <v>308</v>
      </c>
      <c r="AR74">
        <v>0</v>
      </c>
      <c r="AS74">
        <v>0</v>
      </c>
      <c r="AT74">
        <v>0</v>
      </c>
      <c r="AU74">
        <v>1</v>
      </c>
      <c r="AV74">
        <v>0.1</v>
      </c>
      <c r="AW74" s="146">
        <v>3</v>
      </c>
      <c r="AX74" s="141">
        <v>6.0984801971824175E-2</v>
      </c>
      <c r="AY74" s="141">
        <v>1E-8</v>
      </c>
      <c r="AZ74" s="209">
        <v>284.08241936055998</v>
      </c>
      <c r="BA74">
        <v>6.0984801971824175E-2</v>
      </c>
      <c r="BB74" s="249">
        <v>66.754526467723935</v>
      </c>
      <c r="BC74" s="243">
        <v>204.63305154684329</v>
      </c>
      <c r="BD74" s="209">
        <v>116297.49146182697</v>
      </c>
      <c r="BE74" s="243">
        <v>90.175454645713359</v>
      </c>
      <c r="BF74">
        <v>349001.83431946393</v>
      </c>
      <c r="BG74" t="s">
        <v>390</v>
      </c>
      <c r="BH74">
        <v>6.3275803657641618E-6</v>
      </c>
      <c r="BI74">
        <v>2362974.9146182695</v>
      </c>
      <c r="BJ74">
        <f t="shared" si="1"/>
        <v>0.14769595401136282</v>
      </c>
    </row>
    <row r="75" spans="1:62" x14ac:dyDescent="0.3">
      <c r="A75">
        <v>-0.3</v>
      </c>
      <c r="B75" s="146">
        <v>1000</v>
      </c>
      <c r="C75" s="146">
        <v>25</v>
      </c>
      <c r="D75" s="146">
        <v>400</v>
      </c>
      <c r="E75" s="252">
        <v>17.679877707333105</v>
      </c>
      <c r="F75" s="146">
        <v>6.6226852486709245</v>
      </c>
      <c r="G75" s="146">
        <v>21.732944694292403</v>
      </c>
      <c r="H75" s="146">
        <v>0</v>
      </c>
      <c r="I75" s="146"/>
      <c r="J75" s="146">
        <v>6.6419962520097423E-2</v>
      </c>
      <c r="K75" s="146">
        <v>1E-8</v>
      </c>
      <c r="L75" s="146">
        <v>107.29332119779758</v>
      </c>
      <c r="M75" s="146">
        <v>64.375992217976375</v>
      </c>
      <c r="N75" s="146">
        <v>0.96922933589221039</v>
      </c>
      <c r="O75" s="146"/>
      <c r="P75" s="146"/>
      <c r="Q75" s="146"/>
      <c r="R75" s="146"/>
      <c r="S75" s="146"/>
      <c r="T75" s="146"/>
      <c r="U75" s="146"/>
      <c r="V75" s="146"/>
      <c r="W75" s="146"/>
      <c r="X75" s="146"/>
      <c r="Y75" s="146"/>
      <c r="Z75" s="146" t="s">
        <v>35</v>
      </c>
      <c r="AA75" s="146"/>
      <c r="AB75" s="146"/>
      <c r="AC75" s="146"/>
      <c r="AD75" s="146"/>
      <c r="AE75" s="146"/>
      <c r="AF75" s="146"/>
      <c r="AG75" s="146"/>
      <c r="AH75" s="146"/>
      <c r="AI75" s="146"/>
      <c r="AJ75" s="146"/>
      <c r="AK75" s="146"/>
      <c r="AL75" s="146">
        <v>759.85069737933929</v>
      </c>
      <c r="AM75" s="146">
        <v>0.30473023061666382</v>
      </c>
      <c r="AN75" s="146">
        <v>0.21889155113194328</v>
      </c>
      <c r="AO75" s="146">
        <v>319.22996746148488</v>
      </c>
      <c r="AP75" s="146">
        <v>275.23602943323425</v>
      </c>
      <c r="AQ75" t="s">
        <v>308</v>
      </c>
      <c r="AR75">
        <v>0</v>
      </c>
      <c r="AS75">
        <v>0</v>
      </c>
      <c r="AT75">
        <v>0</v>
      </c>
      <c r="AU75">
        <v>1</v>
      </c>
      <c r="AV75">
        <v>0.1</v>
      </c>
      <c r="AW75" s="146">
        <v>3</v>
      </c>
      <c r="AX75" s="141">
        <v>6.2199373608960176E-2</v>
      </c>
      <c r="AY75" s="141">
        <v>1E-8</v>
      </c>
      <c r="AZ75" s="209">
        <v>275.23602943323425</v>
      </c>
      <c r="BA75">
        <v>6.2199373608960176E-2</v>
      </c>
      <c r="BB75" s="249">
        <v>67.710471782309497</v>
      </c>
      <c r="BC75" s="243">
        <v>205.30701804709415</v>
      </c>
      <c r="BD75" s="209">
        <v>117388.06673027598</v>
      </c>
      <c r="BE75" s="243">
        <v>91.382727002440163</v>
      </c>
      <c r="BF75">
        <v>346643.91231104784</v>
      </c>
      <c r="BG75" t="s">
        <v>390</v>
      </c>
      <c r="BH75">
        <v>6.2392399464155562E-6</v>
      </c>
      <c r="BI75">
        <v>2373880.6673027598</v>
      </c>
      <c r="BJ75">
        <f t="shared" si="1"/>
        <v>0.14602415238711644</v>
      </c>
    </row>
    <row r="76" spans="1:62" x14ac:dyDescent="0.3">
      <c r="A76">
        <v>-0.4</v>
      </c>
      <c r="B76" s="146">
        <v>1000</v>
      </c>
      <c r="C76" s="146">
        <v>25</v>
      </c>
      <c r="D76" s="146">
        <v>400</v>
      </c>
      <c r="E76" s="252">
        <v>17.422764605175924</v>
      </c>
      <c r="F76" s="146">
        <v>6.8275238357731833</v>
      </c>
      <c r="G76" s="146">
        <v>21.584300263783241</v>
      </c>
      <c r="H76" s="146">
        <v>0</v>
      </c>
      <c r="I76" s="146"/>
      <c r="J76" s="146">
        <v>6.8100344067162213E-2</v>
      </c>
      <c r="K76" s="146">
        <v>1E-8</v>
      </c>
      <c r="L76" s="146">
        <v>107.57675524281768</v>
      </c>
      <c r="M76" s="146">
        <v>64.546052643665746</v>
      </c>
      <c r="N76" s="146">
        <v>0.97775352365265489</v>
      </c>
      <c r="O76" s="146"/>
      <c r="P76" s="146"/>
      <c r="Q76" s="146"/>
      <c r="R76" s="146"/>
      <c r="S76" s="146"/>
      <c r="T76" s="146"/>
      <c r="U76" s="146"/>
      <c r="V76" s="146"/>
      <c r="W76" s="146"/>
      <c r="X76" s="146"/>
      <c r="Y76" s="146"/>
      <c r="Z76" s="146" t="s">
        <v>35</v>
      </c>
      <c r="AA76" s="146"/>
      <c r="AB76" s="146"/>
      <c r="AC76" s="146"/>
      <c r="AD76" s="146"/>
      <c r="AE76" s="146"/>
      <c r="AF76" s="146"/>
      <c r="AG76" s="146"/>
      <c r="AH76" s="146"/>
      <c r="AI76" s="146"/>
      <c r="AJ76" s="146"/>
      <c r="AK76" s="146"/>
      <c r="AL76" s="146">
        <v>752.77846495907602</v>
      </c>
      <c r="AM76" s="146">
        <v>0.31631897964416439</v>
      </c>
      <c r="AN76" s="146">
        <v>0.1878582237721412</v>
      </c>
      <c r="AO76" s="146">
        <v>307.25577909057358</v>
      </c>
      <c r="AP76" s="146">
        <v>263.90170313274865</v>
      </c>
      <c r="AQ76" t="s">
        <v>308</v>
      </c>
      <c r="AR76">
        <v>0</v>
      </c>
      <c r="AS76">
        <v>0</v>
      </c>
      <c r="AT76">
        <v>0</v>
      </c>
      <c r="AU76">
        <v>1</v>
      </c>
      <c r="AV76">
        <v>0.1</v>
      </c>
      <c r="AW76" s="146">
        <v>3</v>
      </c>
      <c r="AX76" s="141">
        <v>6.373671007589489E-2</v>
      </c>
      <c r="AY76" s="141">
        <v>1E-8</v>
      </c>
      <c r="AZ76" s="209">
        <v>263.90170313274865</v>
      </c>
      <c r="BA76">
        <v>6.373671007589489E-2</v>
      </c>
      <c r="BB76" s="249">
        <v>68.976357168500357</v>
      </c>
      <c r="BC76" s="243">
        <v>206.17795860213749</v>
      </c>
      <c r="BD76" s="209">
        <v>118791.4446447778</v>
      </c>
      <c r="BE76" s="243">
        <v>92.931537686152481</v>
      </c>
      <c r="BF76">
        <v>343090.3301355947</v>
      </c>
      <c r="BG76" t="s">
        <v>390</v>
      </c>
      <c r="BH76">
        <v>6.1209906963408728E-6</v>
      </c>
      <c r="BI76">
        <v>2387914.446447778</v>
      </c>
      <c r="BJ76">
        <f t="shared" si="1"/>
        <v>0.14367781502640106</v>
      </c>
    </row>
    <row r="77" spans="1:62" x14ac:dyDescent="0.3">
      <c r="A77">
        <v>-0.5</v>
      </c>
      <c r="B77" s="146">
        <v>1000</v>
      </c>
      <c r="C77" s="146">
        <v>25</v>
      </c>
      <c r="D77" s="146">
        <v>400</v>
      </c>
      <c r="E77" s="252">
        <v>17.060785559498957</v>
      </c>
      <c r="F77" s="146">
        <v>7.1255768272018631</v>
      </c>
      <c r="G77" s="146">
        <v>21.380447234886766</v>
      </c>
      <c r="H77" s="146">
        <v>0</v>
      </c>
      <c r="I77" s="146"/>
      <c r="J77" s="146">
        <v>7.0573467859296676E-2</v>
      </c>
      <c r="K77" s="146">
        <v>1E-8</v>
      </c>
      <c r="L77" s="146">
        <v>108.00349752003746</v>
      </c>
      <c r="M77" s="146">
        <v>64.802098008006155</v>
      </c>
      <c r="N77" s="146">
        <v>0.98721614922537526</v>
      </c>
      <c r="O77" s="146"/>
      <c r="P77" s="146"/>
      <c r="Q77" s="146"/>
      <c r="R77" s="146"/>
      <c r="S77" s="146"/>
      <c r="T77" s="146"/>
      <c r="U77" s="146"/>
      <c r="V77" s="146"/>
      <c r="W77" s="146"/>
      <c r="X77" s="146"/>
      <c r="Y77" s="146"/>
      <c r="Z77" s="146" t="s">
        <v>35</v>
      </c>
      <c r="AA77" s="146"/>
      <c r="AB77" s="146"/>
      <c r="AC77" s="146"/>
      <c r="AD77" s="146"/>
      <c r="AE77" s="146"/>
      <c r="AF77" s="146"/>
      <c r="AG77" s="146"/>
      <c r="AH77" s="146"/>
      <c r="AI77" s="146"/>
      <c r="AJ77" s="146"/>
      <c r="AK77" s="146"/>
      <c r="AL77" s="146">
        <v>742.31511647713262</v>
      </c>
      <c r="AM77" s="146">
        <v>0.3332753870356352</v>
      </c>
      <c r="AN77" s="146">
        <v>0.15675160507971753</v>
      </c>
      <c r="AO77" s="146">
        <v>291.16037726808264</v>
      </c>
      <c r="AP77" s="146">
        <v>248.70704186444499</v>
      </c>
      <c r="AQ77" t="s">
        <v>308</v>
      </c>
      <c r="AR77">
        <v>0</v>
      </c>
      <c r="AS77">
        <v>0</v>
      </c>
      <c r="AT77">
        <v>0</v>
      </c>
      <c r="AU77">
        <v>1</v>
      </c>
      <c r="AV77">
        <v>0.1</v>
      </c>
      <c r="AW77" s="146">
        <v>3</v>
      </c>
      <c r="AX77" s="141">
        <v>6.6000100761366393E-2</v>
      </c>
      <c r="AY77" s="141">
        <v>1E-8</v>
      </c>
      <c r="AZ77" s="209">
        <v>248.70704186444499</v>
      </c>
      <c r="BA77">
        <v>6.6000100761366393E-2</v>
      </c>
      <c r="BB77" s="249">
        <v>70.829261649721275</v>
      </c>
      <c r="BC77" s="243">
        <v>207.49598319263762</v>
      </c>
      <c r="BD77" s="209">
        <v>120903.80393546852</v>
      </c>
      <c r="BE77" s="243">
        <v>95.253321522113964</v>
      </c>
      <c r="BF77">
        <v>338162.31068141805</v>
      </c>
      <c r="BG77" t="s">
        <v>390</v>
      </c>
      <c r="BH77">
        <v>5.9528007889773395E-6</v>
      </c>
      <c r="BI77">
        <v>2409038.0393546852</v>
      </c>
      <c r="BJ77">
        <f t="shared" si="1"/>
        <v>0.1403723416389068</v>
      </c>
    </row>
    <row r="78" spans="1:62" x14ac:dyDescent="0.3">
      <c r="A78">
        <v>-0.6</v>
      </c>
      <c r="B78" s="146">
        <v>1000</v>
      </c>
      <c r="C78" s="146">
        <v>25</v>
      </c>
      <c r="D78" s="146">
        <v>400</v>
      </c>
      <c r="E78" s="252">
        <v>16.491457201453478</v>
      </c>
      <c r="F78" s="146">
        <v>7.5685677752522089</v>
      </c>
      <c r="G78" s="146">
        <v>21.04536722186127</v>
      </c>
      <c r="H78" s="146">
        <v>0</v>
      </c>
      <c r="I78" s="146"/>
      <c r="J78" s="146">
        <v>7.3919834937424933E-2</v>
      </c>
      <c r="K78" s="146">
        <v>1E-8</v>
      </c>
      <c r="L78" s="146">
        <v>108.60174247675648</v>
      </c>
      <c r="M78" s="146">
        <v>65.161044979245744</v>
      </c>
      <c r="N78" s="146">
        <v>1.0048080604056762</v>
      </c>
      <c r="O78" s="146"/>
      <c r="P78" s="146"/>
      <c r="Q78" s="146"/>
      <c r="R78" s="146"/>
      <c r="S78" s="146"/>
      <c r="T78" s="146"/>
      <c r="U78" s="146"/>
      <c r="V78" s="146"/>
      <c r="W78" s="146"/>
      <c r="X78" s="146"/>
      <c r="Y78" s="146"/>
      <c r="Z78" s="146" t="s">
        <v>35</v>
      </c>
      <c r="AA78" s="146"/>
      <c r="AB78" s="146"/>
      <c r="AC78" s="146"/>
      <c r="AD78" s="146"/>
      <c r="AE78" s="146"/>
      <c r="AF78" s="146"/>
      <c r="AG78" s="146"/>
      <c r="AH78" s="146"/>
      <c r="AI78" s="146"/>
      <c r="AJ78" s="146"/>
      <c r="AK78" s="146"/>
      <c r="AL78" s="146">
        <v>730.28065674825336</v>
      </c>
      <c r="AM78" s="146">
        <v>0.35963106252620847</v>
      </c>
      <c r="AN78" s="146">
        <v>0.12580570347303691</v>
      </c>
      <c r="AO78" s="146">
        <v>268.91327860196748</v>
      </c>
      <c r="AP78" s="146">
        <v>227.87662654541566</v>
      </c>
      <c r="AQ78" t="s">
        <v>308</v>
      </c>
      <c r="AR78">
        <v>0</v>
      </c>
      <c r="AS78">
        <v>0</v>
      </c>
      <c r="AT78">
        <v>0</v>
      </c>
      <c r="AU78">
        <v>1</v>
      </c>
      <c r="AV78">
        <v>0.1</v>
      </c>
      <c r="AW78" s="146">
        <v>3</v>
      </c>
      <c r="AX78" s="141">
        <v>6.9082935879255777E-2</v>
      </c>
      <c r="AY78" s="141">
        <v>1E-8</v>
      </c>
      <c r="AZ78" s="209">
        <v>227.87662654541566</v>
      </c>
      <c r="BA78">
        <v>6.9082935879255777E-2</v>
      </c>
      <c r="BB78" s="249">
        <v>73.549834385536741</v>
      </c>
      <c r="BC78" s="243">
        <v>209.35748722642086</v>
      </c>
      <c r="BD78" s="209">
        <v>123867.26279903129</v>
      </c>
      <c r="BE78" s="243">
        <v>98.492965886254993</v>
      </c>
      <c r="BF78">
        <v>329424.3814540134</v>
      </c>
      <c r="BG78" t="s">
        <v>390</v>
      </c>
      <c r="BH78">
        <v>5.7021507438864191E-6</v>
      </c>
      <c r="BI78">
        <v>2438672.6279903129</v>
      </c>
      <c r="BJ78">
        <f t="shared" si="1"/>
        <v>0.13508347847635824</v>
      </c>
    </row>
    <row r="79" spans="1:62" x14ac:dyDescent="0.3">
      <c r="A79">
        <v>-0.7</v>
      </c>
      <c r="B79" s="146">
        <v>1000</v>
      </c>
      <c r="C79" s="146">
        <v>25</v>
      </c>
      <c r="D79" s="146">
        <v>400</v>
      </c>
      <c r="E79" s="252">
        <v>15.549199379787979</v>
      </c>
      <c r="F79" s="146">
        <v>8.3574672592269437</v>
      </c>
      <c r="G79" s="146">
        <v>20.522050388343878</v>
      </c>
      <c r="H79" s="146">
        <v>0</v>
      </c>
      <c r="I79" s="146"/>
      <c r="J79" s="146">
        <v>8.0082783555754003E-2</v>
      </c>
      <c r="K79" s="146">
        <v>1E-8</v>
      </c>
      <c r="L79" s="146">
        <v>109.74780790871519</v>
      </c>
      <c r="M79" s="146">
        <v>65.84868423307266</v>
      </c>
      <c r="N79" s="146">
        <v>1.0194074477748511</v>
      </c>
      <c r="O79" s="146"/>
      <c r="P79" s="146"/>
      <c r="Q79" s="146"/>
      <c r="R79" s="146"/>
      <c r="S79" s="146"/>
      <c r="T79" s="146"/>
      <c r="U79" s="146"/>
      <c r="V79" s="146"/>
      <c r="W79" s="146"/>
      <c r="X79" s="146"/>
      <c r="Y79" s="146"/>
      <c r="Z79" s="146" t="s">
        <v>35</v>
      </c>
      <c r="AA79" s="146"/>
      <c r="AB79" s="146"/>
      <c r="AC79" s="146"/>
      <c r="AD79" s="146"/>
      <c r="AE79" s="146"/>
      <c r="AF79" s="146"/>
      <c r="AG79" s="146"/>
      <c r="AH79" s="146"/>
      <c r="AI79" s="146"/>
      <c r="AJ79" s="146"/>
      <c r="AK79" s="146"/>
      <c r="AL79" s="146">
        <v>706.6400926037129</v>
      </c>
      <c r="AM79" s="146">
        <v>0.40724328715096719</v>
      </c>
      <c r="AN79" s="146">
        <v>9.4597800681738398E-2</v>
      </c>
      <c r="AO79" s="146">
        <v>235.62832045005811</v>
      </c>
      <c r="AP79" s="146">
        <v>196.93636871628729</v>
      </c>
      <c r="AQ79" t="s">
        <v>308</v>
      </c>
      <c r="AR79">
        <v>0</v>
      </c>
      <c r="AS79">
        <v>0</v>
      </c>
      <c r="AT79">
        <v>0</v>
      </c>
      <c r="AU79">
        <v>1</v>
      </c>
      <c r="AV79">
        <v>0.1</v>
      </c>
      <c r="AW79" s="146">
        <v>3</v>
      </c>
      <c r="AX79" s="141">
        <v>7.4762653606299717E-2</v>
      </c>
      <c r="AY79" s="141">
        <v>1E-8</v>
      </c>
      <c r="AZ79" s="209">
        <v>196.93636871628729</v>
      </c>
      <c r="BA79">
        <v>7.4762653606299717E-2</v>
      </c>
      <c r="BB79" s="249">
        <v>78.457803120396818</v>
      </c>
      <c r="BC79" s="243">
        <v>212.96949471293726</v>
      </c>
      <c r="BD79" s="209">
        <v>129569.58128726872</v>
      </c>
      <c r="BE79" s="243">
        <v>104.67745686403373</v>
      </c>
      <c r="BF79">
        <v>315264.35076460068</v>
      </c>
      <c r="BG79" t="s">
        <v>390</v>
      </c>
      <c r="BH79">
        <v>5.279293593463119E-6</v>
      </c>
      <c r="BI79">
        <v>2495695.8128726874</v>
      </c>
      <c r="BJ79">
        <f t="shared" si="1"/>
        <v>0.12632322783028335</v>
      </c>
    </row>
    <row r="80" spans="1:62" x14ac:dyDescent="0.3">
      <c r="A80">
        <v>-0.8</v>
      </c>
      <c r="B80" s="146">
        <v>1000</v>
      </c>
      <c r="C80" s="146">
        <v>25</v>
      </c>
      <c r="D80" s="146">
        <v>400</v>
      </c>
      <c r="E80" s="252">
        <v>13.657744702394918</v>
      </c>
      <c r="F80" s="146">
        <v>9.7956941507781448</v>
      </c>
      <c r="G80" s="146">
        <v>19.389288401684283</v>
      </c>
      <c r="H80" s="146">
        <v>0</v>
      </c>
      <c r="I80" s="146"/>
      <c r="J80" s="146">
        <v>9.0236412983310643E-2</v>
      </c>
      <c r="K80" s="146">
        <v>1E-8</v>
      </c>
      <c r="L80" s="146">
        <v>111.43965053525744</v>
      </c>
      <c r="M80" s="146">
        <v>66.863789801102754</v>
      </c>
      <c r="N80" s="146">
        <v>1.044156065462241</v>
      </c>
      <c r="O80" s="146"/>
      <c r="P80" s="146"/>
      <c r="Q80" s="146"/>
      <c r="R80" s="146"/>
      <c r="S80" s="146"/>
      <c r="T80" s="146"/>
      <c r="U80" s="146"/>
      <c r="V80" s="146"/>
      <c r="W80" s="146"/>
      <c r="X80" s="146"/>
      <c r="Y80" s="146"/>
      <c r="Z80" s="146" t="s">
        <v>35</v>
      </c>
      <c r="AA80" s="146"/>
      <c r="AB80" s="146"/>
      <c r="AC80" s="146"/>
      <c r="AD80" s="146"/>
      <c r="AE80" s="146"/>
      <c r="AF80" s="146"/>
      <c r="AG80" s="146"/>
      <c r="AH80" s="146"/>
      <c r="AI80" s="146"/>
      <c r="AJ80" s="146"/>
      <c r="AK80" s="146"/>
      <c r="AL80" s="146">
        <v>673.37083826542664</v>
      </c>
      <c r="AM80" s="146">
        <v>0.50521163788183299</v>
      </c>
      <c r="AN80" s="146">
        <v>6.3606681075723259E-2</v>
      </c>
      <c r="AO80" s="146">
        <v>185.2781426193975</v>
      </c>
      <c r="AP80" s="146">
        <v>151.29280553430615</v>
      </c>
      <c r="AQ80" t="s">
        <v>308</v>
      </c>
      <c r="AR80">
        <v>0</v>
      </c>
      <c r="AS80">
        <v>0</v>
      </c>
      <c r="AT80">
        <v>0</v>
      </c>
      <c r="AU80">
        <v>1</v>
      </c>
      <c r="AV80">
        <v>0.1</v>
      </c>
      <c r="AW80" s="146">
        <v>3</v>
      </c>
      <c r="AX80" s="141">
        <v>8.427497253003037E-2</v>
      </c>
      <c r="AY80" s="141">
        <v>1E-8</v>
      </c>
      <c r="AZ80" s="209">
        <v>151.29280553430615</v>
      </c>
      <c r="BA80">
        <v>8.427497253003037E-2</v>
      </c>
      <c r="BB80" s="249">
        <v>87.202695552011377</v>
      </c>
      <c r="BC80" s="243">
        <v>218.4156904444911</v>
      </c>
      <c r="BD80" s="209">
        <v>138958.28776441727</v>
      </c>
      <c r="BE80" s="243">
        <v>115.06295911562536</v>
      </c>
      <c r="BF80">
        <v>287868.6797915966</v>
      </c>
      <c r="BG80" t="s">
        <v>390</v>
      </c>
      <c r="BH80">
        <v>4.4997858053291339E-6</v>
      </c>
      <c r="BI80">
        <v>2589582.8776441729</v>
      </c>
      <c r="BJ80">
        <f t="shared" si="1"/>
        <v>0.11116411151647713</v>
      </c>
    </row>
    <row r="81" spans="1:62" x14ac:dyDescent="0.3">
      <c r="A81">
        <v>-0.85</v>
      </c>
      <c r="B81" s="146">
        <v>1000</v>
      </c>
      <c r="C81" s="146">
        <v>25</v>
      </c>
      <c r="D81" s="146">
        <v>400</v>
      </c>
      <c r="E81" s="252">
        <v>9.3206467773973483</v>
      </c>
      <c r="F81" s="146">
        <v>5.3089782569098718</v>
      </c>
      <c r="G81" s="146">
        <v>12.412396069912894</v>
      </c>
      <c r="H81" s="146">
        <v>0</v>
      </c>
      <c r="I81" s="146"/>
      <c r="J81" s="146">
        <v>8.7227381944771296E-2</v>
      </c>
      <c r="K81" s="146">
        <v>1E-8</v>
      </c>
      <c r="L81" s="146">
        <v>69.707817958600415</v>
      </c>
      <c r="M81" s="146">
        <v>41.824690449857094</v>
      </c>
      <c r="N81" s="146">
        <v>0.72437211662947498</v>
      </c>
      <c r="O81" s="146"/>
      <c r="P81" s="146"/>
      <c r="Q81" s="146"/>
      <c r="R81" s="146"/>
      <c r="S81" s="146"/>
      <c r="T81" s="146"/>
      <c r="U81" s="146"/>
      <c r="V81" s="146"/>
      <c r="W81" s="146"/>
      <c r="X81" s="146"/>
      <c r="Y81" s="146"/>
      <c r="Z81" s="146" t="s">
        <v>35</v>
      </c>
      <c r="AA81" s="146"/>
      <c r="AB81" s="146"/>
      <c r="AC81" s="146"/>
      <c r="AD81" s="146"/>
      <c r="AE81" s="146"/>
      <c r="AF81" s="146"/>
      <c r="AG81" s="146"/>
      <c r="AH81" s="146"/>
      <c r="AI81" s="146"/>
      <c r="AJ81" s="146"/>
      <c r="AK81" s="146"/>
      <c r="AL81" s="146">
        <v>551.31403804265381</v>
      </c>
      <c r="AM81" s="146">
        <v>0.42771582754909049</v>
      </c>
      <c r="AN81" s="146">
        <v>4.9662724002135297E-2</v>
      </c>
      <c r="AO81" s="146">
        <v>212.32107250104528</v>
      </c>
      <c r="AP81" s="146">
        <v>189.12797972791631</v>
      </c>
      <c r="AQ81" t="s">
        <v>308</v>
      </c>
      <c r="AR81">
        <v>0</v>
      </c>
      <c r="AS81">
        <v>0</v>
      </c>
      <c r="AT81">
        <v>0</v>
      </c>
      <c r="AU81">
        <v>1</v>
      </c>
      <c r="AV81">
        <v>0.1</v>
      </c>
      <c r="AW81" s="146">
        <v>3</v>
      </c>
      <c r="AX81" s="141">
        <v>8.2157872961376791E-2</v>
      </c>
      <c r="AY81" s="141">
        <v>1E-8</v>
      </c>
      <c r="AZ81" s="209">
        <v>189.12797972791631</v>
      </c>
      <c r="BA81">
        <v>8.2157872961376791E-2</v>
      </c>
      <c r="BB81" s="249">
        <v>49.256391043128701</v>
      </c>
      <c r="BC81" s="243">
        <v>112.77350225115016</v>
      </c>
      <c r="BD81" s="209">
        <v>63566.245185439439</v>
      </c>
      <c r="BE81" s="243">
        <v>62.130563373093821</v>
      </c>
      <c r="BF81">
        <v>660427.90263975924</v>
      </c>
      <c r="BG81" t="s">
        <v>390</v>
      </c>
      <c r="BH81">
        <v>3.41062534185595E-6</v>
      </c>
      <c r="BI81">
        <v>1835662.4518543943</v>
      </c>
      <c r="BJ81">
        <f t="shared" si="1"/>
        <v>0.35977633141245119</v>
      </c>
    </row>
    <row r="82" spans="1:62" s="160" customFormat="1" ht="15" thickBot="1" x14ac:dyDescent="0.35">
      <c r="A82" s="160">
        <v>-0.87</v>
      </c>
      <c r="B82" s="160">
        <v>1000</v>
      </c>
      <c r="C82" s="160">
        <v>25</v>
      </c>
      <c r="D82" s="160">
        <v>400</v>
      </c>
      <c r="E82" s="250">
        <v>3.3440714041174031</v>
      </c>
      <c r="F82" s="160">
        <v>1.1190716223572656</v>
      </c>
      <c r="G82" s="160">
        <v>4.0123914182584608</v>
      </c>
      <c r="H82" s="160">
        <v>0</v>
      </c>
      <c r="J82" s="160">
        <v>6.772565269128307E-2</v>
      </c>
      <c r="K82" s="160">
        <v>1E-8</v>
      </c>
      <c r="L82" s="160">
        <v>20.462669632159393</v>
      </c>
      <c r="M82" s="160">
        <v>12.277601683803177</v>
      </c>
      <c r="N82" s="160">
        <v>0.24305982054879455</v>
      </c>
      <c r="Z82" s="160" t="s">
        <v>35</v>
      </c>
      <c r="AL82" s="160">
        <v>436.61536783337704</v>
      </c>
      <c r="AM82" s="160">
        <v>0.27890390186383851</v>
      </c>
      <c r="AN82" s="160">
        <v>4.3660106327796065E-2</v>
      </c>
      <c r="AO82" s="160">
        <v>323.40670499035383</v>
      </c>
      <c r="AP82" s="160">
        <v>315.08545755897978</v>
      </c>
      <c r="AQ82" s="160" t="s">
        <v>308</v>
      </c>
      <c r="AR82" s="160">
        <v>0</v>
      </c>
      <c r="AS82" s="160">
        <v>0</v>
      </c>
      <c r="AT82" s="160">
        <v>0</v>
      </c>
      <c r="AU82" s="160">
        <v>1</v>
      </c>
      <c r="AV82" s="160">
        <v>0.1</v>
      </c>
      <c r="AW82" s="146">
        <v>3</v>
      </c>
      <c r="AX82" s="238">
        <v>6.5550317241007516E-2</v>
      </c>
      <c r="AY82" s="238">
        <v>1E-8</v>
      </c>
      <c r="AZ82" s="248">
        <v>315.08545755897978</v>
      </c>
      <c r="BA82" s="160">
        <v>6.5550317241007516E-2</v>
      </c>
      <c r="BB82" s="250">
        <v>11.799181123613772</v>
      </c>
      <c r="BC82" s="246">
        <v>28.80847159520836</v>
      </c>
      <c r="BD82" s="248">
        <v>12051.057195493502</v>
      </c>
      <c r="BE82" s="246">
        <v>14.705209589761477</v>
      </c>
      <c r="BF82" s="160">
        <v>814528.19236119965</v>
      </c>
      <c r="BG82" t="s">
        <v>390</v>
      </c>
      <c r="BH82" s="160">
        <v>1.1882456362011535E-6</v>
      </c>
      <c r="BI82" s="160">
        <v>1320510.5719549351</v>
      </c>
      <c r="BJ82">
        <f t="shared" si="1"/>
        <v>0.61682822512760382</v>
      </c>
    </row>
    <row r="83" spans="1:62" x14ac:dyDescent="0.3">
      <c r="A83">
        <v>-0.1</v>
      </c>
      <c r="B83" s="146">
        <v>100</v>
      </c>
      <c r="C83" s="146">
        <v>25</v>
      </c>
      <c r="D83" s="146">
        <v>400</v>
      </c>
      <c r="E83" s="249">
        <v>3.2971055869897627</v>
      </c>
      <c r="F83">
        <v>0.86788925293250507</v>
      </c>
      <c r="G83">
        <v>3.9541376630178475</v>
      </c>
      <c r="H83">
        <v>0.89188403959057883</v>
      </c>
      <c r="J83">
        <v>0.18590353567661455</v>
      </c>
      <c r="K83">
        <v>0.08</v>
      </c>
      <c r="L83">
        <v>17.941113619258566</v>
      </c>
      <c r="M83">
        <v>10.021602975335167</v>
      </c>
      <c r="N83">
        <v>0.46419934109969707</v>
      </c>
      <c r="Z83">
        <v>0.52047051017169088</v>
      </c>
      <c r="AL83">
        <v>607.93919425311697</v>
      </c>
      <c r="AM83">
        <v>0.21948888149486456</v>
      </c>
      <c r="AN83">
        <v>0.20663604356734</v>
      </c>
      <c r="AO83">
        <v>384.043898972953</v>
      </c>
      <c r="AP83">
        <v>375.8395237032687</v>
      </c>
      <c r="AQ83" t="s">
        <v>325</v>
      </c>
      <c r="AR83">
        <f t="shared" ref="AR83:AR114" si="2">0.15*Jsat_t</f>
        <v>4.8813386259591285</v>
      </c>
      <c r="AS83">
        <f t="shared" ref="AS83:AS114" si="3">0.05*Jatp</f>
        <v>1.3321822791215501</v>
      </c>
      <c r="AT83">
        <v>0.1</v>
      </c>
      <c r="AU83">
        <v>1</v>
      </c>
      <c r="AV83">
        <v>0.2</v>
      </c>
      <c r="AW83">
        <v>3</v>
      </c>
      <c r="AX83">
        <v>0.11435231750813456</v>
      </c>
      <c r="AY83">
        <v>0.08</v>
      </c>
      <c r="AZ83" s="209">
        <v>375.8395237032687</v>
      </c>
      <c r="BA83">
        <v>0.11435231750813456</v>
      </c>
      <c r="BB83" s="249">
        <v>9.9744114363019385</v>
      </c>
      <c r="BC83" s="243">
        <v>70.240518514113731</v>
      </c>
      <c r="BD83" s="209">
        <v>25986.158512294187</v>
      </c>
      <c r="BE83" s="243">
        <v>18.994461310619155</v>
      </c>
      <c r="BF83">
        <v>18878.498026092959</v>
      </c>
      <c r="BG83" t="s">
        <v>387</v>
      </c>
      <c r="BH83">
        <v>2.0237144030353857E-6</v>
      </c>
      <c r="BI83">
        <v>1459861.585122942</v>
      </c>
      <c r="BJ83">
        <f t="shared" si="1"/>
        <v>1.2931704086523456E-2</v>
      </c>
    </row>
    <row r="84" spans="1:62" x14ac:dyDescent="0.3">
      <c r="A84">
        <v>-0.1</v>
      </c>
      <c r="B84" s="146">
        <v>200</v>
      </c>
      <c r="C84" s="146">
        <v>25</v>
      </c>
      <c r="D84" s="146">
        <v>400</v>
      </c>
      <c r="E84" s="252">
        <v>6.0475137267317578</v>
      </c>
      <c r="F84" s="146">
        <v>1.5890984437879081</v>
      </c>
      <c r="G84" s="146">
        <v>7.1719817014359943</v>
      </c>
      <c r="H84" s="146">
        <v>1.6483133361495188</v>
      </c>
      <c r="I84" s="146"/>
      <c r="J84" s="146">
        <v>0.18469985290839236</v>
      </c>
      <c r="K84" s="146">
        <v>0.08</v>
      </c>
      <c r="L84" s="146">
        <v>33.219458730874379</v>
      </c>
      <c r="M84" s="146">
        <v>18.555828446401225</v>
      </c>
      <c r="N84" s="146">
        <v>0.73443536100778894</v>
      </c>
      <c r="O84" s="146"/>
      <c r="P84" s="146"/>
      <c r="Q84" s="146"/>
      <c r="R84" s="146"/>
      <c r="S84" s="146"/>
      <c r="T84" s="146"/>
      <c r="U84" s="146"/>
      <c r="V84" s="146"/>
      <c r="W84" s="146"/>
      <c r="X84" s="146"/>
      <c r="Y84" s="146"/>
      <c r="Z84" s="146">
        <v>0.44556780855965128</v>
      </c>
      <c r="AA84" s="146"/>
      <c r="AB84" s="146"/>
      <c r="AC84" s="146"/>
      <c r="AD84" s="146"/>
      <c r="AE84" s="146"/>
      <c r="AF84" s="146"/>
      <c r="AG84" s="146"/>
      <c r="AH84" s="146"/>
      <c r="AI84" s="146"/>
      <c r="AJ84" s="146"/>
      <c r="AK84" s="146"/>
      <c r="AL84" s="146">
        <v>725.94726330492881</v>
      </c>
      <c r="AM84" s="146">
        <v>0.22157034275055865</v>
      </c>
      <c r="AN84" s="146">
        <v>0.23062707619307582</v>
      </c>
      <c r="AO84" s="146">
        <v>373.77795432107496</v>
      </c>
      <c r="AP84" s="146">
        <v>358.7295828010345</v>
      </c>
      <c r="AQ84" t="s">
        <v>325</v>
      </c>
      <c r="AR84">
        <f t="shared" si="2"/>
        <v>4.8813386259591285</v>
      </c>
      <c r="AS84">
        <f t="shared" si="3"/>
        <v>1.3321822791215501</v>
      </c>
      <c r="AT84">
        <v>0.1</v>
      </c>
      <c r="AU84">
        <v>1</v>
      </c>
      <c r="AV84">
        <v>0.2</v>
      </c>
      <c r="AW84">
        <v>3</v>
      </c>
      <c r="AX84">
        <v>0.11818175206555721</v>
      </c>
      <c r="AY84">
        <v>0.08</v>
      </c>
      <c r="AZ84" s="209">
        <v>358.7295828010345</v>
      </c>
      <c r="BA84">
        <v>0.11818175206555721</v>
      </c>
      <c r="BB84" s="249">
        <v>18.163293858543732</v>
      </c>
      <c r="BC84" s="243">
        <v>102.16070399887298</v>
      </c>
      <c r="BD84" s="209">
        <v>42009.66004459517</v>
      </c>
      <c r="BE84" s="243">
        <v>29.806797125240173</v>
      </c>
      <c r="BF84">
        <v>52280.663587796269</v>
      </c>
      <c r="BG84" t="s">
        <v>387</v>
      </c>
      <c r="BH84">
        <v>3.4015295192404477E-6</v>
      </c>
      <c r="BI84">
        <v>1620096.6004459518</v>
      </c>
      <c r="BJ84">
        <f t="shared" si="1"/>
        <v>3.2270090297952213E-2</v>
      </c>
    </row>
    <row r="85" spans="1:62" x14ac:dyDescent="0.3">
      <c r="A85">
        <v>-0.1</v>
      </c>
      <c r="B85" s="146">
        <v>300</v>
      </c>
      <c r="C85" s="146">
        <v>25</v>
      </c>
      <c r="D85" s="146">
        <v>400</v>
      </c>
      <c r="E85" s="252">
        <v>8.3916885997642794</v>
      </c>
      <c r="F85" s="146">
        <v>2.2322217064266026</v>
      </c>
      <c r="G85" s="146">
        <v>9.9169387274027621</v>
      </c>
      <c r="H85" s="146">
        <v>2.314177323385215</v>
      </c>
      <c r="I85" s="146"/>
      <c r="J85" s="146">
        <v>0.18464383708526469</v>
      </c>
      <c r="K85" s="146">
        <v>0.08</v>
      </c>
      <c r="L85" s="146">
        <v>46.704208025510084</v>
      </c>
      <c r="M85" s="146">
        <v>26.088181594630974</v>
      </c>
      <c r="N85" s="146">
        <v>0.93018254890696195</v>
      </c>
      <c r="O85" s="146"/>
      <c r="P85" s="146"/>
      <c r="Q85" s="146"/>
      <c r="R85" s="146"/>
      <c r="S85" s="146"/>
      <c r="T85" s="146"/>
      <c r="U85" s="146"/>
      <c r="V85" s="146"/>
      <c r="W85" s="146"/>
      <c r="X85" s="146"/>
      <c r="Y85" s="146"/>
      <c r="Z85" s="146">
        <v>0.40194955654749753</v>
      </c>
      <c r="AA85" s="146"/>
      <c r="AB85" s="146"/>
      <c r="AC85" s="146"/>
      <c r="AD85" s="146"/>
      <c r="AE85" s="146"/>
      <c r="AF85" s="146"/>
      <c r="AG85" s="146"/>
      <c r="AH85" s="146"/>
      <c r="AI85" s="146"/>
      <c r="AJ85" s="146"/>
      <c r="AK85" s="146"/>
      <c r="AL85" s="146">
        <v>809.79070162627579</v>
      </c>
      <c r="AM85" s="146">
        <v>0.22509181187723437</v>
      </c>
      <c r="AN85" s="146">
        <v>0.24380950035928262</v>
      </c>
      <c r="AO85" s="146">
        <v>365.58096141701566</v>
      </c>
      <c r="AP85" s="146">
        <v>344.69942717279503</v>
      </c>
      <c r="AQ85" t="s">
        <v>325</v>
      </c>
      <c r="AR85">
        <f t="shared" si="2"/>
        <v>4.8813386259591285</v>
      </c>
      <c r="AS85">
        <f t="shared" si="3"/>
        <v>1.3321822791215501</v>
      </c>
      <c r="AT85">
        <v>0.1</v>
      </c>
      <c r="AU85">
        <v>1</v>
      </c>
      <c r="AV85">
        <v>0.2</v>
      </c>
      <c r="AW85">
        <v>3</v>
      </c>
      <c r="AX85">
        <v>0.12124410299943829</v>
      </c>
      <c r="AY85">
        <v>0.08</v>
      </c>
      <c r="AZ85" s="209">
        <v>344.69942717279503</v>
      </c>
      <c r="BA85">
        <v>0.12124410299943829</v>
      </c>
      <c r="BB85" s="249">
        <v>25.319659650767068</v>
      </c>
      <c r="BC85" s="243">
        <v>125.08449728741637</v>
      </c>
      <c r="BD85" s="209">
        <v>55062.726698543316</v>
      </c>
      <c r="BE85" s="243">
        <v>38.571212482655909</v>
      </c>
      <c r="BF85">
        <v>90389.903627182503</v>
      </c>
      <c r="BG85" t="s">
        <v>387</v>
      </c>
      <c r="BH85">
        <v>4.3352682082589614E-6</v>
      </c>
      <c r="BI85">
        <v>1750627.2669854332</v>
      </c>
      <c r="BJ85">
        <f t="shared" si="1"/>
        <v>5.1632866305591843E-2</v>
      </c>
    </row>
    <row r="86" spans="1:62" x14ac:dyDescent="0.3">
      <c r="A86">
        <v>-0.1</v>
      </c>
      <c r="B86" s="146">
        <v>400</v>
      </c>
      <c r="C86" s="146">
        <v>25</v>
      </c>
      <c r="D86" s="146">
        <v>400</v>
      </c>
      <c r="E86" s="252">
        <v>10.421926627902529</v>
      </c>
      <c r="F86" s="146">
        <v>2.8174685349196467</v>
      </c>
      <c r="G86" s="146">
        <v>12.304129546637524</v>
      </c>
      <c r="H86" s="146">
        <v>2.9089778408422236</v>
      </c>
      <c r="I86" s="146"/>
      <c r="J86" s="146">
        <v>0.18484647202786345</v>
      </c>
      <c r="K86" s="146">
        <v>0.08</v>
      </c>
      <c r="L86" s="146">
        <v>58.775067075834677</v>
      </c>
      <c r="M86" s="146">
        <v>32.83075953827278</v>
      </c>
      <c r="N86" s="146">
        <v>1.0842052977935182</v>
      </c>
      <c r="O86" s="146"/>
      <c r="P86" s="146"/>
      <c r="Q86" s="146"/>
      <c r="R86" s="146"/>
      <c r="S86" s="146"/>
      <c r="T86" s="146"/>
      <c r="U86" s="146"/>
      <c r="V86" s="146"/>
      <c r="W86" s="146"/>
      <c r="X86" s="146"/>
      <c r="Y86" s="146"/>
      <c r="Z86" s="146">
        <v>0.37271005731676971</v>
      </c>
      <c r="AA86" s="146"/>
      <c r="AB86" s="146"/>
      <c r="AC86" s="146"/>
      <c r="AD86" s="146"/>
      <c r="AE86" s="146"/>
      <c r="AF86" s="146"/>
      <c r="AG86" s="146"/>
      <c r="AH86" s="146"/>
      <c r="AI86" s="146"/>
      <c r="AJ86" s="146"/>
      <c r="AK86" s="146"/>
      <c r="AL86" s="146">
        <v>874.90611406027358</v>
      </c>
      <c r="AM86" s="146">
        <v>0.22898560391780051</v>
      </c>
      <c r="AN86" s="146">
        <v>0.25257290483752642</v>
      </c>
      <c r="AO86" s="146">
        <v>358.73695701996741</v>
      </c>
      <c r="AP86" s="146">
        <v>332.80346516351443</v>
      </c>
      <c r="AQ86" t="s">
        <v>325</v>
      </c>
      <c r="AR86">
        <f t="shared" si="2"/>
        <v>4.8813386259591285</v>
      </c>
      <c r="AS86">
        <f t="shared" si="3"/>
        <v>1.3321822791215501</v>
      </c>
      <c r="AT86">
        <v>0.1</v>
      </c>
      <c r="AU86">
        <v>1</v>
      </c>
      <c r="AV86">
        <v>0.2</v>
      </c>
      <c r="AW86">
        <v>3</v>
      </c>
      <c r="AX86">
        <v>0.12356470267677361</v>
      </c>
      <c r="AY86">
        <v>0.08</v>
      </c>
      <c r="AZ86" s="209">
        <v>332.80346516351443</v>
      </c>
      <c r="BA86">
        <v>0.12356470267677361</v>
      </c>
      <c r="BB86" s="249">
        <v>31.705847168500647</v>
      </c>
      <c r="BC86" s="243">
        <v>143.28412311064596</v>
      </c>
      <c r="BD86" s="209">
        <v>66277.382692410189</v>
      </c>
      <c r="BE86" s="243">
        <v>46.103337399422571</v>
      </c>
      <c r="BF86">
        <v>130195.48152987598</v>
      </c>
      <c r="BG86" t="s">
        <v>387</v>
      </c>
      <c r="BH86">
        <v>4.9988601593465963E-6</v>
      </c>
      <c r="BI86">
        <v>1862773.8269241019</v>
      </c>
      <c r="BJ86">
        <f t="shared" si="1"/>
        <v>6.989333844402397E-2</v>
      </c>
    </row>
    <row r="87" spans="1:62" x14ac:dyDescent="0.3">
      <c r="A87">
        <v>-0.1</v>
      </c>
      <c r="B87" s="146">
        <v>600</v>
      </c>
      <c r="C87" s="146">
        <v>25</v>
      </c>
      <c r="D87" s="146">
        <v>400</v>
      </c>
      <c r="E87" s="252">
        <v>13.754013374529995</v>
      </c>
      <c r="F87" s="146">
        <v>3.846084716395489</v>
      </c>
      <c r="G87" s="146">
        <v>16.250851579479519</v>
      </c>
      <c r="H87" s="146">
        <v>3.9263392042038632</v>
      </c>
      <c r="I87" s="146"/>
      <c r="J87" s="146">
        <v>0.18550700060867648</v>
      </c>
      <c r="K87" s="146">
        <v>0.08</v>
      </c>
      <c r="L87" s="146">
        <v>79.475008818931812</v>
      </c>
      <c r="M87" s="146">
        <v>44.393397296678536</v>
      </c>
      <c r="N87" s="146">
        <v>1.3158147597870755</v>
      </c>
      <c r="O87" s="146"/>
      <c r="P87" s="146"/>
      <c r="Q87" s="146"/>
      <c r="R87" s="146"/>
      <c r="S87" s="146"/>
      <c r="T87" s="146"/>
      <c r="U87" s="146"/>
      <c r="V87" s="146"/>
      <c r="W87" s="146"/>
      <c r="X87" s="146"/>
      <c r="Y87" s="146"/>
      <c r="Z87" s="146">
        <v>0.33512508506097882</v>
      </c>
      <c r="AA87" s="146"/>
      <c r="AB87" s="146"/>
      <c r="AC87" s="146"/>
      <c r="AD87" s="146"/>
      <c r="AE87" s="146"/>
      <c r="AF87" s="146"/>
      <c r="AG87" s="146"/>
      <c r="AH87" s="146"/>
      <c r="AI87" s="146"/>
      <c r="AJ87" s="146"/>
      <c r="AK87" s="146"/>
      <c r="AL87" s="146">
        <v>971.58100698774183</v>
      </c>
      <c r="AM87" s="146">
        <v>0.2366697337419576</v>
      </c>
      <c r="AN87" s="146">
        <v>0.26398630072171275</v>
      </c>
      <c r="AO87" s="146">
        <v>347.89876089430447</v>
      </c>
      <c r="AP87" s="146">
        <v>313.67362709420433</v>
      </c>
      <c r="AQ87" t="s">
        <v>325</v>
      </c>
      <c r="AR87">
        <f t="shared" si="2"/>
        <v>4.8813386259591285</v>
      </c>
      <c r="AS87">
        <f t="shared" si="3"/>
        <v>1.3321822791215501</v>
      </c>
      <c r="AT87">
        <v>0.1</v>
      </c>
      <c r="AU87">
        <v>1</v>
      </c>
      <c r="AV87">
        <v>0.2</v>
      </c>
      <c r="AW87">
        <v>3</v>
      </c>
      <c r="AX87">
        <v>0.12689539833873995</v>
      </c>
      <c r="AY87">
        <v>0.08</v>
      </c>
      <c r="AZ87" s="209">
        <v>313.67362709420433</v>
      </c>
      <c r="BA87">
        <v>0.12689539833873995</v>
      </c>
      <c r="BB87" s="249">
        <v>42.649788918296544</v>
      </c>
      <c r="BC87" s="243">
        <v>170.93753784019853</v>
      </c>
      <c r="BD87" s="209">
        <v>84703.918036783129</v>
      </c>
      <c r="BE87" s="243">
        <v>58.580800860513641</v>
      </c>
      <c r="BF87">
        <v>209291.07241439243</v>
      </c>
      <c r="BG87" t="s">
        <v>387</v>
      </c>
      <c r="BH87">
        <v>5.852458052434473E-6</v>
      </c>
      <c r="BI87">
        <v>2047039.1803678311</v>
      </c>
      <c r="BJ87">
        <f t="shared" si="1"/>
        <v>0.10224087277937936</v>
      </c>
    </row>
    <row r="88" spans="1:62" x14ac:dyDescent="0.3">
      <c r="A88">
        <v>-0.1</v>
      </c>
      <c r="B88" s="146">
        <v>800</v>
      </c>
      <c r="C88" s="146">
        <v>25</v>
      </c>
      <c r="D88" s="146">
        <v>400</v>
      </c>
      <c r="E88" s="252">
        <v>16.332401720640551</v>
      </c>
      <c r="F88" s="146">
        <v>4.7086075374818739</v>
      </c>
      <c r="G88" s="146">
        <v>19.334552267582801</v>
      </c>
      <c r="H88" s="146">
        <v>4.7540177012123355</v>
      </c>
      <c r="I88" s="146"/>
      <c r="J88" s="146">
        <v>0.18632335388963461</v>
      </c>
      <c r="K88" s="146">
        <v>0.08</v>
      </c>
      <c r="L88" s="146">
        <v>96.368325817427788</v>
      </c>
      <c r="M88" s="146">
        <v>53.829718780852033</v>
      </c>
      <c r="N88" s="146">
        <v>1.4812927133049216</v>
      </c>
      <c r="O88" s="146"/>
      <c r="P88" s="146"/>
      <c r="Q88" s="146"/>
      <c r="R88" s="146"/>
      <c r="S88" s="146"/>
      <c r="T88" s="146"/>
      <c r="U88" s="146"/>
      <c r="V88" s="146"/>
      <c r="W88" s="146"/>
      <c r="X88" s="146"/>
      <c r="Y88" s="146"/>
      <c r="Z88" s="146">
        <v>0.31158754687160145</v>
      </c>
      <c r="AA88" s="146"/>
      <c r="AB88" s="146"/>
      <c r="AC88" s="146"/>
      <c r="AD88" s="146"/>
      <c r="AE88" s="146"/>
      <c r="AF88" s="146"/>
      <c r="AG88" s="146"/>
      <c r="AH88" s="146"/>
      <c r="AI88" s="146"/>
      <c r="AJ88" s="146"/>
      <c r="AK88" s="146"/>
      <c r="AL88" s="146">
        <v>1039.8289995874063</v>
      </c>
      <c r="AM88" s="146">
        <v>0.2435333113648844</v>
      </c>
      <c r="AN88" s="146">
        <v>0.27140842104656143</v>
      </c>
      <c r="AO88" s="146">
        <v>339.82352626472613</v>
      </c>
      <c r="AP88" s="146">
        <v>299.1826429349457</v>
      </c>
      <c r="AQ88" t="s">
        <v>325</v>
      </c>
      <c r="AR88">
        <f t="shared" si="2"/>
        <v>4.8813386259591285</v>
      </c>
      <c r="AS88">
        <f t="shared" si="3"/>
        <v>1.3321822791215501</v>
      </c>
      <c r="AT88">
        <v>0.1</v>
      </c>
      <c r="AU88">
        <v>1</v>
      </c>
      <c r="AV88">
        <v>0.2</v>
      </c>
      <c r="AW88">
        <v>3</v>
      </c>
      <c r="AX88">
        <v>0.12925894500961313</v>
      </c>
      <c r="AY88">
        <v>0.08</v>
      </c>
      <c r="AZ88" s="209">
        <v>299.1826429349457</v>
      </c>
      <c r="BA88">
        <v>0.12925894500961313</v>
      </c>
      <c r="BB88" s="249">
        <v>51.572996800728646</v>
      </c>
      <c r="BC88" s="243">
        <v>190.72748572244174</v>
      </c>
      <c r="BD88" s="209">
        <v>98943.002971426758</v>
      </c>
      <c r="BE88" s="243">
        <v>68.41122555808272</v>
      </c>
      <c r="BF88">
        <v>282663.38300096296</v>
      </c>
      <c r="BG88" t="s">
        <v>387</v>
      </c>
      <c r="BH88">
        <v>6.3533495047474412E-6</v>
      </c>
      <c r="BI88">
        <v>2189430.0297142677</v>
      </c>
      <c r="BJ88">
        <f t="shared" si="1"/>
        <v>0.12910363846514522</v>
      </c>
    </row>
    <row r="89" spans="1:62" x14ac:dyDescent="0.3">
      <c r="A89">
        <v>-0.1</v>
      </c>
      <c r="B89" s="146">
        <v>1000</v>
      </c>
      <c r="C89" s="146">
        <v>25</v>
      </c>
      <c r="D89" s="146">
        <v>400</v>
      </c>
      <c r="E89" s="252">
        <v>18.333298293734536</v>
      </c>
      <c r="F89" s="146">
        <v>5.4225441862676798</v>
      </c>
      <c r="G89" s="146">
        <v>21.747566547964141</v>
      </c>
      <c r="H89" s="146">
        <v>5.4250046723496457</v>
      </c>
      <c r="I89" s="146"/>
      <c r="J89" s="146">
        <v>0.18721330581429946</v>
      </c>
      <c r="K89" s="146">
        <v>0.08</v>
      </c>
      <c r="L89" s="146">
        <v>110.10318880842968</v>
      </c>
      <c r="M89" s="146">
        <v>61.501781214517948</v>
      </c>
      <c r="N89" s="146">
        <v>1.6024099051177085</v>
      </c>
      <c r="O89" s="146"/>
      <c r="P89" s="146"/>
      <c r="Q89" s="146"/>
      <c r="R89" s="146"/>
      <c r="S89" s="146"/>
      <c r="T89" s="146"/>
      <c r="U89" s="146"/>
      <c r="V89" s="146"/>
      <c r="W89" s="146"/>
      <c r="X89" s="146"/>
      <c r="Y89" s="146"/>
      <c r="Z89" s="146">
        <v>0.29537484332224223</v>
      </c>
      <c r="AA89" s="146"/>
      <c r="AB89" s="146"/>
      <c r="AC89" s="146"/>
      <c r="AD89" s="146"/>
      <c r="AE89" s="146"/>
      <c r="AF89" s="146"/>
      <c r="AG89" s="146"/>
      <c r="AH89" s="146"/>
      <c r="AI89" s="146"/>
      <c r="AJ89" s="146"/>
      <c r="AK89" s="146"/>
      <c r="AL89" s="146">
        <v>1089.3396029113576</v>
      </c>
      <c r="AM89" s="146">
        <v>0.24934027328107206</v>
      </c>
      <c r="AN89" s="146">
        <v>0.27674769421027678</v>
      </c>
      <c r="AO89" s="146">
        <v>333.75446777957745</v>
      </c>
      <c r="AP89" s="146">
        <v>288.13465035250346</v>
      </c>
      <c r="AQ89" t="s">
        <v>325</v>
      </c>
      <c r="AR89">
        <f t="shared" si="2"/>
        <v>4.8813386259591285</v>
      </c>
      <c r="AS89">
        <f t="shared" si="3"/>
        <v>1.3321822791215501</v>
      </c>
      <c r="AT89">
        <v>0.1</v>
      </c>
      <c r="AU89">
        <v>1</v>
      </c>
      <c r="AV89">
        <v>0.2</v>
      </c>
      <c r="AW89">
        <v>3</v>
      </c>
      <c r="AX89">
        <v>0.13108371582302247</v>
      </c>
      <c r="AY89">
        <v>0.08</v>
      </c>
      <c r="AZ89" s="209">
        <v>288.13465035250346</v>
      </c>
      <c r="BA89">
        <v>0.13108371582302247</v>
      </c>
      <c r="BB89" s="249">
        <v>58.80123574514846</v>
      </c>
      <c r="BC89" s="243">
        <v>205.04855932857382</v>
      </c>
      <c r="BD89" s="209">
        <v>109871.7516802708</v>
      </c>
      <c r="BE89" s="243">
        <v>76.149905109731463</v>
      </c>
      <c r="BF89">
        <v>347241.35920274386</v>
      </c>
      <c r="BG89" t="s">
        <v>387</v>
      </c>
      <c r="BH89">
        <v>6.6675490352062265E-6</v>
      </c>
      <c r="BI89">
        <v>2298717.5168027077</v>
      </c>
      <c r="BJ89">
        <f t="shared" si="1"/>
        <v>0.15105873456157534</v>
      </c>
    </row>
    <row r="90" spans="1:62" x14ac:dyDescent="0.3">
      <c r="A90">
        <v>-0.1</v>
      </c>
      <c r="B90" s="146">
        <v>1300</v>
      </c>
      <c r="C90" s="146">
        <v>25</v>
      </c>
      <c r="D90" s="146">
        <v>400</v>
      </c>
      <c r="E90" s="252">
        <v>20.532182599555579</v>
      </c>
      <c r="F90" s="146">
        <v>6.2556005021026317</v>
      </c>
      <c r="G90" s="146">
        <v>24.420604216550036</v>
      </c>
      <c r="H90" s="146">
        <v>6.1964511608319839</v>
      </c>
      <c r="I90" s="146"/>
      <c r="J90" s="146">
        <v>0.18856714427806323</v>
      </c>
      <c r="K90" s="146">
        <v>0.08</v>
      </c>
      <c r="L90" s="146">
        <v>125.94699247426541</v>
      </c>
      <c r="M90" s="146">
        <v>70.35186228126544</v>
      </c>
      <c r="N90" s="146">
        <v>1.7275975359190978</v>
      </c>
      <c r="O90" s="146"/>
      <c r="P90" s="146"/>
      <c r="Q90" s="146"/>
      <c r="R90" s="146"/>
      <c r="S90" s="146"/>
      <c r="T90" s="146"/>
      <c r="U90" s="146"/>
      <c r="V90" s="146"/>
      <c r="W90" s="146"/>
      <c r="X90" s="146"/>
      <c r="Y90" s="146"/>
      <c r="Z90" s="146">
        <v>0.27880434963149731</v>
      </c>
      <c r="AA90" s="146"/>
      <c r="AB90" s="146"/>
      <c r="AC90" s="146"/>
      <c r="AD90" s="146"/>
      <c r="AE90" s="146"/>
      <c r="AF90" s="146"/>
      <c r="AG90" s="146"/>
      <c r="AH90" s="146"/>
      <c r="AI90" s="146"/>
      <c r="AJ90" s="146"/>
      <c r="AK90" s="146"/>
      <c r="AL90" s="146">
        <v>1140.0120807790945</v>
      </c>
      <c r="AM90" s="146">
        <v>0.25616075862132692</v>
      </c>
      <c r="AN90" s="146">
        <v>0.2824416874569402</v>
      </c>
      <c r="AO90" s="146">
        <v>327.3047021336543</v>
      </c>
      <c r="AP90" s="146">
        <v>276.21331281954531</v>
      </c>
      <c r="AQ90" t="s">
        <v>325</v>
      </c>
      <c r="AR90">
        <f t="shared" si="2"/>
        <v>4.8813386259591285</v>
      </c>
      <c r="AS90">
        <f t="shared" si="3"/>
        <v>1.3321822791215501</v>
      </c>
      <c r="AT90">
        <v>0.1</v>
      </c>
      <c r="AU90">
        <v>1</v>
      </c>
      <c r="AV90">
        <v>0.2</v>
      </c>
      <c r="AW90">
        <v>3</v>
      </c>
      <c r="AX90">
        <v>0.13319754998314748</v>
      </c>
      <c r="AY90">
        <v>0.08</v>
      </c>
      <c r="AZ90" s="209">
        <v>276.21331281954531</v>
      </c>
      <c r="BA90">
        <v>0.13319754998314748</v>
      </c>
      <c r="BB90" s="249">
        <v>67.071436577906255</v>
      </c>
      <c r="BC90" s="243">
        <v>219.50164127484462</v>
      </c>
      <c r="BD90" s="209">
        <v>121592.61862636253</v>
      </c>
      <c r="BE90" s="243">
        <v>84.746905102411276</v>
      </c>
      <c r="BF90">
        <v>426122.04332845681</v>
      </c>
      <c r="BG90" t="s">
        <v>387</v>
      </c>
      <c r="BH90">
        <v>6.9544618540554222E-6</v>
      </c>
      <c r="BI90">
        <v>2415926.1862636255</v>
      </c>
      <c r="BJ90">
        <f t="shared" si="1"/>
        <v>0.17638040671576977</v>
      </c>
    </row>
    <row r="91" spans="1:62" x14ac:dyDescent="0.3">
      <c r="A91">
        <v>-0.1</v>
      </c>
      <c r="B91" s="227">
        <v>1600</v>
      </c>
      <c r="C91" s="146">
        <v>25</v>
      </c>
      <c r="D91" s="146">
        <v>400</v>
      </c>
      <c r="E91" s="252">
        <v>22.062243486738563</v>
      </c>
      <c r="F91" s="146">
        <v>6.8676407339416956</v>
      </c>
      <c r="G91" s="146">
        <v>26.294489054844526</v>
      </c>
      <c r="H91" s="146">
        <v>6.7570736140885126</v>
      </c>
      <c r="I91" s="146"/>
      <c r="J91" s="146">
        <v>0.18985948297208749</v>
      </c>
      <c r="K91" s="146">
        <v>0.08</v>
      </c>
      <c r="L91" s="146">
        <v>137.50344308395836</v>
      </c>
      <c r="M91" s="146">
        <v>76.807100360249223</v>
      </c>
      <c r="N91" s="146">
        <v>1.8079497520670333</v>
      </c>
      <c r="O91" s="146"/>
      <c r="P91" s="146"/>
      <c r="Q91" s="146"/>
      <c r="R91" s="146"/>
      <c r="S91" s="146"/>
      <c r="T91" s="146"/>
      <c r="U91" s="146"/>
      <c r="V91" s="146"/>
      <c r="W91" s="146"/>
      <c r="X91" s="146"/>
      <c r="Y91" s="146"/>
      <c r="Z91" s="146">
        <v>0.26756401592213741</v>
      </c>
      <c r="AA91" s="146"/>
      <c r="AB91" s="146"/>
      <c r="AC91" s="146"/>
      <c r="AD91" s="146"/>
      <c r="AE91" s="146"/>
      <c r="AF91" s="146"/>
      <c r="AG91" s="146"/>
      <c r="AH91" s="146"/>
      <c r="AI91" s="146"/>
      <c r="AJ91" s="146"/>
      <c r="AK91" s="146"/>
      <c r="AL91" s="146">
        <v>1172.025903265147</v>
      </c>
      <c r="AM91" s="146">
        <v>0.26118175255724901</v>
      </c>
      <c r="AN91" s="146">
        <v>0.28633579063900422</v>
      </c>
      <c r="AO91" s="146">
        <v>322.94975267498648</v>
      </c>
      <c r="AP91" s="146">
        <v>268.05102723163009</v>
      </c>
      <c r="AQ91" t="s">
        <v>325</v>
      </c>
      <c r="AR91">
        <f t="shared" si="2"/>
        <v>4.8813386259591285</v>
      </c>
      <c r="AS91">
        <f t="shared" si="3"/>
        <v>1.3321822791215501</v>
      </c>
      <c r="AT91">
        <v>0.1</v>
      </c>
      <c r="AU91">
        <v>1</v>
      </c>
      <c r="AV91">
        <v>0.2</v>
      </c>
      <c r="AW91">
        <v>3</v>
      </c>
      <c r="AX91">
        <v>0.13481460804924378</v>
      </c>
      <c r="AY91">
        <v>0.08</v>
      </c>
      <c r="AZ91" s="209">
        <v>268.05102723163009</v>
      </c>
      <c r="BA91">
        <v>0.13481460804924378</v>
      </c>
      <c r="BB91" s="249">
        <v>73.041281840260496</v>
      </c>
      <c r="BC91" s="243">
        <v>228.57341720226634</v>
      </c>
      <c r="BD91" s="209">
        <v>129473.25577064206</v>
      </c>
      <c r="BE91" s="243">
        <v>90.796663251779762</v>
      </c>
      <c r="BF91">
        <v>485974.89584625367</v>
      </c>
      <c r="BG91" t="s">
        <v>387</v>
      </c>
      <c r="BH91">
        <v>7.1255948603694271E-6</v>
      </c>
      <c r="BI91">
        <v>2494732.5577064203</v>
      </c>
      <c r="BJ91">
        <f t="shared" si="1"/>
        <v>0.19480039828118648</v>
      </c>
    </row>
    <row r="92" spans="1:62" s="140" customFormat="1" x14ac:dyDescent="0.3">
      <c r="A92" s="140">
        <v>-0.1</v>
      </c>
      <c r="B92" s="140">
        <v>1900</v>
      </c>
      <c r="C92" s="140">
        <v>25</v>
      </c>
      <c r="D92" s="140">
        <v>400</v>
      </c>
      <c r="E92" s="253">
        <v>23.135889214608582</v>
      </c>
      <c r="F92" s="140">
        <v>7.3112021182948075</v>
      </c>
      <c r="G92" s="140">
        <v>27.614599633499246</v>
      </c>
      <c r="H92" s="140">
        <v>7.1662018625541597</v>
      </c>
      <c r="J92" s="140">
        <v>0.19093449584263048</v>
      </c>
      <c r="K92" s="140">
        <v>0.08</v>
      </c>
      <c r="L92" s="140">
        <v>145.96566081847624</v>
      </c>
      <c r="M92" s="140">
        <v>81.533952228304173</v>
      </c>
      <c r="N92" s="140">
        <v>1.8624874585122768</v>
      </c>
      <c r="Z92" s="140">
        <v>0.25989882705431544</v>
      </c>
      <c r="AL92" s="140">
        <v>1193.6909022233954</v>
      </c>
      <c r="AM92" s="140">
        <v>0.26475857753974441</v>
      </c>
      <c r="AN92" s="140">
        <v>0.28926242326058232</v>
      </c>
      <c r="AO92" s="140">
        <v>320.01764711150679</v>
      </c>
      <c r="AP92" s="140">
        <v>262.44717296725759</v>
      </c>
      <c r="AQ92" t="s">
        <v>325</v>
      </c>
      <c r="AR92">
        <f t="shared" si="2"/>
        <v>4.8813386259591285</v>
      </c>
      <c r="AS92">
        <f t="shared" si="3"/>
        <v>1.3321822791215501</v>
      </c>
      <c r="AT92">
        <v>0.1</v>
      </c>
      <c r="AU92" s="140">
        <v>1</v>
      </c>
      <c r="AV92">
        <v>0.2</v>
      </c>
      <c r="AW92">
        <v>3</v>
      </c>
      <c r="AX92">
        <v>0.1360607435941964</v>
      </c>
      <c r="AY92">
        <v>0.08</v>
      </c>
      <c r="AZ92" s="209">
        <v>262.44717296725759</v>
      </c>
      <c r="BA92" s="140">
        <v>0.1360607435941964</v>
      </c>
      <c r="BB92" s="253">
        <v>77.320900349741819</v>
      </c>
      <c r="BC92" s="245">
        <v>234.26604249546901</v>
      </c>
      <c r="BD92" s="210">
        <v>134713.19862953605</v>
      </c>
      <c r="BE92" s="245">
        <v>94.977701401835475</v>
      </c>
      <c r="BF92" s="140">
        <v>530124.60475729266</v>
      </c>
      <c r="BG92" t="s">
        <v>387</v>
      </c>
      <c r="BH92" s="140">
        <v>7.2379555474634395E-6</v>
      </c>
      <c r="BI92" s="140">
        <v>2547131.9862953606</v>
      </c>
      <c r="BJ92">
        <f t="shared" si="1"/>
        <v>0.2081260836146637</v>
      </c>
    </row>
    <row r="93" spans="1:62" x14ac:dyDescent="0.3">
      <c r="A93">
        <v>-0.1</v>
      </c>
      <c r="B93" s="146">
        <v>1000</v>
      </c>
      <c r="C93" s="146">
        <v>25</v>
      </c>
      <c r="D93" s="146">
        <v>200</v>
      </c>
      <c r="E93" s="252">
        <v>13.547033401914064</v>
      </c>
      <c r="F93" s="146">
        <v>8.8823391833821894</v>
      </c>
      <c r="G93" s="146">
        <v>18.786285552332913</v>
      </c>
      <c r="H93" s="146">
        <v>5.6919410391174097</v>
      </c>
      <c r="I93" s="146"/>
      <c r="J93" s="146">
        <v>0.22083973465038301</v>
      </c>
      <c r="K93" s="146">
        <v>0.08</v>
      </c>
      <c r="L93" s="146">
        <v>116.13186917533343</v>
      </c>
      <c r="M93" s="146">
        <v>64.869300220554109</v>
      </c>
      <c r="N93" s="146">
        <v>1.3185171721797495</v>
      </c>
      <c r="O93" s="146"/>
      <c r="P93" s="146"/>
      <c r="Q93" s="146"/>
      <c r="R93" s="146"/>
      <c r="S93" s="146"/>
      <c r="T93" s="146"/>
      <c r="U93" s="146"/>
      <c r="V93" s="146"/>
      <c r="W93" s="146"/>
      <c r="X93" s="146"/>
      <c r="Y93" s="146"/>
      <c r="Z93" s="146">
        <v>0.23164631592603396</v>
      </c>
      <c r="AA93" s="146"/>
      <c r="AB93" s="146"/>
      <c r="AC93" s="146"/>
      <c r="AD93" s="146"/>
      <c r="AE93" s="146"/>
      <c r="AF93" s="146"/>
      <c r="AG93" s="146"/>
      <c r="AH93" s="146"/>
      <c r="AI93" s="146"/>
      <c r="AJ93" s="146"/>
      <c r="AK93" s="146"/>
      <c r="AL93" s="146">
        <v>778.03908516703393</v>
      </c>
      <c r="AM93" s="146">
        <v>0.47280976106951411</v>
      </c>
      <c r="AN93" s="146">
        <v>0.2851427971806571</v>
      </c>
      <c r="AO93" s="146">
        <v>152.49035383022104</v>
      </c>
      <c r="AP93" s="146">
        <v>118.78049907715935</v>
      </c>
      <c r="AQ93" t="s">
        <v>325</v>
      </c>
      <c r="AR93">
        <f t="shared" si="2"/>
        <v>4.8813386259591285</v>
      </c>
      <c r="AS93">
        <f t="shared" si="3"/>
        <v>1.3321822791215501</v>
      </c>
      <c r="AT93">
        <v>0.1</v>
      </c>
      <c r="AU93">
        <v>1</v>
      </c>
      <c r="AV93">
        <v>0.2</v>
      </c>
      <c r="AW93">
        <v>3</v>
      </c>
      <c r="AX93">
        <v>0.14020705913434131</v>
      </c>
      <c r="AY93">
        <v>0.08</v>
      </c>
      <c r="AZ93" s="209">
        <v>118.78049907715935</v>
      </c>
      <c r="BA93">
        <v>0.14020705913434131</v>
      </c>
      <c r="BB93" s="249">
        <v>78.905117355238815</v>
      </c>
      <c r="BC93" s="243">
        <v>223.82931704089711</v>
      </c>
      <c r="BD93" s="209">
        <v>130732.58576088885</v>
      </c>
      <c r="BE93" s="243">
        <v>95.403706450205149</v>
      </c>
      <c r="BF93">
        <v>268822.86709327839</v>
      </c>
      <c r="BG93" t="s">
        <v>388</v>
      </c>
      <c r="BH93">
        <v>4.6346050811970721E-6</v>
      </c>
      <c r="BI93">
        <v>2507325.8576088883</v>
      </c>
      <c r="BJ93">
        <f t="shared" si="1"/>
        <v>0.10721497019523475</v>
      </c>
    </row>
    <row r="94" spans="1:62" x14ac:dyDescent="0.3">
      <c r="A94">
        <v>-0.1</v>
      </c>
      <c r="B94" s="146">
        <v>1000</v>
      </c>
      <c r="C94" s="146">
        <v>25</v>
      </c>
      <c r="D94" s="146">
        <v>300</v>
      </c>
      <c r="E94" s="252">
        <v>16.461795297590207</v>
      </c>
      <c r="F94" s="146">
        <v>6.8079289595194705</v>
      </c>
      <c r="G94" s="146">
        <v>20.607659998267902</v>
      </c>
      <c r="H94" s="146">
        <v>5.5314885854270974</v>
      </c>
      <c r="I94" s="146"/>
      <c r="J94" s="146">
        <v>0.19702785674230622</v>
      </c>
      <c r="K94" s="146">
        <v>0.08</v>
      </c>
      <c r="L94" s="146">
        <v>112.43698722575813</v>
      </c>
      <c r="M94" s="146">
        <v>62.805401583870356</v>
      </c>
      <c r="N94" s="146">
        <v>1.5231162481025189</v>
      </c>
      <c r="O94" s="146"/>
      <c r="P94" s="146"/>
      <c r="Q94" s="146"/>
      <c r="R94" s="146"/>
      <c r="S94" s="146"/>
      <c r="T94" s="146"/>
      <c r="U94" s="146"/>
      <c r="V94" s="146"/>
      <c r="W94" s="146"/>
      <c r="X94" s="146"/>
      <c r="Y94" s="146"/>
      <c r="Z94" s="146">
        <v>0.27535377224048196</v>
      </c>
      <c r="AA94" s="146"/>
      <c r="AB94" s="146"/>
      <c r="AC94" s="146"/>
      <c r="AD94" s="146"/>
      <c r="AE94" s="146"/>
      <c r="AF94" s="146"/>
      <c r="AG94" s="146"/>
      <c r="AH94" s="146"/>
      <c r="AI94" s="146"/>
      <c r="AJ94" s="146"/>
      <c r="AK94" s="146"/>
      <c r="AL94" s="146">
        <v>961.80888439856062</v>
      </c>
      <c r="AM94" s="146">
        <v>0.33035914606955302</v>
      </c>
      <c r="AN94" s="146">
        <v>0.28002739599395321</v>
      </c>
      <c r="AO94" s="146">
        <v>241.21362576272475</v>
      </c>
      <c r="AP94" s="146">
        <v>200.25076034730162</v>
      </c>
      <c r="AQ94" t="s">
        <v>325</v>
      </c>
      <c r="AR94">
        <f t="shared" si="2"/>
        <v>4.8813386259591285</v>
      </c>
      <c r="AS94">
        <f t="shared" si="3"/>
        <v>1.3321822791215501</v>
      </c>
      <c r="AT94">
        <v>0.1</v>
      </c>
      <c r="AU94">
        <v>1</v>
      </c>
      <c r="AV94">
        <v>0.2</v>
      </c>
      <c r="AW94">
        <v>3</v>
      </c>
      <c r="AX94">
        <v>0.13289403355532187</v>
      </c>
      <c r="AY94">
        <v>0.08</v>
      </c>
      <c r="AZ94" s="209">
        <v>200.25076034730162</v>
      </c>
      <c r="BA94">
        <v>0.13289403355532187</v>
      </c>
      <c r="BB94" s="249">
        <v>66.998441539843597</v>
      </c>
      <c r="BC94" s="243">
        <v>212.12453199655906</v>
      </c>
      <c r="BD94" s="209">
        <v>118526.01402663358</v>
      </c>
      <c r="BE94" s="243">
        <v>84.63555637062403</v>
      </c>
      <c r="BF94">
        <v>319943.05525086727</v>
      </c>
      <c r="BG94" t="s">
        <v>388</v>
      </c>
      <c r="BH94">
        <v>5.8300418709783389E-6</v>
      </c>
      <c r="BI94">
        <v>2385260.1402663356</v>
      </c>
      <c r="BJ94">
        <f t="shared" si="1"/>
        <v>0.13413340115394826</v>
      </c>
    </row>
    <row r="95" spans="1:62" x14ac:dyDescent="0.3">
      <c r="A95">
        <v>-0.1</v>
      </c>
      <c r="B95" s="146">
        <v>1000</v>
      </c>
      <c r="C95" s="146">
        <v>25</v>
      </c>
      <c r="D95" s="146">
        <v>400</v>
      </c>
      <c r="E95" s="252">
        <v>18.333752445173356</v>
      </c>
      <c r="F95" s="146">
        <v>5.4227896935286095</v>
      </c>
      <c r="G95" s="146">
        <v>21.748168938751142</v>
      </c>
      <c r="H95" s="146">
        <v>5.4250769110312085</v>
      </c>
      <c r="I95" s="146"/>
      <c r="J95" s="146">
        <v>0.18721651136677028</v>
      </c>
      <c r="K95" s="146">
        <v>0.08</v>
      </c>
      <c r="L95" s="146">
        <v>110.10464627049865</v>
      </c>
      <c r="M95" s="146">
        <v>61.502595328207704</v>
      </c>
      <c r="N95" s="146">
        <v>1.6023444010723491</v>
      </c>
      <c r="O95" s="146"/>
      <c r="P95" s="146"/>
      <c r="Q95" s="146"/>
      <c r="R95" s="146"/>
      <c r="S95" s="146"/>
      <c r="T95" s="146"/>
      <c r="U95" s="146"/>
      <c r="V95" s="146"/>
      <c r="W95" s="146"/>
      <c r="X95" s="146"/>
      <c r="Y95" s="146"/>
      <c r="Z95" s="146">
        <v>0.29535883589303302</v>
      </c>
      <c r="AA95" s="146"/>
      <c r="AB95" s="146"/>
      <c r="AC95" s="146"/>
      <c r="AD95" s="146"/>
      <c r="AE95" s="146"/>
      <c r="AF95" s="146"/>
      <c r="AG95" s="146"/>
      <c r="AH95" s="146"/>
      <c r="AI95" s="146"/>
      <c r="AJ95" s="146"/>
      <c r="AK95" s="146"/>
      <c r="AL95" s="146">
        <v>1089.301927177486</v>
      </c>
      <c r="AM95" s="146">
        <v>0.24934465558000238</v>
      </c>
      <c r="AN95" s="146">
        <v>0.2767385564569893</v>
      </c>
      <c r="AO95" s="146">
        <v>333.7506393041304</v>
      </c>
      <c r="AP95" s="146">
        <v>288.12972664131178</v>
      </c>
      <c r="AQ95" t="s">
        <v>325</v>
      </c>
      <c r="AR95">
        <f t="shared" si="2"/>
        <v>4.8813386259591285</v>
      </c>
      <c r="AS95">
        <f t="shared" si="3"/>
        <v>1.3321822791215501</v>
      </c>
      <c r="AT95">
        <v>0.1</v>
      </c>
      <c r="AU95">
        <v>1</v>
      </c>
      <c r="AV95">
        <v>0.2</v>
      </c>
      <c r="AW95">
        <v>3</v>
      </c>
      <c r="AX95">
        <v>0.13108451484789863</v>
      </c>
      <c r="AY95">
        <v>0.08</v>
      </c>
      <c r="AZ95" s="209">
        <v>288.12972664131178</v>
      </c>
      <c r="BA95">
        <v>0.13108451484789863</v>
      </c>
      <c r="BB95" s="249">
        <v>58.803469466060619</v>
      </c>
      <c r="BC95" s="243">
        <v>205.05290604537558</v>
      </c>
      <c r="BD95" s="209">
        <v>109877.4738076417</v>
      </c>
      <c r="BE95" s="243">
        <v>76.15575268001669</v>
      </c>
      <c r="BF95">
        <v>347263.46362580184</v>
      </c>
      <c r="BG95" t="s">
        <v>388</v>
      </c>
      <c r="BH95">
        <v>6.6675108887158087E-6</v>
      </c>
      <c r="BI95">
        <v>2298774.7380764168</v>
      </c>
      <c r="BJ95">
        <f t="shared" si="1"/>
        <v>0.15106459013743431</v>
      </c>
    </row>
    <row r="96" spans="1:62" x14ac:dyDescent="0.3">
      <c r="A96">
        <v>-0.1</v>
      </c>
      <c r="B96" s="146">
        <v>1000</v>
      </c>
      <c r="C96" s="146">
        <v>25</v>
      </c>
      <c r="D96" s="146">
        <v>500</v>
      </c>
      <c r="E96" s="252">
        <v>19.595971346696778</v>
      </c>
      <c r="F96" s="146">
        <v>4.4698143415195846</v>
      </c>
      <c r="G96" s="146">
        <v>22.507893497690024</v>
      </c>
      <c r="H96" s="146">
        <v>5.3568844512100489</v>
      </c>
      <c r="I96" s="146"/>
      <c r="J96" s="146">
        <v>0.18083244204253474</v>
      </c>
      <c r="K96" s="146">
        <v>0.08</v>
      </c>
      <c r="L96" s="146">
        <v>108.63143643434954</v>
      </c>
      <c r="M96" s="146">
        <v>60.679685201748377</v>
      </c>
      <c r="N96" s="146">
        <v>1.6525236450288636</v>
      </c>
      <c r="O96" s="146"/>
      <c r="P96" s="146"/>
      <c r="Q96" s="146"/>
      <c r="R96" s="146"/>
      <c r="S96" s="146"/>
      <c r="T96" s="146"/>
      <c r="U96" s="146"/>
      <c r="V96" s="146"/>
      <c r="W96" s="146"/>
      <c r="X96" s="146"/>
      <c r="Y96" s="146"/>
      <c r="Z96" s="146">
        <v>0.30848596046449733</v>
      </c>
      <c r="AA96" s="146"/>
      <c r="AB96" s="146"/>
      <c r="AC96" s="146"/>
      <c r="AD96" s="146"/>
      <c r="AE96" s="146"/>
      <c r="AF96" s="146"/>
      <c r="AG96" s="146"/>
      <c r="AH96" s="146"/>
      <c r="AI96" s="146"/>
      <c r="AJ96" s="146"/>
      <c r="AK96" s="146"/>
      <c r="AL96" s="146">
        <v>1206.0179403679583</v>
      </c>
      <c r="AM96" s="146">
        <v>0.19858874585390765</v>
      </c>
      <c r="AN96" s="146">
        <v>0.27413860243934379</v>
      </c>
      <c r="AO96" s="146">
        <v>428.5180154406288</v>
      </c>
      <c r="AP96" s="146">
        <v>379.75611785352697</v>
      </c>
      <c r="AQ96" t="s">
        <v>325</v>
      </c>
      <c r="AR96">
        <f t="shared" si="2"/>
        <v>4.8813386259591285</v>
      </c>
      <c r="AS96">
        <f t="shared" si="3"/>
        <v>1.3321822791215501</v>
      </c>
      <c r="AT96">
        <v>0.1</v>
      </c>
      <c r="AU96">
        <v>1</v>
      </c>
      <c r="AV96">
        <v>0.2</v>
      </c>
      <c r="AW96">
        <v>3</v>
      </c>
      <c r="AX96">
        <v>0.13048606446631578</v>
      </c>
      <c r="AY96">
        <v>0.08</v>
      </c>
      <c r="AZ96" s="209">
        <v>379.75611785352697</v>
      </c>
      <c r="BA96">
        <v>0.13048606446631578</v>
      </c>
      <c r="BB96" s="249">
        <v>53.101504332474605</v>
      </c>
      <c r="BC96" s="243">
        <v>200.70366441740558</v>
      </c>
      <c r="BD96" s="209">
        <v>104035.74537820794</v>
      </c>
      <c r="BE96" s="243">
        <v>70.102327675975658</v>
      </c>
      <c r="BF96">
        <v>363177.30071665579</v>
      </c>
      <c r="BG96" t="s">
        <v>388</v>
      </c>
      <c r="BH96">
        <v>7.2615822096458112E-6</v>
      </c>
      <c r="BI96">
        <v>2240357.4537820793</v>
      </c>
      <c r="BJ96">
        <f t="shared" si="1"/>
        <v>0.16210685491440432</v>
      </c>
    </row>
    <row r="97" spans="1:62" s="146" customFormat="1" x14ac:dyDescent="0.3">
      <c r="A97">
        <v>-0.1</v>
      </c>
      <c r="B97" s="146">
        <v>1000</v>
      </c>
      <c r="C97" s="146">
        <v>25</v>
      </c>
      <c r="D97" s="146">
        <v>600</v>
      </c>
      <c r="E97" s="252">
        <v>20.500633249035499</v>
      </c>
      <c r="F97" s="146">
        <v>3.7903305397027127</v>
      </c>
      <c r="G97" s="146">
        <v>23.054391781218285</v>
      </c>
      <c r="H97" s="146">
        <v>5.3094614300849701</v>
      </c>
      <c r="J97" s="146">
        <v>0.17643712100139156</v>
      </c>
      <c r="K97" s="146">
        <v>0.08</v>
      </c>
      <c r="L97" s="146">
        <v>107.61570134699032</v>
      </c>
      <c r="M97" s="146">
        <v>60.112312741506855</v>
      </c>
      <c r="N97" s="146">
        <v>1.6805528047275953</v>
      </c>
      <c r="Z97" s="146">
        <v>0.31652039041193308</v>
      </c>
      <c r="AL97" s="146">
        <v>1313.9308302810032</v>
      </c>
      <c r="AM97" s="146">
        <v>0.1644081776553559</v>
      </c>
      <c r="AN97" s="146">
        <v>0.27213546351694851</v>
      </c>
      <c r="AO97" s="146">
        <v>524.66754246545042</v>
      </c>
      <c r="AP97" s="146">
        <v>473.6544279172054</v>
      </c>
      <c r="AQ97" t="s">
        <v>325</v>
      </c>
      <c r="AR97">
        <f t="shared" si="2"/>
        <v>4.8813386259591285</v>
      </c>
      <c r="AS97">
        <f t="shared" si="3"/>
        <v>1.3321822791215501</v>
      </c>
      <c r="AT97">
        <v>0.1</v>
      </c>
      <c r="AU97">
        <v>1</v>
      </c>
      <c r="AV97">
        <v>0.2</v>
      </c>
      <c r="AW97">
        <v>3</v>
      </c>
      <c r="AX97">
        <v>0.13046206802723864</v>
      </c>
      <c r="AY97">
        <v>0.08</v>
      </c>
      <c r="AZ97" s="209">
        <v>473.6544279172054</v>
      </c>
      <c r="BA97" s="146">
        <v>0.13046206802723864</v>
      </c>
      <c r="BB97" s="252">
        <v>49.023104623744096</v>
      </c>
      <c r="BC97" s="244">
        <v>197.75561472783642</v>
      </c>
      <c r="BD97" s="229">
        <v>99888.730287664628</v>
      </c>
      <c r="BE97" s="244">
        <v>65.681690204735233</v>
      </c>
      <c r="BF97" s="146">
        <v>373288.76613865909</v>
      </c>
      <c r="BG97" t="s">
        <v>388</v>
      </c>
      <c r="BH97" s="146">
        <v>7.7024263034291183E-6</v>
      </c>
      <c r="BI97" s="146">
        <v>2198887.3028766462</v>
      </c>
      <c r="BJ97">
        <f t="shared" si="1"/>
        <v>0.16976257293873689</v>
      </c>
    </row>
    <row r="98" spans="1:62" s="140" customFormat="1" x14ac:dyDescent="0.3">
      <c r="A98">
        <v>-0.1</v>
      </c>
      <c r="B98" s="146">
        <v>1000</v>
      </c>
      <c r="C98" s="146">
        <v>25</v>
      </c>
      <c r="D98" s="146">
        <v>700</v>
      </c>
      <c r="E98" s="252">
        <v>21.177499162328992</v>
      </c>
      <c r="F98" s="146">
        <v>3.2854064603051594</v>
      </c>
      <c r="G98" s="146">
        <v>23.465225547084263</v>
      </c>
      <c r="H98" s="146">
        <v>5.2751086552598005</v>
      </c>
      <c r="I98" s="146"/>
      <c r="J98" s="146">
        <v>0.17314878157653008</v>
      </c>
      <c r="K98" s="146">
        <v>0.08</v>
      </c>
      <c r="L98" s="146">
        <v>106.88342919902526</v>
      </c>
      <c r="M98" s="146">
        <v>59.703277890463717</v>
      </c>
      <c r="N98" s="146">
        <v>1.6962353858562658</v>
      </c>
      <c r="O98" s="146"/>
      <c r="P98" s="146"/>
      <c r="Q98" s="146"/>
      <c r="R98" s="146"/>
      <c r="S98" s="146"/>
      <c r="T98" s="146"/>
      <c r="U98" s="146"/>
      <c r="V98" s="146"/>
      <c r="W98" s="146"/>
      <c r="X98" s="146"/>
      <c r="Y98" s="146"/>
      <c r="Z98" s="146">
        <v>0.32155458715811525</v>
      </c>
      <c r="AA98" s="146"/>
      <c r="AB98" s="146"/>
      <c r="AC98" s="146"/>
      <c r="AD98" s="146"/>
      <c r="AE98" s="146"/>
      <c r="AF98" s="146"/>
      <c r="AG98" s="146"/>
      <c r="AH98" s="146"/>
      <c r="AI98" s="146"/>
      <c r="AJ98" s="146"/>
      <c r="AK98" s="146"/>
      <c r="AL98" s="146">
        <v>1417.141811850026</v>
      </c>
      <c r="AM98" s="146">
        <v>0.1400117145140076</v>
      </c>
      <c r="AN98" s="146">
        <v>0.27053968515999766</v>
      </c>
      <c r="AO98" s="146">
        <v>621.72128407037735</v>
      </c>
      <c r="AP98" s="146">
        <v>569.02411892189298</v>
      </c>
      <c r="AQ98" t="s">
        <v>325</v>
      </c>
      <c r="AR98">
        <f t="shared" si="2"/>
        <v>4.8813386259591285</v>
      </c>
      <c r="AS98">
        <f t="shared" si="3"/>
        <v>1.3321822791215501</v>
      </c>
      <c r="AT98">
        <v>0.1</v>
      </c>
      <c r="AU98">
        <v>1</v>
      </c>
      <c r="AV98">
        <v>0.2</v>
      </c>
      <c r="AW98">
        <v>3</v>
      </c>
      <c r="AX98">
        <v>0.13069827549689494</v>
      </c>
      <c r="AY98">
        <v>0.08</v>
      </c>
      <c r="AZ98" s="209">
        <v>569.02411892189298</v>
      </c>
      <c r="BA98" s="140">
        <v>0.13069827549689494</v>
      </c>
      <c r="BB98" s="253">
        <v>45.989000656528539</v>
      </c>
      <c r="BC98" s="245">
        <v>195.65515559752129</v>
      </c>
      <c r="BD98" s="210">
        <v>96830.357304906967</v>
      </c>
      <c r="BE98" s="245">
        <v>62.354106243554057</v>
      </c>
      <c r="BF98" s="140">
        <v>380160.61466365366</v>
      </c>
      <c r="BG98" t="s">
        <v>388</v>
      </c>
      <c r="BH98" s="140">
        <v>8.0402927130531073E-6</v>
      </c>
      <c r="BI98" s="140">
        <v>2168303.5730490694</v>
      </c>
      <c r="BJ98">
        <f t="shared" si="1"/>
        <v>0.17532628705171188</v>
      </c>
    </row>
    <row r="99" spans="1:62" x14ac:dyDescent="0.3">
      <c r="A99">
        <v>-0.1</v>
      </c>
      <c r="B99" s="146">
        <v>1000</v>
      </c>
      <c r="C99" s="146">
        <v>25</v>
      </c>
      <c r="D99" s="146">
        <v>800</v>
      </c>
      <c r="E99" s="252">
        <v>21.704634864766902</v>
      </c>
      <c r="F99" s="146">
        <v>2.8976080705978706</v>
      </c>
      <c r="G99" s="146">
        <v>23.788220955052754</v>
      </c>
      <c r="H99" s="146">
        <v>5.2495856387180613</v>
      </c>
      <c r="I99" s="146"/>
      <c r="J99" s="146">
        <v>0.1705508873022859</v>
      </c>
      <c r="K99" s="146">
        <v>0.08</v>
      </c>
      <c r="L99" s="146">
        <v>106.34066987269861</v>
      </c>
      <c r="M99" s="146">
        <v>59.400101700008769</v>
      </c>
      <c r="N99" s="146">
        <v>1.7044278982905885</v>
      </c>
      <c r="O99" s="146"/>
      <c r="P99" s="146"/>
      <c r="Q99" s="146"/>
      <c r="R99" s="146"/>
      <c r="S99" s="146"/>
      <c r="T99" s="146"/>
      <c r="U99" s="146"/>
      <c r="V99" s="146"/>
      <c r="W99" s="146"/>
      <c r="X99" s="146"/>
      <c r="Y99" s="146"/>
      <c r="Z99" s="146">
        <v>0.3246785585741595</v>
      </c>
      <c r="AA99" s="146"/>
      <c r="AB99" s="146"/>
      <c r="AC99" s="146"/>
      <c r="AD99" s="146"/>
      <c r="AE99" s="146"/>
      <c r="AF99" s="146"/>
      <c r="AG99" s="146"/>
      <c r="AH99" s="146"/>
      <c r="AI99" s="146"/>
      <c r="AJ99" s="146"/>
      <c r="AK99" s="146"/>
      <c r="AL99" s="146">
        <v>1517.5732608341152</v>
      </c>
      <c r="AM99" s="146">
        <v>0.12180852347356401</v>
      </c>
      <c r="AN99" s="146">
        <v>0.26918212316013812</v>
      </c>
      <c r="AO99" s="146">
        <v>719.36821580140861</v>
      </c>
      <c r="AP99" s="146">
        <v>665.3593116888203</v>
      </c>
      <c r="AQ99" t="s">
        <v>325</v>
      </c>
      <c r="AR99">
        <f t="shared" si="2"/>
        <v>4.8813386259591285</v>
      </c>
      <c r="AS99">
        <f t="shared" si="3"/>
        <v>1.3321822791215501</v>
      </c>
      <c r="AT99">
        <v>0.1</v>
      </c>
      <c r="AU99">
        <v>1</v>
      </c>
      <c r="AV99">
        <v>0.2</v>
      </c>
      <c r="AW99">
        <v>3</v>
      </c>
      <c r="AX99">
        <v>0.13105506554607574</v>
      </c>
      <c r="AY99">
        <v>0.08</v>
      </c>
      <c r="AZ99" s="209">
        <v>665.3593116888203</v>
      </c>
      <c r="BA99">
        <v>0.13105506554607574</v>
      </c>
      <c r="BB99" s="249">
        <v>43.661909789830688</v>
      </c>
      <c r="BC99" s="243">
        <v>194.11146339729547</v>
      </c>
      <c r="BD99" s="209">
        <v>94520.520173282712</v>
      </c>
      <c r="BE99" s="243">
        <v>59.801358597471449</v>
      </c>
      <c r="BF99">
        <v>385217.31387480313</v>
      </c>
      <c r="BG99" t="s">
        <v>388</v>
      </c>
      <c r="BH99">
        <v>8.3064318911934322E-6</v>
      </c>
      <c r="BI99">
        <v>2145205.2017328274</v>
      </c>
      <c r="BJ99">
        <f t="shared" si="1"/>
        <v>0.17957131260153436</v>
      </c>
    </row>
    <row r="100" spans="1:62" x14ac:dyDescent="0.3">
      <c r="A100">
        <v>-0.1</v>
      </c>
      <c r="B100" s="146">
        <v>1000</v>
      </c>
      <c r="C100" s="146">
        <v>25</v>
      </c>
      <c r="D100" s="146">
        <v>900</v>
      </c>
      <c r="E100" s="252">
        <v>22.123857836852721</v>
      </c>
      <c r="F100" s="146">
        <v>2.5905339267162257</v>
      </c>
      <c r="G100" s="146">
        <v>24.045846454152212</v>
      </c>
      <c r="H100" s="146">
        <v>5.2297614735546354</v>
      </c>
      <c r="I100" s="146"/>
      <c r="J100" s="146">
        <v>0.16842477680285595</v>
      </c>
      <c r="K100" s="146">
        <v>0.08</v>
      </c>
      <c r="L100" s="146">
        <v>105.92000451231553</v>
      </c>
      <c r="M100" s="146">
        <v>59.165125136307047</v>
      </c>
      <c r="N100" s="146">
        <v>1.7079861053328598</v>
      </c>
      <c r="O100" s="146"/>
      <c r="P100" s="146"/>
      <c r="Q100" s="146"/>
      <c r="R100" s="146"/>
      <c r="S100" s="146"/>
      <c r="T100" s="146"/>
      <c r="U100" s="146"/>
      <c r="V100" s="146"/>
      <c r="W100" s="146"/>
      <c r="X100" s="146"/>
      <c r="Y100" s="146"/>
      <c r="Z100" s="146">
        <v>0.32658967602435462</v>
      </c>
      <c r="AA100" s="146"/>
      <c r="AB100" s="146"/>
      <c r="AC100" s="146"/>
      <c r="AD100" s="146"/>
      <c r="AE100" s="146"/>
      <c r="AF100" s="146"/>
      <c r="AG100" s="146"/>
      <c r="AH100" s="146"/>
      <c r="AI100" s="146"/>
      <c r="AJ100" s="146"/>
      <c r="AK100" s="146"/>
      <c r="AL100" s="146">
        <v>1616.4092898752151</v>
      </c>
      <c r="AM100" s="146">
        <v>0.1077331143927726</v>
      </c>
      <c r="AN100" s="146">
        <v>0.26806491514650055</v>
      </c>
      <c r="AO100" s="146">
        <v>817.46828254357058</v>
      </c>
      <c r="AP100" s="146">
        <v>762.41623720878567</v>
      </c>
      <c r="AQ100" t="s">
        <v>325</v>
      </c>
      <c r="AR100">
        <f t="shared" si="2"/>
        <v>4.8813386259591285</v>
      </c>
      <c r="AS100">
        <f t="shared" si="3"/>
        <v>1.3321822791215501</v>
      </c>
      <c r="AT100">
        <v>0.1</v>
      </c>
      <c r="AU100">
        <v>1</v>
      </c>
      <c r="AV100">
        <v>0.2</v>
      </c>
      <c r="AW100">
        <v>3</v>
      </c>
      <c r="AX100">
        <v>0.13147220669793802</v>
      </c>
      <c r="AY100">
        <v>0.08</v>
      </c>
      <c r="AZ100" s="209">
        <v>762.41623720878567</v>
      </c>
      <c r="BA100">
        <v>0.13147220669793802</v>
      </c>
      <c r="BB100" s="249">
        <v>41.818712816425148</v>
      </c>
      <c r="BC100" s="243">
        <v>192.92261671922017</v>
      </c>
      <c r="BD100" s="209">
        <v>92701.508589915145</v>
      </c>
      <c r="BE100" s="243">
        <v>57.766044857330975</v>
      </c>
      <c r="BF100">
        <v>388980.49832752103</v>
      </c>
      <c r="BG100" t="s">
        <v>388</v>
      </c>
      <c r="BH100">
        <v>8.5211335909574612E-6</v>
      </c>
      <c r="BI100">
        <v>2127015.0858991514</v>
      </c>
      <c r="BJ100">
        <f t="shared" si="1"/>
        <v>0.18287622918437724</v>
      </c>
    </row>
    <row r="101" spans="1:62" x14ac:dyDescent="0.3">
      <c r="A101">
        <v>-0.1</v>
      </c>
      <c r="B101" s="146">
        <v>1000</v>
      </c>
      <c r="C101" s="146">
        <v>25</v>
      </c>
      <c r="D101" s="146">
        <v>1000</v>
      </c>
      <c r="E101" s="252">
        <v>22.465371262352932</v>
      </c>
      <c r="F101" s="146">
        <v>2.3417826714996322</v>
      </c>
      <c r="G101" s="146">
        <v>24.25650516018484</v>
      </c>
      <c r="H101" s="146">
        <v>5.2140147142386555</v>
      </c>
      <c r="I101" s="146"/>
      <c r="J101" s="146">
        <v>0.16664084643495075</v>
      </c>
      <c r="K101" s="146">
        <v>0.08</v>
      </c>
      <c r="L101" s="146">
        <v>105.58632588097215</v>
      </c>
      <c r="M101" s="146">
        <v>58.978737889916331</v>
      </c>
      <c r="N101" s="146">
        <v>1.7084681034070091</v>
      </c>
      <c r="O101" s="146"/>
      <c r="P101" s="146"/>
      <c r="Q101" s="146"/>
      <c r="R101" s="146"/>
      <c r="S101" s="146"/>
      <c r="T101" s="146"/>
      <c r="U101" s="146"/>
      <c r="V101" s="146"/>
      <c r="W101" s="146"/>
      <c r="X101" s="146"/>
      <c r="Y101" s="146"/>
      <c r="Z101" s="146">
        <v>0.32766844687673224</v>
      </c>
      <c r="AA101" s="146"/>
      <c r="AB101" s="146"/>
      <c r="AC101" s="146"/>
      <c r="AD101" s="146"/>
      <c r="AE101" s="146"/>
      <c r="AF101" s="146"/>
      <c r="AG101" s="146"/>
      <c r="AH101" s="146"/>
      <c r="AI101" s="146"/>
      <c r="AJ101" s="146"/>
      <c r="AK101" s="146"/>
      <c r="AL101" s="146">
        <v>1714.2303376574869</v>
      </c>
      <c r="AM101" s="146">
        <v>9.6542459683907206E-2</v>
      </c>
      <c r="AN101" s="146">
        <v>0.26712108343956492</v>
      </c>
      <c r="AO101" s="146">
        <v>915.89817256998504</v>
      </c>
      <c r="AP101" s="146">
        <v>859.99628595398292</v>
      </c>
      <c r="AQ101" t="s">
        <v>325</v>
      </c>
      <c r="AR101">
        <f t="shared" si="2"/>
        <v>4.8813386259591285</v>
      </c>
      <c r="AS101">
        <f t="shared" si="3"/>
        <v>1.3321822791215501</v>
      </c>
      <c r="AT101">
        <v>0.1</v>
      </c>
      <c r="AU101">
        <v>1</v>
      </c>
      <c r="AV101">
        <v>0.2</v>
      </c>
      <c r="AW101">
        <v>3</v>
      </c>
      <c r="AX101">
        <v>0.13191566577715866</v>
      </c>
      <c r="AY101">
        <v>0.08</v>
      </c>
      <c r="AZ101" s="209">
        <v>859.99628595398292</v>
      </c>
      <c r="BA101">
        <v>0.13191566577715866</v>
      </c>
      <c r="BB101" s="249">
        <v>40.326128760415926</v>
      </c>
      <c r="BC101" s="243">
        <v>191.98426329076921</v>
      </c>
      <c r="BD101" s="209">
        <v>91238.712174396685</v>
      </c>
      <c r="BE101" s="243">
        <v>56.112761542067723</v>
      </c>
      <c r="BF101">
        <v>391896.48774490738</v>
      </c>
      <c r="BG101" t="s">
        <v>388</v>
      </c>
      <c r="BH101">
        <v>8.6977487015883585E-6</v>
      </c>
      <c r="BI101">
        <v>2112387.1217439668</v>
      </c>
      <c r="BJ101">
        <f t="shared" si="1"/>
        <v>0.18552304343787202</v>
      </c>
    </row>
    <row r="102" spans="1:62" s="140" customFormat="1" x14ac:dyDescent="0.3">
      <c r="A102" s="140">
        <v>-0.1</v>
      </c>
      <c r="B102" s="140">
        <v>1000</v>
      </c>
      <c r="C102" s="140">
        <v>25</v>
      </c>
      <c r="D102" s="140">
        <v>1100</v>
      </c>
      <c r="E102" s="253">
        <v>22.749405820432642</v>
      </c>
      <c r="F102" s="140">
        <v>2.1364185361409356</v>
      </c>
      <c r="G102" s="140">
        <v>24.432562666880891</v>
      </c>
      <c r="H102" s="140">
        <v>5.2012860567654853</v>
      </c>
      <c r="J102" s="140">
        <v>0.16511410314272845</v>
      </c>
      <c r="K102" s="140">
        <v>0.08</v>
      </c>
      <c r="L102" s="140">
        <v>105.31682307677744</v>
      </c>
      <c r="M102" s="140">
        <v>58.828198176401571</v>
      </c>
      <c r="N102" s="140">
        <v>1.7068893669061893</v>
      </c>
      <c r="Z102" s="140">
        <v>0.32816679341948163</v>
      </c>
      <c r="AL102" s="140">
        <v>1811.4091511477016</v>
      </c>
      <c r="AM102" s="140">
        <v>8.7441443014772996E-2</v>
      </c>
      <c r="AN102" s="140">
        <v>0.26630260108468046</v>
      </c>
      <c r="AO102" s="140">
        <v>1014.573099444873</v>
      </c>
      <c r="AP102" s="140">
        <v>957.96446769460681</v>
      </c>
      <c r="AQ102" t="s">
        <v>325</v>
      </c>
      <c r="AR102">
        <f t="shared" si="2"/>
        <v>4.8813386259591285</v>
      </c>
      <c r="AS102">
        <f t="shared" si="3"/>
        <v>1.3321822791215501</v>
      </c>
      <c r="AT102">
        <v>0.1</v>
      </c>
      <c r="AU102" s="140">
        <v>1</v>
      </c>
      <c r="AV102">
        <v>0.2</v>
      </c>
      <c r="AW102">
        <v>3</v>
      </c>
      <c r="AX102">
        <v>0.13236539876698633</v>
      </c>
      <c r="AY102">
        <v>0.08</v>
      </c>
      <c r="AZ102" s="209">
        <v>957.96446769460681</v>
      </c>
      <c r="BA102" s="140">
        <v>0.13236539876698633</v>
      </c>
      <c r="BB102" s="253">
        <v>39.095125088307675</v>
      </c>
      <c r="BC102" s="245">
        <v>191.22936281272044</v>
      </c>
      <c r="BD102" s="210">
        <v>90042.773674566648</v>
      </c>
      <c r="BE102" s="245">
        <v>54.749668538392093</v>
      </c>
      <c r="BF102" s="140">
        <v>394243.22726368229</v>
      </c>
      <c r="BG102" t="s">
        <v>388</v>
      </c>
      <c r="BH102" s="140">
        <v>8.8454516740930102E-6</v>
      </c>
      <c r="BI102" s="140">
        <v>2100427.7367456667</v>
      </c>
      <c r="BJ102">
        <f t="shared" si="1"/>
        <v>0.18769663929238989</v>
      </c>
    </row>
    <row r="103" spans="1:62" x14ac:dyDescent="0.3">
      <c r="A103">
        <v>-0.1</v>
      </c>
      <c r="B103" s="146">
        <v>1000</v>
      </c>
      <c r="C103" s="146">
        <v>25</v>
      </c>
      <c r="D103" s="146">
        <v>400</v>
      </c>
      <c r="E103" s="252">
        <v>18.333072513567476</v>
      </c>
      <c r="F103" s="146">
        <v>5.4224210042196903</v>
      </c>
      <c r="G103" s="146">
        <v>21.747266501643992</v>
      </c>
      <c r="H103" s="146">
        <v>5.4249688357236909</v>
      </c>
      <c r="I103" s="146"/>
      <c r="J103" s="146">
        <v>0.18721136134002922</v>
      </c>
      <c r="K103" s="146">
        <v>0.08</v>
      </c>
      <c r="L103" s="146">
        <v>110.10246575511786</v>
      </c>
      <c r="M103" s="146">
        <v>61.50137732915303</v>
      </c>
      <c r="N103" s="146">
        <v>1.6024480807874593</v>
      </c>
      <c r="O103" s="146"/>
      <c r="P103" s="146"/>
      <c r="Q103" s="146"/>
      <c r="R103" s="146"/>
      <c r="S103" s="146"/>
      <c r="T103" s="146"/>
      <c r="U103" s="146"/>
      <c r="V103" s="146"/>
      <c r="W103" s="146"/>
      <c r="X103" s="146"/>
      <c r="Y103" s="146"/>
      <c r="Z103" s="146">
        <v>0.29538383155959508</v>
      </c>
      <c r="AA103" s="146"/>
      <c r="AB103" s="146"/>
      <c r="AC103" s="146"/>
      <c r="AD103" s="146"/>
      <c r="AE103" s="146"/>
      <c r="AF103" s="146"/>
      <c r="AG103" s="146"/>
      <c r="AH103" s="146"/>
      <c r="AI103" s="146"/>
      <c r="AJ103" s="146"/>
      <c r="AK103" s="146"/>
      <c r="AL103" s="146">
        <v>1089.3611505222441</v>
      </c>
      <c r="AM103" s="146">
        <v>0.24933804916630697</v>
      </c>
      <c r="AN103" s="146">
        <v>0.27675229289492109</v>
      </c>
      <c r="AO103" s="146">
        <v>333.75638437608796</v>
      </c>
      <c r="AP103" s="146">
        <v>288.13711012851468</v>
      </c>
      <c r="AQ103" t="s">
        <v>325</v>
      </c>
      <c r="AR103">
        <f t="shared" si="2"/>
        <v>4.8813386259591285</v>
      </c>
      <c r="AS103">
        <f t="shared" si="3"/>
        <v>1.3321822791215501</v>
      </c>
      <c r="AT103">
        <v>0.1</v>
      </c>
      <c r="AU103">
        <v>1</v>
      </c>
      <c r="AV103">
        <v>0.2</v>
      </c>
      <c r="AW103" s="146">
        <v>3</v>
      </c>
      <c r="AX103">
        <v>0.13108316899757794</v>
      </c>
      <c r="AY103">
        <v>0.08</v>
      </c>
      <c r="AZ103" s="209">
        <v>288.13711012851468</v>
      </c>
      <c r="BA103">
        <v>0.13108316899757794</v>
      </c>
      <c r="BB103" s="249">
        <v>58.800119802838751</v>
      </c>
      <c r="BC103" s="243">
        <v>205.04640293610865</v>
      </c>
      <c r="BD103" s="209">
        <v>109868.90432326068</v>
      </c>
      <c r="BE103" s="243">
        <v>76.146991450559611</v>
      </c>
      <c r="BF103">
        <v>347230.36489650904</v>
      </c>
      <c r="BG103" t="s">
        <v>389</v>
      </c>
      <c r="BH103">
        <v>6.6675680826817755E-6</v>
      </c>
      <c r="BI103">
        <v>2298689.0432326067</v>
      </c>
      <c r="BJ103">
        <f t="shared" si="1"/>
        <v>0.15105582284770669</v>
      </c>
    </row>
    <row r="104" spans="1:62" x14ac:dyDescent="0.3">
      <c r="A104">
        <v>-0.1</v>
      </c>
      <c r="B104" s="146">
        <v>1000</v>
      </c>
      <c r="C104" s="146">
        <v>25</v>
      </c>
      <c r="D104" s="146">
        <v>400</v>
      </c>
      <c r="E104" s="252">
        <v>17.693342499013266</v>
      </c>
      <c r="F104" s="146">
        <v>5.1705226171964638</v>
      </c>
      <c r="G104" s="146">
        <v>20.94333215303088</v>
      </c>
      <c r="H104" s="146">
        <v>5.2287959908438895</v>
      </c>
      <c r="I104" s="146"/>
      <c r="J104" s="146">
        <v>0.18906997976117063</v>
      </c>
      <c r="K104" s="146">
        <v>0.08</v>
      </c>
      <c r="L104" s="146">
        <v>106.15655549605123</v>
      </c>
      <c r="M104" s="146">
        <v>59.297258519592653</v>
      </c>
      <c r="N104" s="146">
        <v>1.5430487437447997</v>
      </c>
      <c r="O104" s="146"/>
      <c r="P104" s="146"/>
      <c r="Q104" s="146"/>
      <c r="R104" s="146"/>
      <c r="S104" s="146"/>
      <c r="T104" s="146"/>
      <c r="U104" s="146"/>
      <c r="V104" s="146"/>
      <c r="W104" s="146"/>
      <c r="X104" s="146"/>
      <c r="Y104" s="146"/>
      <c r="Z104" s="146">
        <v>0.29510593766649573</v>
      </c>
      <c r="AA104" s="146"/>
      <c r="AB104" s="146"/>
      <c r="AC104" s="146"/>
      <c r="AD104" s="146"/>
      <c r="AE104" s="146"/>
      <c r="AF104" s="146"/>
      <c r="AG104" s="146"/>
      <c r="AH104" s="146"/>
      <c r="AI104" s="146"/>
      <c r="AJ104" s="146"/>
      <c r="AK104" s="146"/>
      <c r="AL104" s="146">
        <v>1063.9126423318494</v>
      </c>
      <c r="AM104" s="146">
        <v>0.24688156494945315</v>
      </c>
      <c r="AN104" s="146">
        <v>0.2782655231990761</v>
      </c>
      <c r="AO104" s="146">
        <v>336.41561377923512</v>
      </c>
      <c r="AP104" s="146">
        <v>292.38827045944947</v>
      </c>
      <c r="AQ104" t="s">
        <v>325</v>
      </c>
      <c r="AR104">
        <f t="shared" si="2"/>
        <v>4.8813386259591285</v>
      </c>
      <c r="AS104">
        <f t="shared" si="3"/>
        <v>1.3321822791215501</v>
      </c>
      <c r="AT104">
        <v>0.1</v>
      </c>
      <c r="AU104">
        <v>1</v>
      </c>
      <c r="AV104">
        <v>0.2</v>
      </c>
      <c r="AW104" s="146">
        <v>2.5</v>
      </c>
      <c r="AX104">
        <v>0.13203507830390845</v>
      </c>
      <c r="AY104">
        <v>0.08</v>
      </c>
      <c r="AZ104" s="209">
        <v>292.38827045944947</v>
      </c>
      <c r="BA104">
        <v>0.13203507830390845</v>
      </c>
      <c r="BB104" s="249">
        <v>56.282809677029235</v>
      </c>
      <c r="BC104" s="243">
        <v>193.59032551371072</v>
      </c>
      <c r="BD104" s="209">
        <v>102692.51352472886</v>
      </c>
      <c r="BE104" s="243">
        <v>72.301012654043078</v>
      </c>
      <c r="BF104">
        <v>395018.04763105663</v>
      </c>
      <c r="BG104" t="s">
        <v>389</v>
      </c>
      <c r="BH104">
        <v>6.4778719149172747E-6</v>
      </c>
      <c r="BI104">
        <v>2226925.1352472883</v>
      </c>
      <c r="BJ104">
        <f t="shared" si="1"/>
        <v>0.1773827244476236</v>
      </c>
    </row>
    <row r="105" spans="1:62" x14ac:dyDescent="0.3">
      <c r="A105">
        <v>-0.1</v>
      </c>
      <c r="B105" s="146">
        <v>1000</v>
      </c>
      <c r="C105" s="146">
        <v>25</v>
      </c>
      <c r="D105" s="146">
        <v>400</v>
      </c>
      <c r="E105" s="252">
        <v>15.388897830681643</v>
      </c>
      <c r="F105" s="146">
        <v>4.3239376995307595</v>
      </c>
      <c r="G105" s="146">
        <v>18.092719313412076</v>
      </c>
      <c r="H105" s="146">
        <v>4.5297523696488575</v>
      </c>
      <c r="I105" s="146"/>
      <c r="J105" s="146">
        <v>0.19609291354131209</v>
      </c>
      <c r="K105" s="146">
        <v>0.08</v>
      </c>
      <c r="L105" s="146">
        <v>92.067483351500428</v>
      </c>
      <c r="M105" s="146">
        <v>51.427340836669181</v>
      </c>
      <c r="N105" s="146">
        <v>1.3344320472696909</v>
      </c>
      <c r="O105" s="146"/>
      <c r="P105" s="146"/>
      <c r="Q105" s="146"/>
      <c r="R105" s="146"/>
      <c r="S105" s="146"/>
      <c r="T105" s="146"/>
      <c r="U105" s="146"/>
      <c r="V105" s="146"/>
      <c r="W105" s="146"/>
      <c r="X105" s="146"/>
      <c r="Y105" s="146"/>
      <c r="Z105" s="146">
        <v>0.29459271465056597</v>
      </c>
      <c r="AA105" s="146"/>
      <c r="AB105" s="146"/>
      <c r="AC105" s="146"/>
      <c r="AD105" s="146"/>
      <c r="AE105" s="146"/>
      <c r="AF105" s="146"/>
      <c r="AG105" s="146"/>
      <c r="AH105" s="146"/>
      <c r="AI105" s="146"/>
      <c r="AJ105" s="146"/>
      <c r="AK105" s="146"/>
      <c r="AL105" s="146">
        <v>974.54136066905119</v>
      </c>
      <c r="AM105" s="146">
        <v>0.23898771791178114</v>
      </c>
      <c r="AN105" s="146">
        <v>0.28297986287193788</v>
      </c>
      <c r="AO105" s="146">
        <v>345.61839957620634</v>
      </c>
      <c r="AP105" s="146">
        <v>307.32533703420603</v>
      </c>
      <c r="AQ105" t="s">
        <v>325</v>
      </c>
      <c r="AR105">
        <f t="shared" si="2"/>
        <v>4.8813386259591285</v>
      </c>
      <c r="AS105">
        <f t="shared" si="3"/>
        <v>1.3321822791215501</v>
      </c>
      <c r="AT105">
        <v>0.1</v>
      </c>
      <c r="AU105">
        <v>1</v>
      </c>
      <c r="AV105">
        <v>0.2</v>
      </c>
      <c r="AW105" s="146">
        <v>1.5</v>
      </c>
      <c r="AX105">
        <v>0.13563056935996434</v>
      </c>
      <c r="AY105">
        <v>0.08</v>
      </c>
      <c r="AZ105" s="209">
        <v>307.32533703420603</v>
      </c>
      <c r="BA105">
        <v>0.13563056935996434</v>
      </c>
      <c r="BB105" s="249">
        <v>47.67405074852271</v>
      </c>
      <c r="BC105" s="243">
        <v>157.03339690704743</v>
      </c>
      <c r="BD105" s="209">
        <v>80105.991732011593</v>
      </c>
      <c r="BE105" s="243">
        <v>59.707656278973793</v>
      </c>
      <c r="BF105">
        <v>515928.17035827512</v>
      </c>
      <c r="BG105" t="s">
        <v>389</v>
      </c>
      <c r="BH105">
        <v>5.8183563940317985E-6</v>
      </c>
      <c r="BI105">
        <v>2001059.917320116</v>
      </c>
      <c r="BJ105">
        <f t="shared" si="1"/>
        <v>0.25782744729064522</v>
      </c>
    </row>
    <row r="106" spans="1:62" x14ac:dyDescent="0.3">
      <c r="A106">
        <v>-0.1</v>
      </c>
      <c r="B106" s="146">
        <v>1000</v>
      </c>
      <c r="C106" s="146">
        <v>25</v>
      </c>
      <c r="D106" s="146">
        <v>400</v>
      </c>
      <c r="E106" s="252">
        <v>13.284072348954686</v>
      </c>
      <c r="F106" s="146">
        <v>3.6197538033514114</v>
      </c>
      <c r="G106" s="146">
        <v>15.539044060693659</v>
      </c>
      <c r="H106" s="146">
        <v>3.8991691137897115</v>
      </c>
      <c r="I106" s="146"/>
      <c r="J106" s="146">
        <v>0.20313978358976134</v>
      </c>
      <c r="K106" s="146">
        <v>0.08</v>
      </c>
      <c r="L106" s="146">
        <v>79.324027454724956</v>
      </c>
      <c r="M106" s="146">
        <v>44.309061657271435</v>
      </c>
      <c r="N106" s="146">
        <v>1.1489498084011753</v>
      </c>
      <c r="O106" s="146"/>
      <c r="P106" s="146"/>
      <c r="Q106" s="146"/>
      <c r="R106" s="146"/>
      <c r="S106" s="146"/>
      <c r="T106" s="146"/>
      <c r="U106" s="146"/>
      <c r="V106" s="146"/>
      <c r="W106" s="146"/>
      <c r="X106" s="146"/>
      <c r="Y106" s="146"/>
      <c r="Z106" s="146">
        <v>0.29466529275117254</v>
      </c>
      <c r="AA106" s="146"/>
      <c r="AB106" s="146"/>
      <c r="AC106" s="146"/>
      <c r="AD106" s="146"/>
      <c r="AE106" s="146"/>
      <c r="AF106" s="146"/>
      <c r="AG106" s="146"/>
      <c r="AH106" s="146"/>
      <c r="AI106" s="146"/>
      <c r="AJ106" s="146"/>
      <c r="AK106" s="146"/>
      <c r="AL106" s="146">
        <v>895.04777803510967</v>
      </c>
      <c r="AM106" s="146">
        <v>0.23294571977613832</v>
      </c>
      <c r="AN106" s="146">
        <v>0.286470131473259</v>
      </c>
      <c r="AO106" s="146">
        <v>353.62842094344239</v>
      </c>
      <c r="AP106" s="146">
        <v>320.57287383452217</v>
      </c>
      <c r="AQ106" t="s">
        <v>325</v>
      </c>
      <c r="AR106">
        <f t="shared" si="2"/>
        <v>4.8813386259591285</v>
      </c>
      <c r="AS106">
        <f t="shared" si="3"/>
        <v>1.3321822791215501</v>
      </c>
      <c r="AT106">
        <v>0.1</v>
      </c>
      <c r="AU106">
        <v>1</v>
      </c>
      <c r="AV106">
        <v>0.2</v>
      </c>
      <c r="AW106" s="146">
        <v>1</v>
      </c>
      <c r="AX106">
        <v>0.13929045751838562</v>
      </c>
      <c r="AY106">
        <v>0.08</v>
      </c>
      <c r="AZ106" s="209">
        <v>320.57287383452217</v>
      </c>
      <c r="BA106">
        <v>0.13929045751838562</v>
      </c>
      <c r="BB106" s="249">
        <v>40.329669247386519</v>
      </c>
      <c r="BC106" s="243">
        <v>128.49780297651887</v>
      </c>
      <c r="BD106" s="209">
        <v>62996.069583016302</v>
      </c>
      <c r="BE106" s="243">
        <v>49.540121048788052</v>
      </c>
      <c r="BF106">
        <v>583662.69251044712</v>
      </c>
      <c r="BG106" t="s">
        <v>389</v>
      </c>
      <c r="BH106">
        <v>5.1909389876805984E-6</v>
      </c>
      <c r="BI106">
        <v>1829960.6958301631</v>
      </c>
      <c r="BJ106">
        <f t="shared" si="1"/>
        <v>0.31894821229789749</v>
      </c>
    </row>
    <row r="107" spans="1:62" x14ac:dyDescent="0.3">
      <c r="A107">
        <v>-0.1</v>
      </c>
      <c r="B107" s="146">
        <v>1000</v>
      </c>
      <c r="C107" s="146">
        <v>25</v>
      </c>
      <c r="D107" s="146">
        <v>400</v>
      </c>
      <c r="E107" s="252">
        <v>12.128206048279335</v>
      </c>
      <c r="F107" s="146">
        <v>3.256154262937911</v>
      </c>
      <c r="G107" s="146">
        <v>14.152966147530648</v>
      </c>
      <c r="H107" s="146">
        <v>3.5553500924546997</v>
      </c>
      <c r="I107" s="146"/>
      <c r="J107" s="146">
        <v>0.20737535293522297</v>
      </c>
      <c r="K107" s="146">
        <v>0.08</v>
      </c>
      <c r="L107" s="146">
        <v>72.363539815022975</v>
      </c>
      <c r="M107" s="146">
        <v>40.421050850353438</v>
      </c>
      <c r="N107" s="146">
        <v>1.0482936921764674</v>
      </c>
      <c r="O107" s="146"/>
      <c r="P107" s="146"/>
      <c r="Q107" s="146"/>
      <c r="R107" s="146"/>
      <c r="S107" s="146"/>
      <c r="T107" s="146"/>
      <c r="U107" s="146"/>
      <c r="V107" s="146"/>
      <c r="W107" s="146"/>
      <c r="X107" s="146"/>
      <c r="Y107" s="146"/>
      <c r="Z107" s="146">
        <v>0.29484963925245966</v>
      </c>
      <c r="AA107" s="146"/>
      <c r="AB107" s="146"/>
      <c r="AC107" s="146"/>
      <c r="AD107" s="146"/>
      <c r="AE107" s="146"/>
      <c r="AF107" s="146"/>
      <c r="AG107" s="146"/>
      <c r="AH107" s="146"/>
      <c r="AI107" s="146"/>
      <c r="AJ107" s="146"/>
      <c r="AK107" s="146"/>
      <c r="AL107" s="146">
        <v>851.8730525194095</v>
      </c>
      <c r="AM107" s="146">
        <v>0.23006868164565147</v>
      </c>
      <c r="AN107" s="146">
        <v>0.28811940525431123</v>
      </c>
      <c r="AO107" s="146">
        <v>357.90562583740495</v>
      </c>
      <c r="AP107" s="146">
        <v>327.72620643117574</v>
      </c>
      <c r="AQ107" t="s">
        <v>325</v>
      </c>
      <c r="AR107">
        <f t="shared" si="2"/>
        <v>4.8813386259591285</v>
      </c>
      <c r="AS107">
        <f t="shared" si="3"/>
        <v>1.3321822791215501</v>
      </c>
      <c r="AT107">
        <v>0.1</v>
      </c>
      <c r="AU107">
        <v>1</v>
      </c>
      <c r="AV107">
        <v>0.2</v>
      </c>
      <c r="AW107" s="146">
        <v>0.8</v>
      </c>
      <c r="AX107">
        <v>0.14154871391397475</v>
      </c>
      <c r="AY107">
        <v>0.08</v>
      </c>
      <c r="AZ107" s="209">
        <v>327.72620643117574</v>
      </c>
      <c r="BA107">
        <v>0.14154871391397475</v>
      </c>
      <c r="BB107" s="249">
        <v>36.468840896071896</v>
      </c>
      <c r="BC107" s="243">
        <v>114.30008364006115</v>
      </c>
      <c r="BD107" s="209">
        <v>54732.132708687677</v>
      </c>
      <c r="BE107" s="243">
        <v>44.373103472882207</v>
      </c>
      <c r="BF107">
        <v>609562.15895885578</v>
      </c>
      <c r="BG107" t="s">
        <v>389</v>
      </c>
      <c r="BH107">
        <v>4.8251714934380327E-6</v>
      </c>
      <c r="BI107">
        <v>1747321.3270868766</v>
      </c>
      <c r="BJ107">
        <f t="shared" si="1"/>
        <v>0.34885521598658337</v>
      </c>
    </row>
    <row r="108" spans="1:62" x14ac:dyDescent="0.3">
      <c r="A108">
        <v>-0.1</v>
      </c>
      <c r="B108" s="146">
        <v>1000</v>
      </c>
      <c r="C108" s="146">
        <v>25</v>
      </c>
      <c r="D108" s="146">
        <v>400</v>
      </c>
      <c r="E108" s="252">
        <v>10.698177655980148</v>
      </c>
      <c r="F108" s="146">
        <v>2.82563111892682</v>
      </c>
      <c r="G108" s="146">
        <v>12.45152397169146</v>
      </c>
      <c r="H108" s="146">
        <v>3.1321803573756939</v>
      </c>
      <c r="I108" s="146"/>
      <c r="J108" s="146">
        <v>0.21308633282992895</v>
      </c>
      <c r="K108" s="146">
        <v>0.08</v>
      </c>
      <c r="L108" s="146">
        <v>63.785767173425462</v>
      </c>
      <c r="M108" s="146">
        <v>35.629651963357553</v>
      </c>
      <c r="N108" s="146">
        <v>0.92455416304897353</v>
      </c>
      <c r="O108" s="146"/>
      <c r="P108" s="146"/>
      <c r="Q108" s="146"/>
      <c r="R108" s="146"/>
      <c r="S108" s="146"/>
      <c r="T108" s="146"/>
      <c r="U108" s="146"/>
      <c r="V108" s="146"/>
      <c r="W108" s="146"/>
      <c r="X108" s="146"/>
      <c r="Y108" s="146"/>
      <c r="Z108" s="146">
        <v>0.29517909493041256</v>
      </c>
      <c r="AA108" s="146"/>
      <c r="AB108" s="146"/>
      <c r="AC108" s="146"/>
      <c r="AD108" s="146"/>
      <c r="AE108" s="146"/>
      <c r="AF108" s="146"/>
      <c r="AG108" s="146"/>
      <c r="AH108" s="146"/>
      <c r="AI108" s="146"/>
      <c r="AJ108" s="146"/>
      <c r="AK108" s="146"/>
      <c r="AL108" s="146">
        <v>798.7612157725215</v>
      </c>
      <c r="AM108" s="146">
        <v>0.22693054483538661</v>
      </c>
      <c r="AN108" s="146">
        <v>0.28996325176905052</v>
      </c>
      <c r="AO108" s="146">
        <v>363.10505696597369</v>
      </c>
      <c r="AP108" s="146">
        <v>336.48413424803465</v>
      </c>
      <c r="AQ108" t="s">
        <v>325</v>
      </c>
      <c r="AR108">
        <f t="shared" si="2"/>
        <v>4.8813386259591285</v>
      </c>
      <c r="AS108">
        <f t="shared" si="3"/>
        <v>1.3321822791215501</v>
      </c>
      <c r="AT108">
        <v>0.1</v>
      </c>
      <c r="AU108">
        <v>1</v>
      </c>
      <c r="AV108">
        <v>0.2</v>
      </c>
      <c r="AW108" s="146">
        <v>0.6</v>
      </c>
      <c r="AX108">
        <v>0.14470550227328657</v>
      </c>
      <c r="AY108">
        <v>0.08</v>
      </c>
      <c r="AZ108" s="209">
        <v>336.48413424803465</v>
      </c>
      <c r="BA108">
        <v>0.14470550227328657</v>
      </c>
      <c r="BB108" s="249">
        <v>31.835528389221626</v>
      </c>
      <c r="BC108" s="243">
        <v>97.901557301191119</v>
      </c>
      <c r="BD108" s="209">
        <v>45449.250260378656</v>
      </c>
      <c r="BE108" s="243">
        <v>38.310745197970135</v>
      </c>
      <c r="BF108">
        <v>632600.04765550396</v>
      </c>
      <c r="BG108" t="s">
        <v>389</v>
      </c>
      <c r="BH108">
        <v>4.3485541454053461E-6</v>
      </c>
      <c r="BI108">
        <v>1654492.5026037865</v>
      </c>
      <c r="BJ108">
        <f t="shared" si="1"/>
        <v>0.3823529249361593</v>
      </c>
    </row>
    <row r="109" spans="1:62" x14ac:dyDescent="0.3">
      <c r="A109">
        <v>-0.1</v>
      </c>
      <c r="B109" s="146">
        <v>1000</v>
      </c>
      <c r="C109" s="146">
        <v>25</v>
      </c>
      <c r="D109" s="146">
        <v>400</v>
      </c>
      <c r="E109" s="252">
        <v>8.8521478222341976</v>
      </c>
      <c r="F109" s="146">
        <v>2.2970021132423293</v>
      </c>
      <c r="G109" s="146">
        <v>10.273700930625877</v>
      </c>
      <c r="H109" s="146">
        <v>2.5865015460652918</v>
      </c>
      <c r="I109" s="146"/>
      <c r="J109" s="146">
        <v>0.22081981080622179</v>
      </c>
      <c r="K109" s="146">
        <v>0.08</v>
      </c>
      <c r="L109" s="146">
        <v>52.708474075994751</v>
      </c>
      <c r="M109" s="146">
        <v>29.442063175964368</v>
      </c>
      <c r="N109" s="146">
        <v>0.76857062271737586</v>
      </c>
      <c r="O109" s="146"/>
      <c r="P109" s="146"/>
      <c r="Q109" s="146"/>
      <c r="R109" s="146"/>
      <c r="S109" s="146"/>
      <c r="T109" s="146"/>
      <c r="U109" s="146"/>
      <c r="V109" s="146"/>
      <c r="W109" s="146"/>
      <c r="X109" s="146"/>
      <c r="Y109" s="146"/>
      <c r="Z109" s="146">
        <v>0.29714678651035864</v>
      </c>
      <c r="AA109" s="146"/>
      <c r="AB109" s="146"/>
      <c r="AC109" s="146"/>
      <c r="AD109" s="146"/>
      <c r="AE109" s="146"/>
      <c r="AF109" s="146"/>
      <c r="AG109" s="146"/>
      <c r="AH109" s="146"/>
      <c r="AI109" s="146"/>
      <c r="AJ109" s="146"/>
      <c r="AK109" s="146"/>
      <c r="AL109" s="146">
        <v>731.91580889572253</v>
      </c>
      <c r="AM109" s="146">
        <v>0.22358078444691454</v>
      </c>
      <c r="AN109" s="146">
        <v>0.29174373534170989</v>
      </c>
      <c r="AO109" s="146">
        <v>369.65779638124548</v>
      </c>
      <c r="AP109" s="146">
        <v>347.63049753703496</v>
      </c>
      <c r="AQ109" t="s">
        <v>325</v>
      </c>
      <c r="AR109">
        <f t="shared" si="2"/>
        <v>4.8813386259591285</v>
      </c>
      <c r="AS109">
        <f t="shared" si="3"/>
        <v>1.3321822791215501</v>
      </c>
      <c r="AT109">
        <v>0.1</v>
      </c>
      <c r="AU109">
        <v>1</v>
      </c>
      <c r="AV109">
        <v>0.2</v>
      </c>
      <c r="AW109" s="146">
        <v>0.4</v>
      </c>
      <c r="AX109">
        <v>0.14933429664725811</v>
      </c>
      <c r="AY109">
        <v>0.08</v>
      </c>
      <c r="AZ109" s="209">
        <v>347.63049753703496</v>
      </c>
      <c r="BA109">
        <v>0.14933429664725811</v>
      </c>
      <c r="BB109" s="249">
        <v>26.055351146654065</v>
      </c>
      <c r="BC109" s="243">
        <v>78.225358388357279</v>
      </c>
      <c r="BD109" s="209">
        <v>34816.900085796289</v>
      </c>
      <c r="BE109" s="243">
        <v>30.995462319848929</v>
      </c>
      <c r="BF109">
        <v>648493.96269206004</v>
      </c>
      <c r="BG109" t="s">
        <v>389</v>
      </c>
      <c r="BH109">
        <v>3.6920478235288204E-6</v>
      </c>
      <c r="BI109">
        <v>1548169.0008579628</v>
      </c>
      <c r="BJ109">
        <f t="shared" si="1"/>
        <v>0.41887801805402269</v>
      </c>
    </row>
    <row r="110" spans="1:62" x14ac:dyDescent="0.3">
      <c r="A110">
        <v>-0.1</v>
      </c>
      <c r="B110" s="146">
        <v>1000</v>
      </c>
      <c r="C110" s="146">
        <v>25</v>
      </c>
      <c r="D110" s="146">
        <v>400</v>
      </c>
      <c r="E110" s="252">
        <v>7.6965471507297973</v>
      </c>
      <c r="F110" s="146">
        <v>1.9789710962321467</v>
      </c>
      <c r="G110" s="146">
        <v>8.9191088449030502</v>
      </c>
      <c r="H110" s="146">
        <v>2.240080014050601</v>
      </c>
      <c r="I110" s="146"/>
      <c r="J110" s="146">
        <v>0.22444948253399397</v>
      </c>
      <c r="K110" s="146">
        <v>0.08</v>
      </c>
      <c r="L110" s="146">
        <v>45.667455744309819</v>
      </c>
      <c r="M110" s="146">
        <v>25.5090692849687</v>
      </c>
      <c r="N110" s="146">
        <v>0.67839252176463916</v>
      </c>
      <c r="O110" s="146"/>
      <c r="P110" s="146"/>
      <c r="Q110" s="146"/>
      <c r="R110" s="146"/>
      <c r="S110" s="146"/>
      <c r="T110" s="146"/>
      <c r="U110" s="146"/>
      <c r="V110" s="146"/>
      <c r="W110" s="146"/>
      <c r="X110" s="146"/>
      <c r="Y110" s="146"/>
      <c r="Z110" s="146">
        <v>0.30284298663865272</v>
      </c>
      <c r="AA110" s="146"/>
      <c r="AB110" s="146"/>
      <c r="AC110" s="146"/>
      <c r="AD110" s="146"/>
      <c r="AE110" s="146"/>
      <c r="AF110" s="146"/>
      <c r="AG110" s="146"/>
      <c r="AH110" s="146"/>
      <c r="AI110" s="146"/>
      <c r="AJ110" s="146"/>
      <c r="AK110" s="146"/>
      <c r="AL110" s="146">
        <v>693.65710934674075</v>
      </c>
      <c r="AM110" s="146">
        <v>0.22187991318920358</v>
      </c>
      <c r="AN110" s="146">
        <v>0.29167524038116377</v>
      </c>
      <c r="AO110" s="146">
        <v>373.61261401320223</v>
      </c>
      <c r="AP110" s="146">
        <v>354.46084846442085</v>
      </c>
      <c r="AQ110" t="s">
        <v>325</v>
      </c>
      <c r="AR110">
        <f t="shared" si="2"/>
        <v>4.8813386259591285</v>
      </c>
      <c r="AS110">
        <f t="shared" si="3"/>
        <v>1.3321822791215501</v>
      </c>
      <c r="AT110">
        <v>0.1</v>
      </c>
      <c r="AU110">
        <v>1</v>
      </c>
      <c r="AV110">
        <v>0.2</v>
      </c>
      <c r="AW110" s="146">
        <v>0.3</v>
      </c>
      <c r="AX110">
        <v>0.15196286651214544</v>
      </c>
      <c r="AY110">
        <v>0.08</v>
      </c>
      <c r="AZ110" s="209">
        <v>354.46084846442085</v>
      </c>
      <c r="BA110">
        <v>0.15196286651214544</v>
      </c>
      <c r="BB110" s="249">
        <v>22.533189685358405</v>
      </c>
      <c r="BC110" s="243">
        <v>66.45991063441133</v>
      </c>
      <c r="BD110" s="209">
        <v>28855.975210940222</v>
      </c>
      <c r="BE110" s="243">
        <v>26.770547788460224</v>
      </c>
      <c r="BF110">
        <v>653672.27991648146</v>
      </c>
      <c r="BG110" t="s">
        <v>389</v>
      </c>
      <c r="BH110">
        <v>3.2503732444793653E-6</v>
      </c>
      <c r="BI110">
        <v>1488559.7521094023</v>
      </c>
      <c r="BJ110">
        <f t="shared" si="1"/>
        <v>0.43913069595639553</v>
      </c>
    </row>
    <row r="111" spans="1:62" x14ac:dyDescent="0.3">
      <c r="A111">
        <v>-0.1</v>
      </c>
      <c r="B111" s="146">
        <v>1000</v>
      </c>
      <c r="C111" s="146">
        <v>25</v>
      </c>
      <c r="D111" s="146">
        <v>400</v>
      </c>
      <c r="E111" s="252">
        <v>6.2466117612820673</v>
      </c>
      <c r="F111" s="146">
        <v>1.5910731364114499</v>
      </c>
      <c r="G111" s="146">
        <v>7.2274649573472667</v>
      </c>
      <c r="H111" s="146">
        <v>1.8108765576333801</v>
      </c>
      <c r="I111" s="146"/>
      <c r="J111" s="146">
        <v>0.22933926604901883</v>
      </c>
      <c r="K111" s="146">
        <v>0.08</v>
      </c>
      <c r="L111" s="146">
        <v>36.935041926452172</v>
      </c>
      <c r="M111" s="146">
        <v>20.631290449380639</v>
      </c>
      <c r="N111" s="146">
        <v>0.56513004547543844</v>
      </c>
      <c r="O111" s="146"/>
      <c r="P111" s="146"/>
      <c r="Q111" s="146"/>
      <c r="R111" s="146"/>
      <c r="S111" s="146"/>
      <c r="T111" s="146"/>
      <c r="U111" s="146"/>
      <c r="V111" s="146"/>
      <c r="W111" s="146"/>
      <c r="X111" s="146"/>
      <c r="Y111" s="146"/>
      <c r="Z111" s="146">
        <v>0.31207541071380501</v>
      </c>
      <c r="AA111" s="146"/>
      <c r="AB111" s="146"/>
      <c r="AC111" s="146"/>
      <c r="AD111" s="146"/>
      <c r="AE111" s="146"/>
      <c r="AF111" s="146"/>
      <c r="AG111" s="146"/>
      <c r="AH111" s="146"/>
      <c r="AI111" s="146"/>
      <c r="AJ111" s="146"/>
      <c r="AK111" s="146"/>
      <c r="AL111" s="146">
        <v>645.60885218653721</v>
      </c>
      <c r="AM111" s="146">
        <v>0.22014262895788977</v>
      </c>
      <c r="AN111" s="146">
        <v>0.2917293128179746</v>
      </c>
      <c r="AO111" s="146">
        <v>378.58764448130842</v>
      </c>
      <c r="AP111" s="146">
        <v>363.04382944881797</v>
      </c>
      <c r="AQ111" t="s">
        <v>325</v>
      </c>
      <c r="AR111">
        <f t="shared" si="2"/>
        <v>4.8813386259591285</v>
      </c>
      <c r="AS111">
        <f t="shared" si="3"/>
        <v>1.3321822791215501</v>
      </c>
      <c r="AT111">
        <v>0.1</v>
      </c>
      <c r="AU111">
        <v>1</v>
      </c>
      <c r="AV111">
        <v>0.2</v>
      </c>
      <c r="AW111" s="146">
        <v>0.2</v>
      </c>
      <c r="AX111">
        <v>0.15611641466910994</v>
      </c>
      <c r="AY111">
        <v>0.08</v>
      </c>
      <c r="AZ111" s="209">
        <v>363.04382944881797</v>
      </c>
      <c r="BA111">
        <v>0.15611641466910994</v>
      </c>
      <c r="BB111" s="249">
        <v>18.192448771218888</v>
      </c>
      <c r="BC111" s="243">
        <v>52.548276791323715</v>
      </c>
      <c r="BD111" s="209">
        <v>22051.915411942122</v>
      </c>
      <c r="BE111" s="243">
        <v>21.578374352465723</v>
      </c>
      <c r="BF111">
        <v>646209.43823000882</v>
      </c>
      <c r="BG111" t="s">
        <v>389</v>
      </c>
      <c r="BH111">
        <v>2.6765496247460714E-6</v>
      </c>
      <c r="BI111">
        <v>1420519.1541194213</v>
      </c>
      <c r="BJ111">
        <f t="shared" si="1"/>
        <v>0.45491075312574264</v>
      </c>
    </row>
    <row r="112" spans="1:62" s="140" customFormat="1" x14ac:dyDescent="0.3">
      <c r="A112" s="140">
        <v>-0.1</v>
      </c>
      <c r="B112" s="140">
        <v>1000</v>
      </c>
      <c r="C112" s="140">
        <v>25</v>
      </c>
      <c r="D112" s="140">
        <v>400</v>
      </c>
      <c r="E112" s="253">
        <v>4.2738027328961605</v>
      </c>
      <c r="F112" s="140">
        <v>1.0818734948793849</v>
      </c>
      <c r="G112" s="140">
        <v>4.9386396986858294</v>
      </c>
      <c r="H112" s="140">
        <v>1.2349305894972853</v>
      </c>
      <c r="J112" s="140">
        <v>0.2402957579911357</v>
      </c>
      <c r="K112" s="140">
        <v>0.08</v>
      </c>
      <c r="L112" s="140">
        <v>25.202969519269718</v>
      </c>
      <c r="M112" s="140">
        <v>14.077953001226954</v>
      </c>
      <c r="N112" s="140">
        <v>0.39511584971401903</v>
      </c>
      <c r="Z112" s="140">
        <v>0.3199498442053027</v>
      </c>
      <c r="AL112" s="140">
        <v>572.28051407845794</v>
      </c>
      <c r="AM112" s="140">
        <v>0.21906305397562634</v>
      </c>
      <c r="AN112" s="140">
        <v>0.29187355101631224</v>
      </c>
      <c r="AO112" s="140">
        <v>385.35734835165897</v>
      </c>
      <c r="AP112" s="140">
        <v>374.7225892214484</v>
      </c>
      <c r="AQ112" t="s">
        <v>325</v>
      </c>
      <c r="AR112">
        <f t="shared" si="2"/>
        <v>4.8813386259591285</v>
      </c>
      <c r="AS112">
        <f t="shared" si="3"/>
        <v>1.3321822791215501</v>
      </c>
      <c r="AT112">
        <v>0.1</v>
      </c>
      <c r="AU112" s="140">
        <v>1</v>
      </c>
      <c r="AV112">
        <v>0.2</v>
      </c>
      <c r="AW112" s="146">
        <v>0.1</v>
      </c>
      <c r="AX112">
        <v>0.16657098661946587</v>
      </c>
      <c r="AY112">
        <v>0.08</v>
      </c>
      <c r="AZ112" s="209">
        <v>374.7225892214484</v>
      </c>
      <c r="BA112" s="140">
        <v>0.16657098661946587</v>
      </c>
      <c r="BB112" s="253">
        <v>12.413206424393193</v>
      </c>
      <c r="BC112" s="245">
        <v>34.872165980278851</v>
      </c>
      <c r="BD112" s="210">
        <v>13897.120237506218</v>
      </c>
      <c r="BE112" s="245">
        <v>14.687921359711471</v>
      </c>
      <c r="BF112" s="140">
        <v>610479.87979170401</v>
      </c>
      <c r="BG112" t="s">
        <v>389</v>
      </c>
      <c r="BH112" s="140">
        <v>1.8461719500512534E-6</v>
      </c>
      <c r="BI112" s="140">
        <v>1338971.2023750623</v>
      </c>
      <c r="BJ112">
        <f t="shared" si="1"/>
        <v>0.45593204596845471</v>
      </c>
    </row>
    <row r="113" spans="1:62" x14ac:dyDescent="0.3">
      <c r="A113">
        <v>-0.1</v>
      </c>
      <c r="B113" s="146">
        <v>1000</v>
      </c>
      <c r="C113" s="146">
        <v>25</v>
      </c>
      <c r="D113" s="146">
        <v>400</v>
      </c>
      <c r="E113" s="252">
        <v>18.332624451242047</v>
      </c>
      <c r="F113" s="146">
        <v>5.4221766768337192</v>
      </c>
      <c r="G113" s="146">
        <v>21.746671009099771</v>
      </c>
      <c r="H113" s="146">
        <v>5.4248968250297667</v>
      </c>
      <c r="I113" s="146"/>
      <c r="J113" s="146">
        <v>0.18720795315225813</v>
      </c>
      <c r="K113" s="146">
        <v>0.08</v>
      </c>
      <c r="L113" s="146">
        <v>110.10101283127477</v>
      </c>
      <c r="M113" s="146">
        <v>61.500565750439598</v>
      </c>
      <c r="N113" s="146">
        <v>1.6025163558139264</v>
      </c>
      <c r="O113" s="146"/>
      <c r="P113" s="146"/>
      <c r="Q113" s="146"/>
      <c r="R113" s="146"/>
      <c r="S113" s="146"/>
      <c r="T113" s="146"/>
      <c r="U113" s="146"/>
      <c r="V113" s="146"/>
      <c r="W113" s="146"/>
      <c r="X113" s="146"/>
      <c r="Y113" s="146"/>
      <c r="Z113" s="146">
        <v>0.29540033801566967</v>
      </c>
      <c r="AA113" s="146"/>
      <c r="AB113" s="146"/>
      <c r="AC113" s="146"/>
      <c r="AD113" s="146"/>
      <c r="AE113" s="146"/>
      <c r="AF113" s="146"/>
      <c r="AG113" s="146"/>
      <c r="AH113" s="146"/>
      <c r="AI113" s="146"/>
      <c r="AJ113" s="146"/>
      <c r="AK113" s="146"/>
      <c r="AL113" s="146">
        <v>1089.4002364527178</v>
      </c>
      <c r="AM113" s="146">
        <v>0.24933364166703217</v>
      </c>
      <c r="AN113" s="146">
        <v>0.27676131249812119</v>
      </c>
      <c r="AO113" s="146">
        <v>333.76016219258787</v>
      </c>
      <c r="AP113" s="146">
        <v>288.14205854575471</v>
      </c>
      <c r="AQ113" t="s">
        <v>325</v>
      </c>
      <c r="AR113">
        <f t="shared" si="2"/>
        <v>4.8813386259591285</v>
      </c>
      <c r="AS113">
        <f t="shared" si="3"/>
        <v>1.3321822791215501</v>
      </c>
      <c r="AT113">
        <v>0.1</v>
      </c>
      <c r="AU113">
        <v>1</v>
      </c>
      <c r="AV113">
        <v>0.2</v>
      </c>
      <c r="AW113" s="146">
        <v>3</v>
      </c>
      <c r="AX113">
        <v>0.13108227625323379</v>
      </c>
      <c r="AY113">
        <v>0.08</v>
      </c>
      <c r="AZ113" s="209">
        <v>288.14205854575471</v>
      </c>
      <c r="BA113">
        <v>0.13108227625323379</v>
      </c>
      <c r="BB113" s="249">
        <v>58.79790243783539</v>
      </c>
      <c r="BC113" s="243">
        <v>205.04206988559858</v>
      </c>
      <c r="BD113" s="209">
        <v>109863.23810473979</v>
      </c>
      <c r="BE113" s="243">
        <v>76.141217890746901</v>
      </c>
      <c r="BF113">
        <v>347208.51509006444</v>
      </c>
      <c r="BG113" t="s">
        <v>390</v>
      </c>
      <c r="BH113">
        <v>6.6676063770096952E-6</v>
      </c>
      <c r="BI113">
        <v>2298632.3810473979</v>
      </c>
      <c r="BJ113">
        <f t="shared" si="1"/>
        <v>0.15105004086467055</v>
      </c>
    </row>
    <row r="114" spans="1:62" s="140" customFormat="1" x14ac:dyDescent="0.3">
      <c r="A114">
        <v>-0.2</v>
      </c>
      <c r="B114" s="146">
        <v>1000</v>
      </c>
      <c r="C114" s="146">
        <v>25</v>
      </c>
      <c r="D114" s="146">
        <v>400</v>
      </c>
      <c r="E114" s="252">
        <v>18.210104582497252</v>
      </c>
      <c r="F114" s="146">
        <v>5.5191188695707165</v>
      </c>
      <c r="G114" s="146">
        <v>21.675409772653833</v>
      </c>
      <c r="H114" s="146">
        <v>5.4323178741781692</v>
      </c>
      <c r="I114" s="146"/>
      <c r="J114" s="146">
        <v>0.18789895889620542</v>
      </c>
      <c r="K114" s="146">
        <v>0.08</v>
      </c>
      <c r="L114" s="146">
        <v>110.26157543424516</v>
      </c>
      <c r="M114" s="146">
        <v>61.59025330795712</v>
      </c>
      <c r="N114" s="146">
        <v>1.5963570787039236</v>
      </c>
      <c r="O114" s="146"/>
      <c r="P114" s="146"/>
      <c r="Q114" s="146"/>
      <c r="R114" s="146"/>
      <c r="S114" s="146"/>
      <c r="T114" s="146"/>
      <c r="U114" s="146"/>
      <c r="V114" s="146"/>
      <c r="W114" s="146"/>
      <c r="X114" s="146"/>
      <c r="Y114" s="146"/>
      <c r="Z114" s="146">
        <v>0.29386297261653327</v>
      </c>
      <c r="AA114" s="146"/>
      <c r="AB114" s="146"/>
      <c r="AC114" s="146"/>
      <c r="AD114" s="146"/>
      <c r="AE114" s="146"/>
      <c r="AF114" s="146"/>
      <c r="AG114" s="146"/>
      <c r="AH114" s="146"/>
      <c r="AI114" s="146"/>
      <c r="AJ114" s="146"/>
      <c r="AK114" s="146"/>
      <c r="AL114" s="146">
        <v>1078.8923411259395</v>
      </c>
      <c r="AM114" s="146">
        <v>0.25462581457323852</v>
      </c>
      <c r="AN114" s="146">
        <v>0.24617244594442253</v>
      </c>
      <c r="AO114" s="146">
        <v>326.02703965248622</v>
      </c>
      <c r="AP114" s="146">
        <v>280.71380177397697</v>
      </c>
      <c r="AQ114" t="s">
        <v>325</v>
      </c>
      <c r="AR114">
        <f t="shared" si="2"/>
        <v>4.8813386259591285</v>
      </c>
      <c r="AS114">
        <f t="shared" si="3"/>
        <v>1.3321822791215501</v>
      </c>
      <c r="AT114">
        <v>0.1</v>
      </c>
      <c r="AU114">
        <v>1</v>
      </c>
      <c r="AV114">
        <v>0.2</v>
      </c>
      <c r="AW114" s="146">
        <v>3</v>
      </c>
      <c r="AX114">
        <v>0.13118323194572362</v>
      </c>
      <c r="AY114">
        <v>0.08</v>
      </c>
      <c r="AZ114" s="209">
        <v>280.71380177397697</v>
      </c>
      <c r="BA114" s="140">
        <v>0.13118323194572362</v>
      </c>
      <c r="BB114" s="253">
        <v>59.381895209819959</v>
      </c>
      <c r="BC114" s="245">
        <v>205.5214469735169</v>
      </c>
      <c r="BD114" s="210">
        <v>110488.22583786699</v>
      </c>
      <c r="BE114" s="245">
        <v>76.776855174971644</v>
      </c>
      <c r="BF114" s="140">
        <v>345668.27238589682</v>
      </c>
      <c r="BG114" t="s">
        <v>390</v>
      </c>
      <c r="BH114" s="140">
        <v>6.6094505320916199E-6</v>
      </c>
      <c r="BI114" s="140">
        <v>2304882.2583786696</v>
      </c>
      <c r="BJ114">
        <f t="shared" si="1"/>
        <v>0.14997220405915715</v>
      </c>
    </row>
    <row r="115" spans="1:62" x14ac:dyDescent="0.3">
      <c r="A115">
        <v>-0.3</v>
      </c>
      <c r="B115" s="146">
        <v>1000</v>
      </c>
      <c r="C115" s="146">
        <v>25</v>
      </c>
      <c r="D115" s="146">
        <v>400</v>
      </c>
      <c r="E115" s="252">
        <v>18.048887815483173</v>
      </c>
      <c r="F115" s="146">
        <v>5.6458535198082673</v>
      </c>
      <c r="G115" s="146">
        <v>21.581179269135507</v>
      </c>
      <c r="H115" s="146">
        <v>5.44196633360625</v>
      </c>
      <c r="I115" s="146"/>
      <c r="J115" s="146">
        <v>0.1888129678894484</v>
      </c>
      <c r="K115" s="146">
        <v>0.08</v>
      </c>
      <c r="L115" s="146">
        <v>110.47078602963205</v>
      </c>
      <c r="M115" s="146">
        <v>61.707114812192295</v>
      </c>
      <c r="N115" s="146">
        <v>1.5881764727604848</v>
      </c>
      <c r="O115" s="146"/>
      <c r="P115" s="146"/>
      <c r="Q115" s="146"/>
      <c r="R115" s="146"/>
      <c r="S115" s="146"/>
      <c r="T115" s="146"/>
      <c r="U115" s="146"/>
      <c r="V115" s="146"/>
      <c r="W115" s="146"/>
      <c r="X115" s="146"/>
      <c r="Y115" s="146"/>
      <c r="Z115" s="146">
        <v>0.29183871700066938</v>
      </c>
      <c r="AA115" s="146"/>
      <c r="AB115" s="146"/>
      <c r="AC115" s="146"/>
      <c r="AD115" s="146"/>
      <c r="AE115" s="146"/>
      <c r="AF115" s="146"/>
      <c r="AG115" s="146"/>
      <c r="AH115" s="146"/>
      <c r="AI115" s="146"/>
      <c r="AJ115" s="146"/>
      <c r="AK115" s="146"/>
      <c r="AL115" s="146">
        <v>1065.4598614641229</v>
      </c>
      <c r="AM115" s="146">
        <v>0.26161005612342642</v>
      </c>
      <c r="AN115" s="146">
        <v>0.21559584722752731</v>
      </c>
      <c r="AO115" s="146">
        <v>316.28369447934949</v>
      </c>
      <c r="AP115" s="146">
        <v>271.37162508388093</v>
      </c>
      <c r="AQ115" t="s">
        <v>325</v>
      </c>
      <c r="AR115">
        <f t="shared" ref="AR115:AR122" si="4">0.15*Jsat_t</f>
        <v>4.8813386259591285</v>
      </c>
      <c r="AS115">
        <f t="shared" ref="AS115:AS122" si="5">0.05*Jatp</f>
        <v>1.3321822791215501</v>
      </c>
      <c r="AT115">
        <v>0.1</v>
      </c>
      <c r="AU115">
        <v>1</v>
      </c>
      <c r="AV115">
        <v>0.2</v>
      </c>
      <c r="AW115" s="146">
        <v>3</v>
      </c>
      <c r="AX115">
        <v>0.13132484295564373</v>
      </c>
      <c r="AY115">
        <v>0.08</v>
      </c>
      <c r="AZ115" s="209">
        <v>271.37162508388093</v>
      </c>
      <c r="BA115">
        <v>0.13132484295564373</v>
      </c>
      <c r="BB115" s="249">
        <v>60.143743998661677</v>
      </c>
      <c r="BC115" s="243">
        <v>206.1476836593132</v>
      </c>
      <c r="BD115" s="209">
        <v>111299.22977977243</v>
      </c>
      <c r="BE115" s="243">
        <v>77.598193839966598</v>
      </c>
      <c r="BF115">
        <v>343585.3768951231</v>
      </c>
      <c r="BG115" t="s">
        <v>390</v>
      </c>
      <c r="BH115">
        <v>6.5336815118723696E-6</v>
      </c>
      <c r="BI115">
        <v>2312992.2977977246</v>
      </c>
      <c r="BJ115">
        <f t="shared" si="1"/>
        <v>0.14854583701911239</v>
      </c>
    </row>
    <row r="116" spans="1:62" x14ac:dyDescent="0.3">
      <c r="A116">
        <v>-0.4</v>
      </c>
      <c r="B116" s="146">
        <v>1000</v>
      </c>
      <c r="C116" s="146">
        <v>25</v>
      </c>
      <c r="D116" s="146">
        <v>400</v>
      </c>
      <c r="E116" s="252">
        <v>17.821301503452464</v>
      </c>
      <c r="F116" s="146">
        <v>5.813543092471205</v>
      </c>
      <c r="G116" s="146">
        <v>21.441881544616813</v>
      </c>
      <c r="H116" s="146">
        <v>5.4537464756496652</v>
      </c>
      <c r="I116" s="146"/>
      <c r="J116" s="146">
        <v>0.19000542018081185</v>
      </c>
      <c r="K116" s="146">
        <v>0.08</v>
      </c>
      <c r="L116" s="146">
        <v>110.72890421341523</v>
      </c>
      <c r="M116" s="146">
        <v>61.851295269073908</v>
      </c>
      <c r="N116" s="146">
        <v>1.57809685927724</v>
      </c>
      <c r="O116" s="146"/>
      <c r="P116" s="146"/>
      <c r="Q116" s="146"/>
      <c r="R116" s="146"/>
      <c r="S116" s="146"/>
      <c r="T116" s="146"/>
      <c r="U116" s="146"/>
      <c r="V116" s="146"/>
      <c r="W116" s="146"/>
      <c r="X116" s="146"/>
      <c r="Y116" s="146"/>
      <c r="Z116" s="146">
        <v>0.28936014285285472</v>
      </c>
      <c r="AA116" s="146"/>
      <c r="AB116" s="146"/>
      <c r="AC116" s="146"/>
      <c r="AD116" s="146"/>
      <c r="AE116" s="146"/>
      <c r="AF116" s="146"/>
      <c r="AG116" s="146"/>
      <c r="AH116" s="146"/>
      <c r="AI116" s="146"/>
      <c r="AJ116" s="146"/>
      <c r="AK116" s="146"/>
      <c r="AL116" s="146">
        <v>1048.440063303161</v>
      </c>
      <c r="AM116" s="146">
        <v>0.27113026813315039</v>
      </c>
      <c r="AN116" s="146">
        <v>0.18513211913956751</v>
      </c>
      <c r="AO116" s="146">
        <v>303.73738718986232</v>
      </c>
      <c r="AP116" s="146">
        <v>259.39163366454142</v>
      </c>
      <c r="AQ116" t="s">
        <v>325</v>
      </c>
      <c r="AR116">
        <f t="shared" si="4"/>
        <v>4.8813386259591285</v>
      </c>
      <c r="AS116">
        <f t="shared" si="5"/>
        <v>1.3321822791215501</v>
      </c>
      <c r="AT116">
        <v>0.1</v>
      </c>
      <c r="AU116">
        <v>1</v>
      </c>
      <c r="AV116">
        <v>0.2</v>
      </c>
      <c r="AW116" s="146">
        <v>3</v>
      </c>
      <c r="AX116">
        <v>0.13151543643762342</v>
      </c>
      <c r="AY116">
        <v>0.08</v>
      </c>
      <c r="AZ116" s="209">
        <v>259.39163366454142</v>
      </c>
      <c r="BA116">
        <v>0.13151543643762342</v>
      </c>
      <c r="BB116" s="249">
        <v>61.136800315804365</v>
      </c>
      <c r="BC116" s="243">
        <v>206.92285141778839</v>
      </c>
      <c r="BD116" s="209">
        <v>112294.40712989343</v>
      </c>
      <c r="BE116" s="243">
        <v>78.600546553709734</v>
      </c>
      <c r="BF116">
        <v>340292.68194788997</v>
      </c>
      <c r="BG116" t="s">
        <v>390</v>
      </c>
      <c r="BH116">
        <v>6.4319669966794921E-6</v>
      </c>
      <c r="BI116">
        <v>2322944.0712989345</v>
      </c>
      <c r="BJ116">
        <f t="shared" si="1"/>
        <v>0.14649198237373251</v>
      </c>
    </row>
    <row r="117" spans="1:62" x14ac:dyDescent="0.3">
      <c r="A117">
        <v>-0.5</v>
      </c>
      <c r="B117" s="146">
        <v>1000</v>
      </c>
      <c r="C117" s="146">
        <v>25</v>
      </c>
      <c r="D117" s="146">
        <v>400</v>
      </c>
      <c r="E117" s="252">
        <v>17.500209292885295</v>
      </c>
      <c r="F117" s="146">
        <v>6.0551680084025969</v>
      </c>
      <c r="G117" s="146">
        <v>21.248764078931575</v>
      </c>
      <c r="H117" s="146">
        <v>5.4731465829097017</v>
      </c>
      <c r="I117" s="146"/>
      <c r="J117" s="146">
        <v>0.19044856250792366</v>
      </c>
      <c r="K117" s="146">
        <v>0.08</v>
      </c>
      <c r="L117" s="146">
        <v>111.15106129212238</v>
      </c>
      <c r="M117" s="146">
        <v>62.087105081430771</v>
      </c>
      <c r="N117" s="146">
        <v>1.5831630618765073</v>
      </c>
      <c r="O117" s="146"/>
      <c r="P117" s="146"/>
      <c r="Q117" s="146"/>
      <c r="R117" s="146"/>
      <c r="S117" s="146"/>
      <c r="T117" s="146"/>
      <c r="U117" s="146"/>
      <c r="V117" s="146"/>
      <c r="W117" s="146"/>
      <c r="X117" s="146"/>
      <c r="Y117" s="146"/>
      <c r="Z117" s="146">
        <v>0.28926012448123517</v>
      </c>
      <c r="AA117" s="146"/>
      <c r="AB117" s="146"/>
      <c r="AC117" s="146"/>
      <c r="AD117" s="146"/>
      <c r="AE117" s="146"/>
      <c r="AF117" s="146"/>
      <c r="AG117" s="146"/>
      <c r="AH117" s="146"/>
      <c r="AI117" s="146"/>
      <c r="AJ117" s="146"/>
      <c r="AK117" s="146"/>
      <c r="AL117" s="146">
        <v>1034.8321999363732</v>
      </c>
      <c r="AM117" s="146">
        <v>0.284965656633478</v>
      </c>
      <c r="AN117" s="146">
        <v>0.15459198319838996</v>
      </c>
      <c r="AO117" s="146">
        <v>286.79743327681462</v>
      </c>
      <c r="AP117" s="146">
        <v>243.25066899812009</v>
      </c>
      <c r="AQ117" t="s">
        <v>325</v>
      </c>
      <c r="AR117">
        <f t="shared" si="4"/>
        <v>4.8813386259591285</v>
      </c>
      <c r="AS117">
        <f t="shared" si="5"/>
        <v>1.3321822791215501</v>
      </c>
      <c r="AT117">
        <v>0.1</v>
      </c>
      <c r="AU117">
        <v>1</v>
      </c>
      <c r="AV117">
        <v>0.2</v>
      </c>
      <c r="AW117" s="146">
        <v>3</v>
      </c>
      <c r="AX117">
        <v>0.13129397077389982</v>
      </c>
      <c r="AY117">
        <v>0.08</v>
      </c>
      <c r="AZ117" s="209">
        <v>243.25066899812009</v>
      </c>
      <c r="BA117">
        <v>0.13129397077389982</v>
      </c>
      <c r="BB117" s="249">
        <v>62.584936326788615</v>
      </c>
      <c r="BC117" s="243">
        <v>208.19673794845247</v>
      </c>
      <c r="BD117" s="209">
        <v>113893.89300453785</v>
      </c>
      <c r="BE117" s="243">
        <v>80.191574789540752</v>
      </c>
      <c r="BF117">
        <v>335914.62001609389</v>
      </c>
      <c r="BG117" t="s">
        <v>390</v>
      </c>
      <c r="BH117">
        <v>6.2838873651528351E-6</v>
      </c>
      <c r="BI117">
        <v>2338938.9300453784</v>
      </c>
      <c r="BJ117">
        <f t="shared" si="1"/>
        <v>0.14361837998462693</v>
      </c>
    </row>
    <row r="118" spans="1:62" x14ac:dyDescent="0.3">
      <c r="A118">
        <v>-0.6</v>
      </c>
      <c r="B118" s="146">
        <v>1000</v>
      </c>
      <c r="C118" s="146">
        <v>25</v>
      </c>
      <c r="D118" s="146">
        <v>400</v>
      </c>
      <c r="E118" s="252">
        <v>17.0143004192057</v>
      </c>
      <c r="F118" s="146">
        <v>6.4560908113449651</v>
      </c>
      <c r="G118" s="146">
        <v>20.976079852166976</v>
      </c>
      <c r="H118" s="146">
        <v>5.5092613528939403</v>
      </c>
      <c r="I118" s="146"/>
      <c r="J118" s="146">
        <v>0.19428123611444084</v>
      </c>
      <c r="K118" s="146">
        <v>0.08</v>
      </c>
      <c r="L118" s="146">
        <v>111.93162516766814</v>
      </c>
      <c r="M118" s="146">
        <v>62.523114875672945</v>
      </c>
      <c r="N118" s="146">
        <v>1.5441308387263106</v>
      </c>
      <c r="O118" s="146"/>
      <c r="P118" s="146"/>
      <c r="Q118" s="146"/>
      <c r="R118" s="146"/>
      <c r="S118" s="146"/>
      <c r="T118" s="146"/>
      <c r="U118" s="146"/>
      <c r="V118" s="146"/>
      <c r="W118" s="146"/>
      <c r="X118" s="146"/>
      <c r="Y118" s="146"/>
      <c r="Z118" s="146">
        <v>0.28027910455095756</v>
      </c>
      <c r="AA118" s="146"/>
      <c r="AB118" s="146"/>
      <c r="AC118" s="146"/>
      <c r="AD118" s="146"/>
      <c r="AE118" s="146"/>
      <c r="AF118" s="146"/>
      <c r="AG118" s="146"/>
      <c r="AH118" s="146"/>
      <c r="AI118" s="146"/>
      <c r="AJ118" s="146"/>
      <c r="AK118" s="146"/>
      <c r="AL118" s="146">
        <v>992.23867043557345</v>
      </c>
      <c r="AM118" s="146">
        <v>0.30778347798280364</v>
      </c>
      <c r="AN118" s="146">
        <v>0.12375017326178082</v>
      </c>
      <c r="AO118" s="146">
        <v>262.51089618102037</v>
      </c>
      <c r="AP118" s="146">
        <v>220.1732510724182</v>
      </c>
      <c r="AQ118" t="s">
        <v>325</v>
      </c>
      <c r="AR118">
        <f t="shared" si="4"/>
        <v>4.8813386259591285</v>
      </c>
      <c r="AS118">
        <f t="shared" si="5"/>
        <v>1.3321822791215501</v>
      </c>
      <c r="AT118">
        <v>0.1</v>
      </c>
      <c r="AU118">
        <v>1</v>
      </c>
      <c r="AV118">
        <v>0.2</v>
      </c>
      <c r="AW118" s="146">
        <v>3</v>
      </c>
      <c r="AX118">
        <v>0.13224799322328734</v>
      </c>
      <c r="AY118">
        <v>0.08</v>
      </c>
      <c r="AZ118" s="209">
        <v>220.1732510724182</v>
      </c>
      <c r="BA118">
        <v>0.13224799322328734</v>
      </c>
      <c r="BB118" s="249">
        <v>65.002280399093948</v>
      </c>
      <c r="BC118" s="243">
        <v>210.57231326756582</v>
      </c>
      <c r="BD118" s="209">
        <v>116721.49490707366</v>
      </c>
      <c r="BE118" s="243">
        <v>82.921297647951846</v>
      </c>
      <c r="BF118">
        <v>329750.53628579224</v>
      </c>
      <c r="BG118" t="s">
        <v>390</v>
      </c>
      <c r="BH118">
        <v>6.0516249937758383E-6</v>
      </c>
      <c r="BI118">
        <v>2367214.9490707368</v>
      </c>
      <c r="BJ118">
        <f t="shared" si="1"/>
        <v>0.13929894132141976</v>
      </c>
    </row>
    <row r="119" spans="1:62" x14ac:dyDescent="0.3">
      <c r="A119">
        <v>-0.7</v>
      </c>
      <c r="B119" s="146">
        <v>1000</v>
      </c>
      <c r="C119" s="146">
        <v>25</v>
      </c>
      <c r="D119" s="146">
        <v>400</v>
      </c>
      <c r="E119" s="252">
        <v>16.092640625332283</v>
      </c>
      <c r="F119" s="146">
        <v>7.0358331056880816</v>
      </c>
      <c r="G119" s="146">
        <v>20.357501782871765</v>
      </c>
      <c r="H119" s="146">
        <v>5.5450759432088166</v>
      </c>
      <c r="I119" s="146"/>
      <c r="J119" s="146">
        <v>0.19878657542490225</v>
      </c>
      <c r="K119" s="146">
        <v>0.08</v>
      </c>
      <c r="L119" s="146">
        <v>112.75196195382756</v>
      </c>
      <c r="M119" s="146">
        <v>62.981341145870978</v>
      </c>
      <c r="N119" s="146">
        <v>1.5102474325742437</v>
      </c>
      <c r="O119" s="146"/>
      <c r="P119" s="146"/>
      <c r="Q119" s="146"/>
      <c r="R119" s="146"/>
      <c r="S119" s="146"/>
      <c r="T119" s="146"/>
      <c r="U119" s="146"/>
      <c r="V119" s="146"/>
      <c r="W119" s="146"/>
      <c r="X119" s="146"/>
      <c r="Y119" s="146"/>
      <c r="Z119" s="146">
        <v>0.27235829554758018</v>
      </c>
      <c r="AA119" s="146"/>
      <c r="AB119" s="146"/>
      <c r="AC119" s="146"/>
      <c r="AD119" s="146"/>
      <c r="AE119" s="146"/>
      <c r="AF119" s="146"/>
      <c r="AG119" s="146"/>
      <c r="AH119" s="146"/>
      <c r="AI119" s="146"/>
      <c r="AJ119" s="146"/>
      <c r="AK119" s="146"/>
      <c r="AL119" s="146">
        <v>943.36385050207298</v>
      </c>
      <c r="AM119" s="146">
        <v>0.34561377819000538</v>
      </c>
      <c r="AN119" s="146">
        <v>9.3716961541092256E-2</v>
      </c>
      <c r="AO119" s="146">
        <v>228.28465241826996</v>
      </c>
      <c r="AP119" s="146">
        <v>188.24013421495147</v>
      </c>
      <c r="AQ119" t="s">
        <v>325</v>
      </c>
      <c r="AR119">
        <f t="shared" si="4"/>
        <v>4.8813386259591285</v>
      </c>
      <c r="AS119">
        <f t="shared" si="5"/>
        <v>1.3321822791215501</v>
      </c>
      <c r="AT119">
        <v>0.1</v>
      </c>
      <c r="AU119">
        <v>1</v>
      </c>
      <c r="AV119">
        <v>0.2</v>
      </c>
      <c r="AW119" s="146">
        <v>3</v>
      </c>
      <c r="AX119">
        <v>0.13333203334675872</v>
      </c>
      <c r="AY119">
        <v>0.08</v>
      </c>
      <c r="AZ119" s="209">
        <v>188.24013421495147</v>
      </c>
      <c r="BA119">
        <v>0.13333203334675872</v>
      </c>
      <c r="BB119" s="249">
        <v>68.278095132136897</v>
      </c>
      <c r="BC119" s="243">
        <v>213.09770818573028</v>
      </c>
      <c r="BD119" s="209">
        <v>119638.30608612693</v>
      </c>
      <c r="BE119" s="243">
        <v>85.68013369244602</v>
      </c>
      <c r="BF119">
        <v>313144.54212719511</v>
      </c>
      <c r="BG119" t="s">
        <v>390</v>
      </c>
      <c r="BH119">
        <v>5.6853456551189147E-6</v>
      </c>
      <c r="BI119">
        <v>2396383.060861269</v>
      </c>
      <c r="BJ119">
        <f t="shared" si="1"/>
        <v>0.13067382558389884</v>
      </c>
    </row>
    <row r="120" spans="1:62" x14ac:dyDescent="0.3">
      <c r="A120">
        <v>-0.8</v>
      </c>
      <c r="B120" s="146">
        <v>1000</v>
      </c>
      <c r="C120" s="146">
        <v>25</v>
      </c>
      <c r="D120" s="146">
        <v>400</v>
      </c>
      <c r="E120" s="252">
        <v>14.310533579865952</v>
      </c>
      <c r="F120" s="146">
        <v>8.2333018214974185</v>
      </c>
      <c r="G120" s="146">
        <v>19.203629823879254</v>
      </c>
      <c r="H120" s="146">
        <v>5.6226825372886609</v>
      </c>
      <c r="I120" s="146"/>
      <c r="J120" s="146">
        <v>0.21148346777266111</v>
      </c>
      <c r="K120" s="146">
        <v>0.08</v>
      </c>
      <c r="L120" s="146">
        <v>114.57396886826416</v>
      </c>
      <c r="M120" s="146">
        <v>63.999083427776988</v>
      </c>
      <c r="N120" s="146">
        <v>1.3986730762090183</v>
      </c>
      <c r="O120" s="146"/>
      <c r="P120" s="146"/>
      <c r="Q120" s="146"/>
      <c r="R120" s="146"/>
      <c r="S120" s="146"/>
      <c r="T120" s="146"/>
      <c r="U120" s="146"/>
      <c r="V120" s="146"/>
      <c r="W120" s="146"/>
      <c r="X120" s="146"/>
      <c r="Y120" s="146"/>
      <c r="Z120" s="146">
        <v>0.24875547693352054</v>
      </c>
      <c r="AA120" s="146"/>
      <c r="AB120" s="146"/>
      <c r="AC120" s="146"/>
      <c r="AD120" s="146"/>
      <c r="AE120" s="146"/>
      <c r="AF120" s="146"/>
      <c r="AG120" s="146"/>
      <c r="AH120" s="146"/>
      <c r="AI120" s="146"/>
      <c r="AJ120" s="146"/>
      <c r="AK120" s="146"/>
      <c r="AL120" s="146">
        <v>837.43826482672591</v>
      </c>
      <c r="AM120" s="146">
        <v>0.42873674909414805</v>
      </c>
      <c r="AN120" s="146">
        <v>6.3240203424443059E-2</v>
      </c>
      <c r="AO120" s="146">
        <v>173.71145560966414</v>
      </c>
      <c r="AP120" s="146">
        <v>138.10172672221677</v>
      </c>
      <c r="AQ120" t="s">
        <v>325</v>
      </c>
      <c r="AR120">
        <f t="shared" si="4"/>
        <v>4.8813386259591285</v>
      </c>
      <c r="AS120">
        <f t="shared" si="5"/>
        <v>1.3321822791215501</v>
      </c>
      <c r="AT120">
        <v>0.1</v>
      </c>
      <c r="AU120">
        <v>1</v>
      </c>
      <c r="AV120">
        <v>0.2</v>
      </c>
      <c r="AW120" s="146">
        <v>3</v>
      </c>
      <c r="AX120">
        <v>0.13713982807414321</v>
      </c>
      <c r="AY120">
        <v>0.08</v>
      </c>
      <c r="AZ120" s="209">
        <v>138.10172672221677</v>
      </c>
      <c r="BA120">
        <v>0.13713982807414321</v>
      </c>
      <c r="BB120" s="249">
        <v>75.081422680934836</v>
      </c>
      <c r="BC120" s="243">
        <v>218.81578603904876</v>
      </c>
      <c r="BD120" s="209">
        <v>126159.62022203546</v>
      </c>
      <c r="BE120" s="243">
        <v>91.762347266787884</v>
      </c>
      <c r="BF120">
        <v>287270.51110041986</v>
      </c>
      <c r="BG120" t="s">
        <v>390</v>
      </c>
      <c r="BH120">
        <v>4.9572067642716546E-6</v>
      </c>
      <c r="BI120">
        <v>2461596.2022203547</v>
      </c>
      <c r="BJ120">
        <f t="shared" si="1"/>
        <v>0.11670090766361374</v>
      </c>
    </row>
    <row r="121" spans="1:62" x14ac:dyDescent="0.3">
      <c r="A121">
        <v>-0.85</v>
      </c>
      <c r="B121" s="146">
        <v>1000</v>
      </c>
      <c r="C121" s="146">
        <v>25</v>
      </c>
      <c r="D121" s="146">
        <v>400</v>
      </c>
      <c r="E121" s="252">
        <v>9.9082695271853449</v>
      </c>
      <c r="F121" s="146">
        <v>4.8706004639327327</v>
      </c>
      <c r="G121" s="146">
        <v>12.775724771727731</v>
      </c>
      <c r="H121" s="146">
        <v>3.6364604346889458</v>
      </c>
      <c r="I121" s="146"/>
      <c r="J121" s="146">
        <v>0.22408187314173697</v>
      </c>
      <c r="K121" s="146">
        <v>0.08</v>
      </c>
      <c r="L121" s="146">
        <v>74.326358427477942</v>
      </c>
      <c r="M121" s="146">
        <v>41.517448167937268</v>
      </c>
      <c r="N121" s="146">
        <v>1.0218386434052276</v>
      </c>
      <c r="O121" s="146"/>
      <c r="P121" s="146"/>
      <c r="Q121" s="146"/>
      <c r="R121" s="146"/>
      <c r="S121" s="146"/>
      <c r="T121" s="146"/>
      <c r="U121" s="146"/>
      <c r="V121" s="146"/>
      <c r="W121" s="146"/>
      <c r="X121" s="146"/>
      <c r="Y121" s="146"/>
      <c r="Z121" s="146">
        <v>0.2809981468951781</v>
      </c>
      <c r="AA121" s="146"/>
      <c r="AB121" s="146"/>
      <c r="AC121" s="146"/>
      <c r="AD121" s="146"/>
      <c r="AE121" s="146"/>
      <c r="AF121" s="146"/>
      <c r="AG121" s="146"/>
      <c r="AH121" s="146"/>
      <c r="AI121" s="146"/>
      <c r="AJ121" s="146"/>
      <c r="AK121" s="146"/>
      <c r="AL121" s="146">
        <v>681.05749478898917</v>
      </c>
      <c r="AM121" s="146">
        <v>0.38123868124579635</v>
      </c>
      <c r="AN121" s="146">
        <v>4.8284379916215342E-2</v>
      </c>
      <c r="AO121" s="146">
        <v>194.793480948114</v>
      </c>
      <c r="AP121" s="146">
        <v>170.13817308637516</v>
      </c>
      <c r="AQ121" t="s">
        <v>325</v>
      </c>
      <c r="AR121">
        <f t="shared" si="4"/>
        <v>4.8813386259591285</v>
      </c>
      <c r="AS121">
        <f t="shared" si="5"/>
        <v>1.3321822791215501</v>
      </c>
      <c r="AT121">
        <v>0.1</v>
      </c>
      <c r="AU121">
        <v>1</v>
      </c>
      <c r="AV121">
        <v>0.2</v>
      </c>
      <c r="AW121" s="146">
        <v>3</v>
      </c>
      <c r="AX121">
        <v>0.14405223846070053</v>
      </c>
      <c r="AY121">
        <v>0.08</v>
      </c>
      <c r="AZ121" s="209">
        <v>170.13817308637516</v>
      </c>
      <c r="BA121">
        <v>0.14405223846070053</v>
      </c>
      <c r="BB121" s="249">
        <v>46.040125394411263</v>
      </c>
      <c r="BC121" s="243">
        <v>118.21691802046546</v>
      </c>
      <c r="BD121" s="209">
        <v>62528.429170770389</v>
      </c>
      <c r="BE121" s="243">
        <v>54.645087009942799</v>
      </c>
      <c r="BF121">
        <v>659113.6928144712</v>
      </c>
      <c r="BG121" t="s">
        <v>390</v>
      </c>
      <c r="BH121">
        <v>3.6643901649484549E-6</v>
      </c>
      <c r="BI121">
        <v>1825284.2917077038</v>
      </c>
      <c r="BJ121">
        <f t="shared" si="1"/>
        <v>0.36110193672779378</v>
      </c>
    </row>
    <row r="122" spans="1:62" s="160" customFormat="1" ht="15" thickBot="1" x14ac:dyDescent="0.35">
      <c r="A122" s="160">
        <v>-0.87</v>
      </c>
      <c r="B122" s="160">
        <v>1000</v>
      </c>
      <c r="C122" s="160">
        <v>25</v>
      </c>
      <c r="D122" s="160">
        <v>400</v>
      </c>
      <c r="E122" s="250">
        <v>3.4955512572780614</v>
      </c>
      <c r="F122" s="160">
        <v>1.0817146990425659</v>
      </c>
      <c r="G122" s="160">
        <v>4.1457054462673453</v>
      </c>
      <c r="H122" s="160">
        <v>1.0691703418035132</v>
      </c>
      <c r="J122" s="160">
        <v>0.24531576535121413</v>
      </c>
      <c r="K122" s="160">
        <v>0.08</v>
      </c>
      <c r="L122" s="160">
        <v>21.847894991974403</v>
      </c>
      <c r="M122" s="160">
        <v>12.203865050012951</v>
      </c>
      <c r="N122" s="160">
        <v>0.3822327557306</v>
      </c>
      <c r="Z122" s="160">
        <v>0.3575040765588734</v>
      </c>
      <c r="AL122" s="160">
        <v>499.31553381646881</v>
      </c>
      <c r="AM122" s="160">
        <v>0.26092415707355804</v>
      </c>
      <c r="AN122" s="160">
        <v>4.2063045724578432E-2</v>
      </c>
      <c r="AO122" s="160">
        <v>316.897333584298</v>
      </c>
      <c r="AP122" s="160">
        <v>308.19915595116873</v>
      </c>
      <c r="AQ122" s="160" t="s">
        <v>325</v>
      </c>
      <c r="AR122" s="160">
        <f t="shared" si="4"/>
        <v>4.8813386259591285</v>
      </c>
      <c r="AS122" s="160">
        <f t="shared" si="5"/>
        <v>1.3321822791215501</v>
      </c>
      <c r="AT122" s="160">
        <v>0.1</v>
      </c>
      <c r="AU122" s="160">
        <v>1</v>
      </c>
      <c r="AV122" s="160">
        <v>0.2</v>
      </c>
      <c r="AW122" s="146">
        <v>3</v>
      </c>
      <c r="AX122" s="160">
        <v>0.16737660325577136</v>
      </c>
      <c r="AY122" s="160">
        <v>0.08</v>
      </c>
      <c r="AZ122" s="248">
        <v>308.19915595116873</v>
      </c>
      <c r="BA122" s="160">
        <v>0.16737660325577136</v>
      </c>
      <c r="BB122" s="250">
        <v>11.625193736191891</v>
      </c>
      <c r="BC122" s="246">
        <v>30.004810373552644</v>
      </c>
      <c r="BD122" s="248">
        <v>12198.754296960633</v>
      </c>
      <c r="BE122" s="246">
        <v>13.713925413647818</v>
      </c>
      <c r="BF122" s="160">
        <v>834110.55463861779</v>
      </c>
      <c r="BG122" t="s">
        <v>390</v>
      </c>
      <c r="BH122" s="160">
        <v>1.2407042372326262E-6</v>
      </c>
      <c r="BI122" s="160">
        <v>1321987.5429696064</v>
      </c>
      <c r="BJ122">
        <f t="shared" si="1"/>
        <v>0.63095190198611029</v>
      </c>
    </row>
    <row r="123" spans="1:62" x14ac:dyDescent="0.3">
      <c r="A123">
        <v>-0.1</v>
      </c>
      <c r="B123" s="146">
        <v>100</v>
      </c>
      <c r="C123" s="146">
        <v>25</v>
      </c>
      <c r="D123" s="146">
        <v>400</v>
      </c>
      <c r="E123" s="249">
        <v>3.1127877074037436</v>
      </c>
      <c r="F123">
        <v>0.38526775266080859</v>
      </c>
      <c r="G123">
        <v>3.5077539616732523</v>
      </c>
      <c r="H123">
        <v>4.2990824559767589</v>
      </c>
      <c r="J123">
        <v>0.91274990869527328</v>
      </c>
      <c r="K123">
        <v>0.36</v>
      </c>
      <c r="L123">
        <v>21.648662918036344</v>
      </c>
      <c r="M123">
        <v>7.9851625517347173</v>
      </c>
      <c r="N123">
        <v>1.2814390109973024</v>
      </c>
      <c r="Z123">
        <v>0.29807267576731261</v>
      </c>
      <c r="AL123">
        <v>1015.2760173581283</v>
      </c>
      <c r="AM123">
        <v>0.1098331744102799</v>
      </c>
      <c r="AN123">
        <v>0.17588671854729823</v>
      </c>
      <c r="AO123">
        <v>382.30231518835984</v>
      </c>
      <c r="AP123">
        <v>374.55651185947744</v>
      </c>
      <c r="AQ123" t="s">
        <v>303</v>
      </c>
      <c r="AR123">
        <f t="shared" ref="AR123:AR162" si="6">0.6*Jsat_t</f>
        <v>19.525354503836514</v>
      </c>
      <c r="AS123">
        <f t="shared" ref="AS123:AS162" si="7">0.2*Jatp</f>
        <v>5.3287291164862003</v>
      </c>
      <c r="AT123">
        <v>0.4</v>
      </c>
      <c r="AU123">
        <v>1</v>
      </c>
      <c r="AV123">
        <v>0.5</v>
      </c>
      <c r="AW123">
        <v>3</v>
      </c>
      <c r="AX123">
        <v>0.86954306927227554</v>
      </c>
      <c r="AY123">
        <v>0.36</v>
      </c>
      <c r="AZ123" s="209">
        <v>374.55651185947744</v>
      </c>
      <c r="BA123">
        <v>0.86954306927227554</v>
      </c>
      <c r="BB123" s="249">
        <v>6.0071645732340846</v>
      </c>
      <c r="BC123" s="243">
        <v>70.52721376555327</v>
      </c>
      <c r="BD123" s="209">
        <v>24011.931330928306</v>
      </c>
      <c r="BE123" s="243">
        <v>10.405737410088324</v>
      </c>
      <c r="BF123">
        <v>16643.089779121074</v>
      </c>
      <c r="BG123" t="s">
        <v>387</v>
      </c>
      <c r="BH123">
        <v>1.9314532319002045E-6</v>
      </c>
      <c r="BI123">
        <v>1440119.313309283</v>
      </c>
      <c r="BJ123">
        <f t="shared" si="1"/>
        <v>1.1556743684574674E-2</v>
      </c>
    </row>
    <row r="124" spans="1:62" s="146" customFormat="1" x14ac:dyDescent="0.3">
      <c r="A124">
        <v>-0.1</v>
      </c>
      <c r="B124" s="146">
        <v>200</v>
      </c>
      <c r="C124" s="146">
        <v>25</v>
      </c>
      <c r="D124" s="146">
        <v>400</v>
      </c>
      <c r="E124" s="252">
        <v>5.9268927863369871</v>
      </c>
      <c r="F124" s="146">
        <v>0.58722529565804016</v>
      </c>
      <c r="G124" s="146">
        <v>6.5147268055750374</v>
      </c>
      <c r="H124" s="146">
        <v>7.9438316953668826</v>
      </c>
      <c r="J124" s="146">
        <v>0.97928218645982801</v>
      </c>
      <c r="K124" s="146">
        <v>0.36</v>
      </c>
      <c r="L124" s="146">
        <v>40.097571424977453</v>
      </c>
      <c r="M124" s="146">
        <v>14.790087820688404</v>
      </c>
      <c r="N124" s="146">
        <v>1.9454072842430383</v>
      </c>
      <c r="Z124" s="146">
        <v>0.24489532996748498</v>
      </c>
      <c r="AL124" s="146">
        <v>1328.20642519017</v>
      </c>
      <c r="AM124" s="146">
        <v>9.013813060518773E-2</v>
      </c>
      <c r="AN124" s="146">
        <v>0.19923028019951231</v>
      </c>
      <c r="AO124" s="146">
        <v>370.25104426695731</v>
      </c>
      <c r="AP124" s="146">
        <v>355.50278306865096</v>
      </c>
      <c r="AQ124" s="146" t="s">
        <v>303</v>
      </c>
      <c r="AR124" s="146">
        <f t="shared" si="6"/>
        <v>19.525354503836514</v>
      </c>
      <c r="AS124" s="146">
        <f t="shared" si="7"/>
        <v>5.3287291164862003</v>
      </c>
      <c r="AT124" s="146">
        <v>0.4</v>
      </c>
      <c r="AU124" s="146">
        <v>1</v>
      </c>
      <c r="AV124" s="146">
        <v>0.5</v>
      </c>
      <c r="AW124">
        <v>3</v>
      </c>
      <c r="AX124" s="146">
        <v>0.96991841732132944</v>
      </c>
      <c r="AY124" s="146">
        <v>0.36</v>
      </c>
      <c r="AZ124" s="209">
        <v>355.50278306865096</v>
      </c>
      <c r="BA124" s="146">
        <v>0.96991841732132944</v>
      </c>
      <c r="BB124" s="252">
        <v>10.066287247889772</v>
      </c>
      <c r="BC124" s="244">
        <v>102.57331827876276</v>
      </c>
      <c r="BD124" s="229">
        <v>37588.055402549733</v>
      </c>
      <c r="BE124" s="244">
        <v>15.115230284849217</v>
      </c>
      <c r="BF124" s="146">
        <v>47026.980531871435</v>
      </c>
      <c r="BG124" t="s">
        <v>387</v>
      </c>
      <c r="BH124" s="146">
        <v>3.4384986429305683E-6</v>
      </c>
      <c r="BI124" s="146">
        <v>1575880.5540254973</v>
      </c>
      <c r="BJ124">
        <f t="shared" si="1"/>
        <v>2.9841716373581541E-2</v>
      </c>
    </row>
    <row r="125" spans="1:62" s="146" customFormat="1" x14ac:dyDescent="0.3">
      <c r="A125">
        <v>-0.1</v>
      </c>
      <c r="B125" s="146">
        <v>300</v>
      </c>
      <c r="C125" s="146">
        <v>25</v>
      </c>
      <c r="D125" s="146">
        <v>400</v>
      </c>
      <c r="E125" s="252">
        <v>8.4196852364485668</v>
      </c>
      <c r="F125" s="146">
        <v>0.73134576470381318</v>
      </c>
      <c r="G125" s="146">
        <v>9.1463312320736279</v>
      </c>
      <c r="H125" s="146">
        <v>11.147447009543161</v>
      </c>
      <c r="J125" s="146">
        <v>0.9999999992867683</v>
      </c>
      <c r="K125" s="146">
        <v>0.36</v>
      </c>
      <c r="L125" s="146">
        <v>56.370671221836538</v>
      </c>
      <c r="M125" s="146">
        <v>20.792460696579052</v>
      </c>
      <c r="N125" s="146">
        <v>2.5472752198051829</v>
      </c>
      <c r="Z125" s="146">
        <v>0.22850749751261426</v>
      </c>
      <c r="AL125" s="146">
        <v>1613.1121129173887</v>
      </c>
      <c r="AM125" s="146">
        <v>7.9960559720293964E-2</v>
      </c>
      <c r="AN125" s="146">
        <v>0.21275633626647797</v>
      </c>
      <c r="AO125" s="146">
        <v>360.42568985629231</v>
      </c>
      <c r="AP125" s="146">
        <v>339.47450301479773</v>
      </c>
      <c r="AQ125" s="146" t="s">
        <v>303</v>
      </c>
      <c r="AR125" s="146">
        <f t="shared" si="6"/>
        <v>19.525354503836514</v>
      </c>
      <c r="AS125" s="146">
        <f t="shared" si="7"/>
        <v>5.3287291164862003</v>
      </c>
      <c r="AT125" s="146">
        <v>0.4</v>
      </c>
      <c r="AU125" s="146">
        <v>1</v>
      </c>
      <c r="AV125" s="146">
        <v>0.5</v>
      </c>
      <c r="AW125">
        <v>3</v>
      </c>
      <c r="AX125" s="146">
        <v>0.99999999900000003</v>
      </c>
      <c r="AY125" s="146">
        <v>0.36</v>
      </c>
      <c r="AZ125" s="209">
        <v>339.47450301479773</v>
      </c>
      <c r="BA125" s="146">
        <v>0.99999999900000003</v>
      </c>
      <c r="BB125" s="252">
        <v>13.339496674019024</v>
      </c>
      <c r="BC125" s="244">
        <v>125.47052883890838</v>
      </c>
      <c r="BD125" s="229">
        <v>48297.431060297713</v>
      </c>
      <c r="BE125" s="244">
        <v>18.918716470352862</v>
      </c>
      <c r="BF125" s="146">
        <v>82494.758388420276</v>
      </c>
      <c r="BG125" t="s">
        <v>387</v>
      </c>
      <c r="BH125" s="146">
        <v>4.5472866161977545E-6</v>
      </c>
      <c r="BI125" s="146">
        <v>1682974.3106029772</v>
      </c>
      <c r="BJ125">
        <f t="shared" si="1"/>
        <v>4.9017241599406229E-2</v>
      </c>
    </row>
    <row r="126" spans="1:62" s="146" customFormat="1" x14ac:dyDescent="0.3">
      <c r="A126">
        <v>-0.1</v>
      </c>
      <c r="B126" s="146">
        <v>400</v>
      </c>
      <c r="C126" s="146">
        <v>25</v>
      </c>
      <c r="D126" s="146">
        <v>400</v>
      </c>
      <c r="E126" s="252">
        <v>10.647713753494024</v>
      </c>
      <c r="F126" s="146">
        <v>0.84210959185125123</v>
      </c>
      <c r="G126" s="146">
        <v>11.483386014560075</v>
      </c>
      <c r="H126" s="146">
        <v>14.001633961717115</v>
      </c>
      <c r="J126" s="146">
        <v>0.9999999992613231</v>
      </c>
      <c r="K126" s="146">
        <v>0.36</v>
      </c>
      <c r="L126" s="146">
        <v>70.910898709252223</v>
      </c>
      <c r="M126" s="146">
        <v>26.155659359970084</v>
      </c>
      <c r="N126" s="146">
        <v>3.1466114797331635</v>
      </c>
      <c r="Z126" s="146">
        <v>0.22473173404879335</v>
      </c>
      <c r="AL126" s="146">
        <v>1898.8472321299732</v>
      </c>
      <c r="AM126" s="146">
        <v>7.3332864608358472E-2</v>
      </c>
      <c r="AN126" s="146">
        <v>0.22199781671323798</v>
      </c>
      <c r="AO126" s="146">
        <v>352.03685373515168</v>
      </c>
      <c r="AP126" s="146">
        <v>325.54149226339149</v>
      </c>
      <c r="AQ126" s="146" t="s">
        <v>303</v>
      </c>
      <c r="AR126" s="146">
        <f t="shared" si="6"/>
        <v>19.525354503836514</v>
      </c>
      <c r="AS126" s="146">
        <f t="shared" si="7"/>
        <v>5.3287291164862003</v>
      </c>
      <c r="AT126" s="146">
        <v>0.4</v>
      </c>
      <c r="AU126" s="146">
        <v>1</v>
      </c>
      <c r="AV126" s="146">
        <v>0.5</v>
      </c>
      <c r="AW126">
        <v>3</v>
      </c>
      <c r="AX126" s="146">
        <v>0.99999999900000003</v>
      </c>
      <c r="AY126" s="146">
        <v>0.36</v>
      </c>
      <c r="AZ126" s="209">
        <v>325.54149226339149</v>
      </c>
      <c r="BA126" s="146">
        <v>0.99999999900000003</v>
      </c>
      <c r="BB126" s="252">
        <v>16.136645444160642</v>
      </c>
      <c r="BC126" s="244">
        <v>143.52229965664409</v>
      </c>
      <c r="BD126" s="229">
        <v>57372.773874863393</v>
      </c>
      <c r="BE126" s="244">
        <v>22.324686399525927</v>
      </c>
      <c r="BF126" s="146">
        <v>120441.85231367966</v>
      </c>
      <c r="BG126" t="s">
        <v>387</v>
      </c>
      <c r="BH126" s="146">
        <v>5.3916363591327483E-6</v>
      </c>
      <c r="BI126" s="146">
        <v>1773727.7387486338</v>
      </c>
      <c r="BJ126">
        <f t="shared" si="1"/>
        <v>6.7903235475502838E-2</v>
      </c>
    </row>
    <row r="127" spans="1:62" s="146" customFormat="1" x14ac:dyDescent="0.3">
      <c r="A127">
        <v>-0.1</v>
      </c>
      <c r="B127" s="146">
        <v>600</v>
      </c>
      <c r="C127" s="146">
        <v>25</v>
      </c>
      <c r="D127" s="146">
        <v>400</v>
      </c>
      <c r="E127" s="252">
        <v>14.434019887868264</v>
      </c>
      <c r="F127" s="146">
        <v>1.0106379246391475</v>
      </c>
      <c r="G127" s="146">
        <v>15.435770207992661</v>
      </c>
      <c r="H127" s="146">
        <v>18.863086219250331</v>
      </c>
      <c r="J127" s="146">
        <v>0.99999999922840799</v>
      </c>
      <c r="K127" s="146">
        <v>0.36</v>
      </c>
      <c r="L127" s="146">
        <v>95.769366299153475</v>
      </c>
      <c r="M127" s="146">
        <v>35.324766257884484</v>
      </c>
      <c r="N127" s="146">
        <v>4.1808506576917299</v>
      </c>
      <c r="Z127" s="146">
        <v>0.22164192057952053</v>
      </c>
      <c r="AL127" s="146">
        <v>2392.81809963871</v>
      </c>
      <c r="AM127" s="146">
        <v>6.5473760688393626E-2</v>
      </c>
      <c r="AN127" s="146">
        <v>0.23397573859556448</v>
      </c>
      <c r="AO127" s="146">
        <v>338.30975820609336</v>
      </c>
      <c r="AP127" s="146">
        <v>302.39277079284489</v>
      </c>
      <c r="AQ127" s="146" t="s">
        <v>303</v>
      </c>
      <c r="AR127" s="146">
        <f t="shared" si="6"/>
        <v>19.525354503836514</v>
      </c>
      <c r="AS127" s="146">
        <f t="shared" si="7"/>
        <v>5.3287291164862003</v>
      </c>
      <c r="AT127" s="146">
        <v>0.4</v>
      </c>
      <c r="AU127" s="146">
        <v>1</v>
      </c>
      <c r="AV127" s="146">
        <v>0.5</v>
      </c>
      <c r="AW127">
        <v>3</v>
      </c>
      <c r="AX127" s="146">
        <v>0.99999999900000003</v>
      </c>
      <c r="AY127" s="146">
        <v>0.36</v>
      </c>
      <c r="AZ127" s="209">
        <v>302.39277079284489</v>
      </c>
      <c r="BA127" s="146">
        <v>0.99999999900000003</v>
      </c>
      <c r="BB127" s="252">
        <v>20.726830568761596</v>
      </c>
      <c r="BC127" s="244">
        <v>170.75652918849184</v>
      </c>
      <c r="BD127" s="229">
        <v>71853.319402201916</v>
      </c>
      <c r="BE127" s="244">
        <v>27.816013933437386</v>
      </c>
      <c r="BF127" s="146">
        <v>197686.90881158339</v>
      </c>
      <c r="BG127" t="s">
        <v>387</v>
      </c>
      <c r="BH127" s="146">
        <v>6.5770672709733782E-6</v>
      </c>
      <c r="BI127" s="146">
        <v>1918533.1940220192</v>
      </c>
      <c r="BJ127">
        <f t="shared" si="1"/>
        <v>0.10304065075733818</v>
      </c>
    </row>
    <row r="128" spans="1:62" s="146" customFormat="1" x14ac:dyDescent="0.3">
      <c r="A128">
        <v>-0.1</v>
      </c>
      <c r="B128" s="146">
        <v>800</v>
      </c>
      <c r="C128" s="146">
        <v>25</v>
      </c>
      <c r="D128" s="146">
        <v>400</v>
      </c>
      <c r="E128" s="252">
        <v>17.474915819599349</v>
      </c>
      <c r="F128" s="146">
        <v>1.1331324699105878</v>
      </c>
      <c r="G128" s="146">
        <v>18.596370445769704</v>
      </c>
      <c r="H128" s="146">
        <v>22.784834198310651</v>
      </c>
      <c r="J128" s="146">
        <v>0.99999999920793659</v>
      </c>
      <c r="K128" s="146">
        <v>0.36</v>
      </c>
      <c r="L128" s="146">
        <v>115.91838545285849</v>
      </c>
      <c r="M128" s="146">
        <v>42.75678151949699</v>
      </c>
      <c r="N128" s="146">
        <v>5.032474189120542</v>
      </c>
      <c r="Z128" s="146">
        <v>0.22086946717802614</v>
      </c>
      <c r="AL128" s="146">
        <v>2800.45231834269</v>
      </c>
      <c r="AM128" s="146">
        <v>6.0932990833614649E-2</v>
      </c>
      <c r="AN128" s="146">
        <v>0.24169691385650252</v>
      </c>
      <c r="AO128" s="146">
        <v>327.69905274845854</v>
      </c>
      <c r="AP128" s="146">
        <v>284.21522378241849</v>
      </c>
      <c r="AQ128" s="146" t="s">
        <v>303</v>
      </c>
      <c r="AR128" s="146">
        <f t="shared" si="6"/>
        <v>19.525354503836514</v>
      </c>
      <c r="AS128" s="146">
        <f t="shared" si="7"/>
        <v>5.3287291164862003</v>
      </c>
      <c r="AT128" s="146">
        <v>0.4</v>
      </c>
      <c r="AU128" s="146">
        <v>1</v>
      </c>
      <c r="AV128" s="146">
        <v>0.5</v>
      </c>
      <c r="AW128">
        <v>3</v>
      </c>
      <c r="AX128" s="146">
        <v>0.99999999900000003</v>
      </c>
      <c r="AY128" s="146">
        <v>0.36</v>
      </c>
      <c r="AZ128" s="209">
        <v>284.21522378241849</v>
      </c>
      <c r="BA128" s="146">
        <v>0.99999999900000003</v>
      </c>
      <c r="BB128" s="252">
        <v>24.313365187227678</v>
      </c>
      <c r="BC128" s="244">
        <v>189.95110628936027</v>
      </c>
      <c r="BD128" s="229">
        <v>82616.867069948144</v>
      </c>
      <c r="BE128" s="244">
        <v>32.004250196664209</v>
      </c>
      <c r="BF128" s="146">
        <v>271087.99121352885</v>
      </c>
      <c r="BG128" t="s">
        <v>387</v>
      </c>
      <c r="BH128" s="146">
        <v>7.3517935709977284E-6</v>
      </c>
      <c r="BI128" s="146">
        <v>2026168.6706994814</v>
      </c>
      <c r="BJ128">
        <f t="shared" si="1"/>
        <v>0.13379339792078754</v>
      </c>
    </row>
    <row r="129" spans="1:62" s="146" customFormat="1" x14ac:dyDescent="0.3">
      <c r="A129">
        <v>-0.1</v>
      </c>
      <c r="B129" s="146">
        <v>1000</v>
      </c>
      <c r="C129" s="146">
        <v>25</v>
      </c>
      <c r="D129" s="146">
        <v>400</v>
      </c>
      <c r="E129" s="252">
        <v>19.899984629758801</v>
      </c>
      <c r="F129" s="146">
        <v>1.2241658810833336</v>
      </c>
      <c r="G129" s="146">
        <v>21.108964388948841</v>
      </c>
      <c r="H129" s="146">
        <v>25.927287279512818</v>
      </c>
      <c r="J129" s="146">
        <v>0.99999999919405813</v>
      </c>
      <c r="K129" s="146">
        <v>0.36</v>
      </c>
      <c r="L129" s="146">
        <v>132.13906298749714</v>
      </c>
      <c r="M129" s="146">
        <v>48.739818315060425</v>
      </c>
      <c r="N129" s="146">
        <v>5.7288542470211929</v>
      </c>
      <c r="Z129" s="146">
        <v>0.22095848999783366</v>
      </c>
      <c r="AL129" s="146">
        <v>3134.4083625118888</v>
      </c>
      <c r="AM129" s="146">
        <v>5.7992701987986686E-2</v>
      </c>
      <c r="AN129" s="146">
        <v>0.24720325027001747</v>
      </c>
      <c r="AO129" s="146">
        <v>319.49950250240533</v>
      </c>
      <c r="AP129" s="146">
        <v>269.98123900129627</v>
      </c>
      <c r="AQ129" s="146" t="s">
        <v>303</v>
      </c>
      <c r="AR129" s="146">
        <f t="shared" si="6"/>
        <v>19.525354503836514</v>
      </c>
      <c r="AS129" s="146">
        <f t="shared" si="7"/>
        <v>5.3287291164862003</v>
      </c>
      <c r="AT129" s="146">
        <v>0.4</v>
      </c>
      <c r="AU129" s="146">
        <v>1</v>
      </c>
      <c r="AV129" s="146">
        <v>0.5</v>
      </c>
      <c r="AW129">
        <v>3</v>
      </c>
      <c r="AX129" s="146">
        <v>0.99999999900000003</v>
      </c>
      <c r="AY129" s="146">
        <v>0.36</v>
      </c>
      <c r="AZ129" s="209">
        <v>269.98123900129627</v>
      </c>
      <c r="BA129" s="146">
        <v>0.99999999900000003</v>
      </c>
      <c r="BB129" s="252">
        <v>27.125476418816433</v>
      </c>
      <c r="BC129" s="244">
        <v>203.54969306501246</v>
      </c>
      <c r="BD129" s="229">
        <v>90551.819459743492</v>
      </c>
      <c r="BE129" s="244">
        <v>35.209034394336427</v>
      </c>
      <c r="BF129" s="146">
        <v>336700.94083777047</v>
      </c>
      <c r="BG129" t="s">
        <v>387</v>
      </c>
      <c r="BH129" s="146">
        <v>7.8839828161105257E-6</v>
      </c>
      <c r="BI129" s="146">
        <v>2105518.1945974352</v>
      </c>
      <c r="BJ129">
        <f t="shared" si="1"/>
        <v>0.15991357457832181</v>
      </c>
    </row>
    <row r="130" spans="1:62" s="146" customFormat="1" x14ac:dyDescent="0.3">
      <c r="A130">
        <v>-0.1</v>
      </c>
      <c r="B130" s="146">
        <v>1300</v>
      </c>
      <c r="C130" s="146">
        <v>25</v>
      </c>
      <c r="D130" s="146">
        <v>400</v>
      </c>
      <c r="E130" s="252">
        <v>22.625108317046259</v>
      </c>
      <c r="F130" s="146">
        <v>1.3199260911949819</v>
      </c>
      <c r="G130" s="146">
        <v>23.923833384603093</v>
      </c>
      <c r="H130" s="146">
        <v>29.478292475518188</v>
      </c>
      <c r="J130" s="146">
        <v>0.99999999918021532</v>
      </c>
      <c r="K130" s="146">
        <v>0.36</v>
      </c>
      <c r="L130" s="146">
        <v>150.57216112100014</v>
      </c>
      <c r="M130" s="146">
        <v>55.538911888893502</v>
      </c>
      <c r="N130" s="146">
        <v>6.5338031546579813</v>
      </c>
      <c r="Z130" s="146">
        <v>0.22164795196615694</v>
      </c>
      <c r="AL130" s="146">
        <v>3521.1874475300983</v>
      </c>
      <c r="AM130" s="146">
        <v>5.5172014868004403E-2</v>
      </c>
      <c r="AN130" s="146">
        <v>0.2530353988172987</v>
      </c>
      <c r="AO130" s="146">
        <v>310.58520498397752</v>
      </c>
      <c r="AP130" s="146">
        <v>254.28587020110774</v>
      </c>
      <c r="AQ130" s="146" t="s">
        <v>303</v>
      </c>
      <c r="AR130" s="146">
        <f t="shared" si="6"/>
        <v>19.525354503836514</v>
      </c>
      <c r="AS130" s="146">
        <f t="shared" si="7"/>
        <v>5.3287291164862003</v>
      </c>
      <c r="AT130" s="146">
        <v>0.4</v>
      </c>
      <c r="AU130" s="146">
        <v>1</v>
      </c>
      <c r="AV130" s="146">
        <v>0.5</v>
      </c>
      <c r="AW130">
        <v>3</v>
      </c>
      <c r="AX130" s="146">
        <v>0.99999999900000003</v>
      </c>
      <c r="AY130" s="146">
        <v>0.36</v>
      </c>
      <c r="AZ130" s="209">
        <v>254.28587020110774</v>
      </c>
      <c r="BA130" s="146">
        <v>0.99999999900000003</v>
      </c>
      <c r="BB130" s="252">
        <v>30.24111208436797</v>
      </c>
      <c r="BC130" s="244">
        <v>216.84332476431084</v>
      </c>
      <c r="BD130" s="229">
        <v>98632.796945378112</v>
      </c>
      <c r="BE130" s="244">
        <v>38.661484019426922</v>
      </c>
      <c r="BF130" s="146">
        <v>417561.82362693083</v>
      </c>
      <c r="BG130" t="s">
        <v>387</v>
      </c>
      <c r="BH130" s="146">
        <v>8.4141303646147681E-6</v>
      </c>
      <c r="BI130" s="146">
        <v>2186327.9694537809</v>
      </c>
      <c r="BJ130">
        <f t="shared" si="1"/>
        <v>0.19098773352437692</v>
      </c>
    </row>
    <row r="131" spans="1:62" s="146" customFormat="1" x14ac:dyDescent="0.3">
      <c r="A131">
        <v>-0.1</v>
      </c>
      <c r="B131" s="227">
        <v>1600</v>
      </c>
      <c r="C131" s="146">
        <v>25</v>
      </c>
      <c r="D131" s="146">
        <v>400</v>
      </c>
      <c r="E131" s="252">
        <v>24.546878833018358</v>
      </c>
      <c r="F131" s="146">
        <v>1.3833095369146726</v>
      </c>
      <c r="G131" s="146">
        <v>25.902995705405228</v>
      </c>
      <c r="H131" s="146">
        <v>31.997607078996214</v>
      </c>
      <c r="J131" s="146">
        <v>0.99999999917121474</v>
      </c>
      <c r="K131" s="146">
        <v>0.36</v>
      </c>
      <c r="L131" s="146">
        <v>163.73601292504449</v>
      </c>
      <c r="M131" s="146">
        <v>60.394430996942639</v>
      </c>
      <c r="N131" s="146">
        <v>7.1184972015387302</v>
      </c>
      <c r="Z131" s="146">
        <v>0.22246967355916547</v>
      </c>
      <c r="AL131" s="146">
        <v>3802.6768808811553</v>
      </c>
      <c r="AM131" s="146">
        <v>5.3403457756278541E-2</v>
      </c>
      <c r="AN131" s="146">
        <v>0.25706139666730848</v>
      </c>
      <c r="AO131" s="146">
        <v>304.50966519571517</v>
      </c>
      <c r="AP131" s="146">
        <v>243.42828011178506</v>
      </c>
      <c r="AQ131" s="146" t="s">
        <v>303</v>
      </c>
      <c r="AR131" s="146">
        <f t="shared" si="6"/>
        <v>19.525354503836514</v>
      </c>
      <c r="AS131" s="146">
        <f t="shared" si="7"/>
        <v>5.3287291164862003</v>
      </c>
      <c r="AT131" s="146">
        <v>0.4</v>
      </c>
      <c r="AU131" s="146">
        <v>1</v>
      </c>
      <c r="AV131" s="146">
        <v>0.5</v>
      </c>
      <c r="AW131">
        <v>3</v>
      </c>
      <c r="AX131" s="146">
        <v>0.99999999899999992</v>
      </c>
      <c r="AY131" s="146">
        <v>0.36</v>
      </c>
      <c r="AZ131" s="209">
        <v>243.42828011178506</v>
      </c>
      <c r="BA131" s="146">
        <v>0.99999999899999992</v>
      </c>
      <c r="BB131" s="252">
        <v>32.411365596510784</v>
      </c>
      <c r="BC131" s="244">
        <v>224.78912863905339</v>
      </c>
      <c r="BD131" s="229">
        <v>103694.30130802085</v>
      </c>
      <c r="BE131" s="244">
        <v>40.995712932760469</v>
      </c>
      <c r="BF131" s="146">
        <v>478730.19171168981</v>
      </c>
      <c r="BG131" t="s">
        <v>387</v>
      </c>
      <c r="BH131" s="146">
        <v>8.7567004480877783E-6</v>
      </c>
      <c r="BI131" s="146">
        <v>2236943.0130802086</v>
      </c>
      <c r="BJ131">
        <f t="shared" si="1"/>
        <v>0.21401090189261979</v>
      </c>
    </row>
    <row r="132" spans="1:62" s="140" customFormat="1" x14ac:dyDescent="0.3">
      <c r="A132" s="140">
        <v>-0.1</v>
      </c>
      <c r="B132" s="140">
        <v>1900</v>
      </c>
      <c r="C132" s="140">
        <v>25</v>
      </c>
      <c r="D132" s="140">
        <v>400</v>
      </c>
      <c r="E132" s="253">
        <v>25.92275443977422</v>
      </c>
      <c r="F132" s="140">
        <v>1.4265296203493396</v>
      </c>
      <c r="G132" s="140">
        <v>27.316673054326444</v>
      </c>
      <c r="H132" s="140">
        <v>33.81019508477798</v>
      </c>
      <c r="J132" s="140">
        <v>0.99999999916502491</v>
      </c>
      <c r="K132" s="140">
        <v>0.36</v>
      </c>
      <c r="L132" s="140">
        <v>173.26403597456837</v>
      </c>
      <c r="M132" s="140">
        <v>63.9088657283244</v>
      </c>
      <c r="N132" s="140">
        <v>7.5471137505757504</v>
      </c>
      <c r="Z132" s="140">
        <v>0.223220059264716</v>
      </c>
      <c r="AL132" s="140">
        <v>4009.3302703422091</v>
      </c>
      <c r="AM132" s="140">
        <v>5.2221938502990735E-2</v>
      </c>
      <c r="AN132" s="140">
        <v>0.25995138560256198</v>
      </c>
      <c r="AO132" s="140">
        <v>300.27845252801478</v>
      </c>
      <c r="AP132" s="140">
        <v>235.77339505433679</v>
      </c>
      <c r="AQ132" s="140" t="s">
        <v>303</v>
      </c>
      <c r="AR132" s="140">
        <f t="shared" si="6"/>
        <v>19.525354503836514</v>
      </c>
      <c r="AS132" s="140">
        <f t="shared" si="7"/>
        <v>5.3287291164862003</v>
      </c>
      <c r="AT132" s="140">
        <v>0.4</v>
      </c>
      <c r="AU132" s="140">
        <v>1</v>
      </c>
      <c r="AV132" s="140">
        <v>0.5</v>
      </c>
      <c r="AW132">
        <v>3</v>
      </c>
      <c r="AX132" s="140">
        <v>0.99999999900000003</v>
      </c>
      <c r="AY132" s="140">
        <v>0.36</v>
      </c>
      <c r="AZ132" s="209">
        <v>235.77339505433679</v>
      </c>
      <c r="BA132" s="140">
        <v>0.99999999900000003</v>
      </c>
      <c r="BB132" s="253">
        <v>33.951542809076969</v>
      </c>
      <c r="BC132" s="245">
        <v>229.64850999307356</v>
      </c>
      <c r="BD132" s="210">
        <v>106936.01504898428</v>
      </c>
      <c r="BE132" s="245">
        <v>42.613011757947071</v>
      </c>
      <c r="BF132" s="140">
        <v>524338.52231013158</v>
      </c>
      <c r="BG132" t="s">
        <v>387</v>
      </c>
      <c r="BH132" s="140">
        <v>8.9914218878971225E-6</v>
      </c>
      <c r="BI132" s="140">
        <v>2269360.1504898425</v>
      </c>
      <c r="BJ132">
        <f t="shared" ref="BJ132:BJ195" si="8">BF132/BI132</f>
        <v>0.23105126006418719</v>
      </c>
    </row>
    <row r="133" spans="1:62" s="146" customFormat="1" x14ac:dyDescent="0.3">
      <c r="A133">
        <v>-0.1</v>
      </c>
      <c r="B133" s="146">
        <v>1000</v>
      </c>
      <c r="C133" s="146">
        <v>25</v>
      </c>
      <c r="D133" s="146">
        <v>200</v>
      </c>
      <c r="E133" s="252">
        <v>19.890924030925369</v>
      </c>
      <c r="F133" s="146">
        <v>1.3499043608790937</v>
      </c>
      <c r="G133" s="146">
        <v>21.174802942326064</v>
      </c>
      <c r="H133" s="146">
        <v>25.753897215252817</v>
      </c>
      <c r="J133" s="146">
        <v>0.99999999917671201</v>
      </c>
      <c r="K133" s="146">
        <v>0.36</v>
      </c>
      <c r="L133" s="146">
        <v>133.86573232876722</v>
      </c>
      <c r="M133" s="146">
        <v>49.376704547496104</v>
      </c>
      <c r="N133" s="146">
        <v>5.5585098212057602</v>
      </c>
      <c r="Z133" s="146">
        <v>0.21583179333004859</v>
      </c>
      <c r="AL133" s="146">
        <v>2851.0982176903781</v>
      </c>
      <c r="AM133" s="146">
        <v>6.3750504056913126E-2</v>
      </c>
      <c r="AN133" s="146">
        <v>0.25286904464186832</v>
      </c>
      <c r="AO133" s="146">
        <v>121.33903120053166</v>
      </c>
      <c r="AP133" s="146">
        <v>71.84330708749907</v>
      </c>
      <c r="AQ133" s="146" t="s">
        <v>303</v>
      </c>
      <c r="AR133" s="146">
        <f t="shared" si="6"/>
        <v>19.525354503836514</v>
      </c>
      <c r="AS133" s="146">
        <f t="shared" si="7"/>
        <v>5.3287291164862003</v>
      </c>
      <c r="AT133" s="146">
        <v>0.4</v>
      </c>
      <c r="AU133" s="146">
        <v>1</v>
      </c>
      <c r="AV133" s="146">
        <v>0.5</v>
      </c>
      <c r="AW133">
        <v>3</v>
      </c>
      <c r="AX133" s="146">
        <v>0.99999999900000003</v>
      </c>
      <c r="AY133" s="146">
        <v>0.36</v>
      </c>
      <c r="AZ133" s="209">
        <v>71.84330708749907</v>
      </c>
      <c r="BA133" s="146">
        <v>0.99999999900000003</v>
      </c>
      <c r="BB133" s="252">
        <v>27.80949850947761</v>
      </c>
      <c r="BC133" s="244">
        <v>207.83361810550687</v>
      </c>
      <c r="BD133" s="229">
        <v>92755.896620164232</v>
      </c>
      <c r="BE133" s="244">
        <v>35.737074278952967</v>
      </c>
      <c r="BF133" s="146">
        <v>342144.05361428583</v>
      </c>
      <c r="BG133" t="s">
        <v>388</v>
      </c>
      <c r="BH133" s="146">
        <v>7.7893236747857969E-6</v>
      </c>
      <c r="BI133" s="146">
        <v>2127558.9662016425</v>
      </c>
      <c r="BJ133">
        <f t="shared" si="8"/>
        <v>0.16081530949298192</v>
      </c>
    </row>
    <row r="134" spans="1:62" s="146" customFormat="1" x14ac:dyDescent="0.3">
      <c r="A134">
        <v>-0.1</v>
      </c>
      <c r="B134" s="146">
        <v>1000</v>
      </c>
      <c r="C134" s="146">
        <v>25</v>
      </c>
      <c r="D134" s="146">
        <v>300</v>
      </c>
      <c r="E134" s="252">
        <v>19.884297997468646</v>
      </c>
      <c r="F134" s="146">
        <v>1.2639843921746532</v>
      </c>
      <c r="G134" s="146">
        <v>21.115864874234457</v>
      </c>
      <c r="H134" s="146">
        <v>25.914462675492008</v>
      </c>
      <c r="J134" s="146">
        <v>0.99999999919398608</v>
      </c>
      <c r="K134" s="146">
        <v>0.36</v>
      </c>
      <c r="L134" s="146">
        <v>132.53907703643642</v>
      </c>
      <c r="M134" s="146">
        <v>48.887364480652785</v>
      </c>
      <c r="N134" s="146">
        <v>5.7303773423999225</v>
      </c>
      <c r="Z134" s="146">
        <v>0.22112661235377618</v>
      </c>
      <c r="AL134" s="146">
        <v>3035.5685022634893</v>
      </c>
      <c r="AM134" s="146">
        <v>5.9859465842527E-2</v>
      </c>
      <c r="AN134" s="146">
        <v>0.24811660954806658</v>
      </c>
      <c r="AO134" s="146">
        <v>219.85906129506196</v>
      </c>
      <c r="AP134" s="146">
        <v>170.37983106352726</v>
      </c>
      <c r="AQ134" s="146" t="s">
        <v>303</v>
      </c>
      <c r="AR134" s="146">
        <f t="shared" si="6"/>
        <v>19.525354503836514</v>
      </c>
      <c r="AS134" s="146">
        <f t="shared" si="7"/>
        <v>5.3287291164862003</v>
      </c>
      <c r="AT134" s="146">
        <v>0.4</v>
      </c>
      <c r="AU134" s="146">
        <v>1</v>
      </c>
      <c r="AV134" s="146">
        <v>0.5</v>
      </c>
      <c r="AW134">
        <v>3</v>
      </c>
      <c r="AX134" s="146">
        <v>0.99999999900000014</v>
      </c>
      <c r="AY134" s="146">
        <v>0.36</v>
      </c>
      <c r="AZ134" s="209">
        <v>170.37983106352726</v>
      </c>
      <c r="BA134" s="146">
        <v>0.99999999900000014</v>
      </c>
      <c r="BB134" s="252">
        <v>27.328985037336857</v>
      </c>
      <c r="BC134" s="244">
        <v>204.53453591256937</v>
      </c>
      <c r="BD134" s="229">
        <v>91034.539137446685</v>
      </c>
      <c r="BE134" s="244">
        <v>35.295336358823569</v>
      </c>
      <c r="BF134" s="146">
        <v>337621.39419293328</v>
      </c>
      <c r="BG134" t="s">
        <v>388</v>
      </c>
      <c r="BH134" s="146">
        <v>7.8584187102330013E-6</v>
      </c>
      <c r="BI134" s="146">
        <v>2110345.3913744669</v>
      </c>
      <c r="BJ134">
        <f t="shared" si="8"/>
        <v>0.15998395123986819</v>
      </c>
    </row>
    <row r="135" spans="1:62" s="146" customFormat="1" x14ac:dyDescent="0.3">
      <c r="A135">
        <v>-0.1</v>
      </c>
      <c r="B135" s="146">
        <v>1000</v>
      </c>
      <c r="C135" s="146">
        <v>25</v>
      </c>
      <c r="D135" s="146">
        <v>400</v>
      </c>
      <c r="E135" s="252">
        <v>19.89998529546617</v>
      </c>
      <c r="F135" s="146">
        <v>1.2241656342942122</v>
      </c>
      <c r="G135" s="146">
        <v>21.108964979526576</v>
      </c>
      <c r="H135" s="146">
        <v>25.9272896938275</v>
      </c>
      <c r="J135" s="146">
        <v>0.9999999991940578</v>
      </c>
      <c r="K135" s="146">
        <v>0.36</v>
      </c>
      <c r="L135" s="146">
        <v>132.13907535728225</v>
      </c>
      <c r="M135" s="146">
        <v>48.73982287768608</v>
      </c>
      <c r="N135" s="146">
        <v>5.7288559714960456</v>
      </c>
      <c r="Z135" s="146">
        <v>0.22095853593443329</v>
      </c>
      <c r="AL135" s="146">
        <v>3134.4091362342942</v>
      </c>
      <c r="AM135" s="146">
        <v>5.7992688674291762E-2</v>
      </c>
      <c r="AN135" s="146">
        <v>0.24720330879220401</v>
      </c>
      <c r="AO135" s="146">
        <v>319.49951886690218</v>
      </c>
      <c r="AP135" s="146">
        <v>269.98115048627221</v>
      </c>
      <c r="AQ135" s="146" t="s">
        <v>303</v>
      </c>
      <c r="AR135" s="146">
        <f t="shared" si="6"/>
        <v>19.525354503836514</v>
      </c>
      <c r="AS135" s="146">
        <f t="shared" si="7"/>
        <v>5.3287291164862003</v>
      </c>
      <c r="AT135" s="146">
        <v>0.4</v>
      </c>
      <c r="AU135" s="146">
        <v>1</v>
      </c>
      <c r="AV135" s="146">
        <v>0.5</v>
      </c>
      <c r="AW135">
        <v>3</v>
      </c>
      <c r="AX135" s="146">
        <v>0.99999999899999992</v>
      </c>
      <c r="AY135" s="146">
        <v>0.36</v>
      </c>
      <c r="AZ135" s="209">
        <v>269.98115048627221</v>
      </c>
      <c r="BA135" s="146">
        <v>0.99999999899999992</v>
      </c>
      <c r="BB135" s="252">
        <v>27.125475754179156</v>
      </c>
      <c r="BC135" s="244">
        <v>203.54972344972407</v>
      </c>
      <c r="BD135" s="229">
        <v>90551.825256526121</v>
      </c>
      <c r="BE135" s="244">
        <v>35.209023315596795</v>
      </c>
      <c r="BF135" s="146">
        <v>336700.96922651329</v>
      </c>
      <c r="BG135" t="s">
        <v>388</v>
      </c>
      <c r="BH135" s="146">
        <v>7.8839827974202592E-6</v>
      </c>
      <c r="BI135" s="146">
        <v>2105518.252565261</v>
      </c>
      <c r="BJ135">
        <f t="shared" si="8"/>
        <v>0.15991358365869934</v>
      </c>
    </row>
    <row r="136" spans="1:62" s="146" customFormat="1" x14ac:dyDescent="0.3">
      <c r="A136">
        <v>-0.1</v>
      </c>
      <c r="B136" s="146">
        <v>1000</v>
      </c>
      <c r="C136" s="146">
        <v>25</v>
      </c>
      <c r="D136" s="146">
        <v>500</v>
      </c>
      <c r="E136" s="252">
        <v>19.916959263560805</v>
      </c>
      <c r="F136" s="146">
        <v>1.1927689862462432</v>
      </c>
      <c r="G136" s="146">
        <v>21.108455040230385</v>
      </c>
      <c r="H136" s="146">
        <v>25.911316342000809</v>
      </c>
      <c r="J136" s="146">
        <v>0.99999999919188454</v>
      </c>
      <c r="K136" s="146">
        <v>0.36</v>
      </c>
      <c r="L136" s="146">
        <v>131.85749900259071</v>
      </c>
      <c r="M136" s="146">
        <v>48.635962746857238</v>
      </c>
      <c r="N136" s="146">
        <v>5.6968014447638282</v>
      </c>
      <c r="Z136" s="146">
        <v>0.21985766255840999</v>
      </c>
      <c r="AL136" s="146">
        <v>3218.1321282862114</v>
      </c>
      <c r="AM136" s="146">
        <v>5.6506692885526538E-2</v>
      </c>
      <c r="AN136" s="146">
        <v>0.24677772637742382</v>
      </c>
      <c r="AO136" s="146">
        <v>419.29190873126186</v>
      </c>
      <c r="AP136" s="146">
        <v>369.73140590429637</v>
      </c>
      <c r="AQ136" s="146" t="s">
        <v>303</v>
      </c>
      <c r="AR136" s="146">
        <f t="shared" si="6"/>
        <v>19.525354503836514</v>
      </c>
      <c r="AS136" s="146">
        <f t="shared" si="7"/>
        <v>5.3287291164862003</v>
      </c>
      <c r="AT136" s="146">
        <v>0.4</v>
      </c>
      <c r="AU136" s="146">
        <v>1</v>
      </c>
      <c r="AV136" s="146">
        <v>0.5</v>
      </c>
      <c r="AW136">
        <v>3</v>
      </c>
      <c r="AX136" s="146">
        <v>0.99999999900000003</v>
      </c>
      <c r="AY136" s="146">
        <v>0.36</v>
      </c>
      <c r="AZ136" s="209">
        <v>369.73140590429637</v>
      </c>
      <c r="BA136" s="146">
        <v>0.99999999900000003</v>
      </c>
      <c r="BB136" s="252">
        <v>26.969697655014294</v>
      </c>
      <c r="BC136" s="244">
        <v>202.85918398403095</v>
      </c>
      <c r="BD136" s="229">
        <v>90237.945304554843</v>
      </c>
      <c r="BE136" s="244">
        <v>35.18532943455255</v>
      </c>
      <c r="BF136" s="146">
        <v>336235.93541010702</v>
      </c>
      <c r="BG136" t="s">
        <v>388</v>
      </c>
      <c r="BH136" s="146">
        <v>7.9029789502325805E-6</v>
      </c>
      <c r="BI136" s="146">
        <v>2102379.4530455484</v>
      </c>
      <c r="BJ136">
        <f t="shared" si="8"/>
        <v>0.15993113656196983</v>
      </c>
    </row>
    <row r="137" spans="1:62" s="146" customFormat="1" x14ac:dyDescent="0.3">
      <c r="A137">
        <v>-0.1</v>
      </c>
      <c r="B137" s="146">
        <v>1000</v>
      </c>
      <c r="C137" s="146">
        <v>25</v>
      </c>
      <c r="D137" s="146">
        <v>600</v>
      </c>
      <c r="E137" s="252">
        <v>19.934139098459745</v>
      </c>
      <c r="F137" s="146">
        <v>1.1647414698897967</v>
      </c>
      <c r="G137" s="146">
        <v>21.110160394843454</v>
      </c>
      <c r="H137" s="146">
        <v>25.886290922588781</v>
      </c>
      <c r="J137" s="146">
        <v>0.99999999918904348</v>
      </c>
      <c r="K137" s="146">
        <v>0.36</v>
      </c>
      <c r="L137" s="146">
        <v>131.61949988172688</v>
      </c>
      <c r="M137" s="146">
        <v>48.548176185882866</v>
      </c>
      <c r="N137" s="146">
        <v>5.6553265527403234</v>
      </c>
      <c r="Z137" s="146">
        <v>0.21846801342271083</v>
      </c>
      <c r="AL137" s="146">
        <v>3297.1941492156034</v>
      </c>
      <c r="AM137" s="146">
        <v>5.5174449085394262E-2</v>
      </c>
      <c r="AN137" s="146">
        <v>0.24650864020453211</v>
      </c>
      <c r="AO137" s="146">
        <v>519.13411602157203</v>
      </c>
      <c r="AP137" s="146">
        <v>469.53087284544057</v>
      </c>
      <c r="AQ137" s="146" t="s">
        <v>303</v>
      </c>
      <c r="AR137" s="146">
        <f t="shared" si="6"/>
        <v>19.525354503836514</v>
      </c>
      <c r="AS137" s="146">
        <f t="shared" si="7"/>
        <v>5.3287291164862003</v>
      </c>
      <c r="AT137" s="146">
        <v>0.4</v>
      </c>
      <c r="AU137" s="146">
        <v>1</v>
      </c>
      <c r="AV137" s="146">
        <v>0.5</v>
      </c>
      <c r="AW137">
        <v>3</v>
      </c>
      <c r="AX137" s="146">
        <v>0.99999999900000003</v>
      </c>
      <c r="AY137" s="146">
        <v>0.36</v>
      </c>
      <c r="AZ137" s="209">
        <v>469.53087284544057</v>
      </c>
      <c r="BA137" s="146">
        <v>0.99999999900000003</v>
      </c>
      <c r="BB137" s="252">
        <v>26.832717843884588</v>
      </c>
      <c r="BC137" s="244">
        <v>202.27724554651039</v>
      </c>
      <c r="BD137" s="229">
        <v>89985.207481258069</v>
      </c>
      <c r="BE137" s="244">
        <v>35.182979029013161</v>
      </c>
      <c r="BF137" s="146">
        <v>335929.85681525682</v>
      </c>
      <c r="BG137" t="s">
        <v>388</v>
      </c>
      <c r="BH137" s="146">
        <v>7.9195166016888476E-6</v>
      </c>
      <c r="BI137" s="146">
        <v>2099852.0748125808</v>
      </c>
      <c r="BJ137">
        <f t="shared" si="8"/>
        <v>0.15997786741489384</v>
      </c>
    </row>
    <row r="138" spans="1:62" s="146" customFormat="1" x14ac:dyDescent="0.3">
      <c r="A138">
        <v>-0.1</v>
      </c>
      <c r="B138" s="146">
        <v>1000</v>
      </c>
      <c r="C138" s="146">
        <v>25</v>
      </c>
      <c r="D138" s="146">
        <v>700</v>
      </c>
      <c r="E138" s="252">
        <v>19.952223779788326</v>
      </c>
      <c r="F138" s="146">
        <v>1.1380212774671363</v>
      </c>
      <c r="G138" s="146">
        <v>21.113617818010834</v>
      </c>
      <c r="H138" s="146">
        <v>25.857068719068629</v>
      </c>
      <c r="J138" s="146">
        <v>0.99913540664506684</v>
      </c>
      <c r="K138" s="146">
        <v>0.36</v>
      </c>
      <c r="L138" s="146">
        <v>131.40114108425928</v>
      </c>
      <c r="M138" s="146">
        <v>48.467634006489085</v>
      </c>
      <c r="N138" s="146">
        <v>5.6196567738661791</v>
      </c>
      <c r="Z138" s="146">
        <v>0.21733541550755484</v>
      </c>
      <c r="AL138" s="146">
        <v>3379.1776382133803</v>
      </c>
      <c r="AM138" s="146">
        <v>5.389987103471934E-2</v>
      </c>
      <c r="AN138" s="146">
        <v>0.24631705139445112</v>
      </c>
      <c r="AO138" s="146">
        <v>618.99779707967957</v>
      </c>
      <c r="AP138" s="146">
        <v>569.3492512802901</v>
      </c>
      <c r="AQ138" s="146" t="s">
        <v>303</v>
      </c>
      <c r="AR138" s="146">
        <f t="shared" si="6"/>
        <v>19.525354503836514</v>
      </c>
      <c r="AS138" s="146">
        <f t="shared" si="7"/>
        <v>5.3287291164862003</v>
      </c>
      <c r="AT138" s="146">
        <v>0.4</v>
      </c>
      <c r="AU138" s="146">
        <v>1</v>
      </c>
      <c r="AV138" s="146">
        <v>0.5</v>
      </c>
      <c r="AW138">
        <v>3</v>
      </c>
      <c r="AX138" s="146">
        <v>0.99893844107391461</v>
      </c>
      <c r="AY138" s="146">
        <v>0.36</v>
      </c>
      <c r="AZ138" s="209">
        <v>569.3492512802901</v>
      </c>
      <c r="BA138" s="146">
        <v>0.99893844107391461</v>
      </c>
      <c r="BB138" s="252">
        <v>26.708036211403211</v>
      </c>
      <c r="BC138" s="244">
        <v>201.74471791842907</v>
      </c>
      <c r="BD138" s="229">
        <v>89772.402112714393</v>
      </c>
      <c r="BE138" s="244">
        <v>35.208641877145723</v>
      </c>
      <c r="BF138" s="146">
        <v>335743.0731984115</v>
      </c>
      <c r="BG138" t="s">
        <v>388</v>
      </c>
      <c r="BH138" s="146">
        <v>7.934707769471119E-6</v>
      </c>
      <c r="BI138" s="146">
        <v>2097724.0211271439</v>
      </c>
      <c r="BJ138">
        <f t="shared" si="8"/>
        <v>0.1600511172189423</v>
      </c>
    </row>
    <row r="139" spans="1:62" s="146" customFormat="1" x14ac:dyDescent="0.3">
      <c r="A139">
        <v>-0.1</v>
      </c>
      <c r="B139" s="146">
        <v>1000</v>
      </c>
      <c r="C139" s="146">
        <v>25</v>
      </c>
      <c r="D139" s="146">
        <v>800</v>
      </c>
      <c r="E139" s="252">
        <v>20.018445533339097</v>
      </c>
      <c r="F139" s="146">
        <v>1.0796155787392014</v>
      </c>
      <c r="G139" s="146">
        <v>21.150210998328365</v>
      </c>
      <c r="H139" s="146">
        <v>25.786473681985854</v>
      </c>
      <c r="J139" s="146">
        <v>0.95840406994595106</v>
      </c>
      <c r="K139" s="146">
        <v>0.36</v>
      </c>
      <c r="L139" s="146">
        <v>130.99715491413227</v>
      </c>
      <c r="M139" s="146">
        <v>48.318622714229122</v>
      </c>
      <c r="N139" s="146">
        <v>6.0446137274977012</v>
      </c>
      <c r="Z139" s="146">
        <v>0.23441024942159508</v>
      </c>
      <c r="AL139" s="146">
        <v>3691.2633617334154</v>
      </c>
      <c r="AM139" s="146">
        <v>5.1045144600426459E-2</v>
      </c>
      <c r="AN139" s="146">
        <v>0.24644175732817564</v>
      </c>
      <c r="AO139" s="146">
        <v>718.77007472121932</v>
      </c>
      <c r="AP139" s="146">
        <v>668.95649798456293</v>
      </c>
      <c r="AQ139" s="146" t="s">
        <v>303</v>
      </c>
      <c r="AR139" s="146">
        <f t="shared" si="6"/>
        <v>19.525354503836514</v>
      </c>
      <c r="AS139" s="146">
        <f t="shared" si="7"/>
        <v>5.3287291164862003</v>
      </c>
      <c r="AT139" s="146">
        <v>0.4</v>
      </c>
      <c r="AU139" s="146">
        <v>1</v>
      </c>
      <c r="AV139" s="146">
        <v>0.5</v>
      </c>
      <c r="AW139">
        <v>3</v>
      </c>
      <c r="AX139" s="146">
        <v>0.9502502104736047</v>
      </c>
      <c r="AY139" s="146">
        <v>0.36</v>
      </c>
      <c r="AZ139" s="209">
        <v>668.95649798456293</v>
      </c>
      <c r="BA139" s="146">
        <v>0.9502502104736047</v>
      </c>
      <c r="BB139" s="252">
        <v>26.634917860034104</v>
      </c>
      <c r="BC139" s="244">
        <v>200.76296503178597</v>
      </c>
      <c r="BD139" s="229">
        <v>89884.948669125428</v>
      </c>
      <c r="BE139" s="244">
        <v>36.020105216080637</v>
      </c>
      <c r="BF139" s="146">
        <v>337369.76067361468</v>
      </c>
      <c r="BG139" t="s">
        <v>388</v>
      </c>
      <c r="BH139" s="146">
        <v>7.9523887200111487E-6</v>
      </c>
      <c r="BI139" s="146">
        <v>2098849.4866912542</v>
      </c>
      <c r="BJ139">
        <f t="shared" si="8"/>
        <v>0.16074033074447067</v>
      </c>
    </row>
    <row r="140" spans="1:62" s="146" customFormat="1" x14ac:dyDescent="0.3">
      <c r="A140">
        <v>-0.1</v>
      </c>
      <c r="B140" s="146">
        <v>1000</v>
      </c>
      <c r="C140" s="146">
        <v>25</v>
      </c>
      <c r="D140" s="146">
        <v>900</v>
      </c>
      <c r="E140" s="252">
        <v>20.079799286106418</v>
      </c>
      <c r="F140" s="146">
        <v>1.0252042138064184</v>
      </c>
      <c r="G140" s="146">
        <v>21.183689513018251</v>
      </c>
      <c r="H140" s="146">
        <v>25.728801543887393</v>
      </c>
      <c r="J140" s="146">
        <v>0.92751922757043104</v>
      </c>
      <c r="K140" s="146">
        <v>0.36</v>
      </c>
      <c r="L140" s="146">
        <v>130.67120698208302</v>
      </c>
      <c r="M140" s="146">
        <v>48.198396017981445</v>
      </c>
      <c r="N140" s="146">
        <v>6.4128618243283668</v>
      </c>
      <c r="Z140" s="146">
        <v>0.24924836912397594</v>
      </c>
      <c r="AL140" s="146">
        <v>3974.9995982767373</v>
      </c>
      <c r="AM140" s="146">
        <v>4.8395923343588852E-2</v>
      </c>
      <c r="AN140" s="146">
        <v>0.24648196817897808</v>
      </c>
      <c r="AO140" s="146">
        <v>818.53440868532073</v>
      </c>
      <c r="AP140" s="146">
        <v>768.56868611255254</v>
      </c>
      <c r="AQ140" s="146" t="s">
        <v>303</v>
      </c>
      <c r="AR140" s="146">
        <f t="shared" si="6"/>
        <v>19.525354503836514</v>
      </c>
      <c r="AS140" s="146">
        <f t="shared" si="7"/>
        <v>5.3287291164862003</v>
      </c>
      <c r="AT140" s="146">
        <v>0.4</v>
      </c>
      <c r="AU140" s="146">
        <v>1</v>
      </c>
      <c r="AV140" s="146">
        <v>0.5</v>
      </c>
      <c r="AW140">
        <v>3</v>
      </c>
      <c r="AX140" s="146">
        <v>0.91495540771465078</v>
      </c>
      <c r="AY140" s="146">
        <v>0.36</v>
      </c>
      <c r="AZ140" s="209">
        <v>768.56868611255254</v>
      </c>
      <c r="BA140" s="146">
        <v>0.91495540771465078</v>
      </c>
      <c r="BB140" s="252">
        <v>26.513692969734034</v>
      </c>
      <c r="BC140" s="244">
        <v>199.97412490253626</v>
      </c>
      <c r="BD140" s="229">
        <v>89888.839708393891</v>
      </c>
      <c r="BE140" s="244">
        <v>36.541123100913325</v>
      </c>
      <c r="BF140" s="146">
        <v>338618.11424089549</v>
      </c>
      <c r="BG140" t="s">
        <v>388</v>
      </c>
      <c r="BH140" s="146">
        <v>7.973015090176221E-6</v>
      </c>
      <c r="BI140" s="146">
        <v>2098888.3970839391</v>
      </c>
      <c r="BJ140">
        <f t="shared" si="8"/>
        <v>0.16133211975984516</v>
      </c>
    </row>
    <row r="141" spans="1:62" s="146" customFormat="1" x14ac:dyDescent="0.3">
      <c r="A141">
        <v>-0.1</v>
      </c>
      <c r="B141" s="146">
        <v>1000</v>
      </c>
      <c r="C141" s="146">
        <v>25</v>
      </c>
      <c r="D141" s="146">
        <v>1000</v>
      </c>
      <c r="E141" s="252">
        <v>20.136058095978587</v>
      </c>
      <c r="F141" s="146">
        <v>0.97526155676054738</v>
      </c>
      <c r="G141" s="146">
        <v>21.214220731578873</v>
      </c>
      <c r="H141" s="146">
        <v>25.680665789131783</v>
      </c>
      <c r="J141" s="146">
        <v>0.90285789626777146</v>
      </c>
      <c r="K141" s="146">
        <v>0.36</v>
      </c>
      <c r="L141" s="146">
        <v>130.40166555668631</v>
      </c>
      <c r="M141" s="146">
        <v>48.098975000417084</v>
      </c>
      <c r="N141" s="146">
        <v>6.7384647486788296</v>
      </c>
      <c r="Z141" s="146">
        <v>0.2623944723244126</v>
      </c>
      <c r="AL141" s="146">
        <v>4237.43115317515</v>
      </c>
      <c r="AM141" s="146">
        <v>4.5972066054201149E-2</v>
      </c>
      <c r="AN141" s="146">
        <v>0.2464769833903028</v>
      </c>
      <c r="AO141" s="146">
        <v>918.30450933386908</v>
      </c>
      <c r="AP141" s="146">
        <v>868.19877883573633</v>
      </c>
      <c r="AQ141" s="146" t="s">
        <v>303</v>
      </c>
      <c r="AR141" s="146">
        <f t="shared" si="6"/>
        <v>19.525354503836514</v>
      </c>
      <c r="AS141" s="146">
        <f t="shared" si="7"/>
        <v>5.3287291164862003</v>
      </c>
      <c r="AT141" s="146">
        <v>0.4</v>
      </c>
      <c r="AU141" s="146">
        <v>1</v>
      </c>
      <c r="AV141" s="146">
        <v>0.5</v>
      </c>
      <c r="AW141">
        <v>3</v>
      </c>
      <c r="AX141" s="146">
        <v>0.88769011927062769</v>
      </c>
      <c r="AY141" s="146">
        <v>0.36</v>
      </c>
      <c r="AZ141" s="209">
        <v>868.19877883573633</v>
      </c>
      <c r="BA141" s="146">
        <v>0.88769011927062769</v>
      </c>
      <c r="BB141" s="252">
        <v>26.372830694808421</v>
      </c>
      <c r="BC141" s="244">
        <v>199.3239835309665</v>
      </c>
      <c r="BD141" s="229">
        <v>89838.020144985174</v>
      </c>
      <c r="BE141" s="244">
        <v>36.888759357038339</v>
      </c>
      <c r="BF141" s="146">
        <v>339621.26406919479</v>
      </c>
      <c r="BG141" t="s">
        <v>388</v>
      </c>
      <c r="BH141" s="146">
        <v>7.9942396078474487E-6</v>
      </c>
      <c r="BI141" s="146">
        <v>2098380.2014498515</v>
      </c>
      <c r="BJ141">
        <f t="shared" si="8"/>
        <v>0.16184925107210668</v>
      </c>
    </row>
    <row r="142" spans="1:62" s="140" customFormat="1" x14ac:dyDescent="0.3">
      <c r="A142" s="140">
        <v>-0.1</v>
      </c>
      <c r="B142" s="140">
        <v>1000</v>
      </c>
      <c r="C142" s="140">
        <v>25</v>
      </c>
      <c r="D142" s="140">
        <v>1100</v>
      </c>
      <c r="E142" s="253">
        <v>20.187461722559512</v>
      </c>
      <c r="F142" s="140">
        <v>0.92958482392689468</v>
      </c>
      <c r="G142" s="140">
        <v>21.242011943905258</v>
      </c>
      <c r="H142" s="140">
        <v>25.639569850851409</v>
      </c>
      <c r="J142" s="140">
        <v>0.88229563779523779</v>
      </c>
      <c r="K142" s="140">
        <v>0.36</v>
      </c>
      <c r="L142" s="140">
        <v>130.17331195577572</v>
      </c>
      <c r="M142" s="140">
        <v>48.014746213195956</v>
      </c>
      <c r="N142" s="140">
        <v>7.03237224088004</v>
      </c>
      <c r="Z142" s="140">
        <v>0.27427808975689649</v>
      </c>
      <c r="AL142" s="140">
        <v>4484.0386880637452</v>
      </c>
      <c r="AM142" s="140">
        <v>4.3761618550149178E-2</v>
      </c>
      <c r="AN142" s="140">
        <v>0.24644776247568012</v>
      </c>
      <c r="AO142" s="140">
        <v>1018.0862446476801</v>
      </c>
      <c r="AP142" s="140">
        <v>967.85256762372421</v>
      </c>
      <c r="AQ142" s="140" t="s">
        <v>303</v>
      </c>
      <c r="AR142" s="140">
        <f t="shared" si="6"/>
        <v>19.525354503836514</v>
      </c>
      <c r="AS142" s="140">
        <f t="shared" si="7"/>
        <v>5.3287291164862003</v>
      </c>
      <c r="AT142" s="140">
        <v>0.4</v>
      </c>
      <c r="AU142" s="140">
        <v>1</v>
      </c>
      <c r="AV142" s="140">
        <v>0.5</v>
      </c>
      <c r="AW142">
        <v>3</v>
      </c>
      <c r="AX142" s="140">
        <v>0.86552527361358766</v>
      </c>
      <c r="AY142" s="140">
        <v>0.36</v>
      </c>
      <c r="AZ142" s="209">
        <v>967.85256762372421</v>
      </c>
      <c r="BA142" s="140">
        <v>0.86552527361358766</v>
      </c>
      <c r="BB142" s="253">
        <v>26.226176626661523</v>
      </c>
      <c r="BC142" s="245">
        <v>198.77472767714229</v>
      </c>
      <c r="BD142" s="210">
        <v>89759.382147471959</v>
      </c>
      <c r="BE142" s="245">
        <v>37.128396075777353</v>
      </c>
      <c r="BF142" s="140">
        <v>340452.97483396955</v>
      </c>
      <c r="BG142" t="s">
        <v>388</v>
      </c>
      <c r="BH142" s="140">
        <v>8.0150119915504294E-6</v>
      </c>
      <c r="BI142" s="140">
        <v>2097593.8214747198</v>
      </c>
      <c r="BJ142">
        <f t="shared" si="8"/>
        <v>0.16230643480567322</v>
      </c>
    </row>
    <row r="143" spans="1:62" s="146" customFormat="1" x14ac:dyDescent="0.3">
      <c r="A143">
        <v>-0.1</v>
      </c>
      <c r="B143" s="146">
        <v>1000</v>
      </c>
      <c r="C143" s="146">
        <v>25</v>
      </c>
      <c r="D143" s="146">
        <v>400</v>
      </c>
      <c r="E143" s="252">
        <v>19.899994413369775</v>
      </c>
      <c r="F143" s="146">
        <v>1.2241660298670027</v>
      </c>
      <c r="G143" s="146">
        <v>21.10897469474482</v>
      </c>
      <c r="H143" s="146">
        <v>25.927301243989344</v>
      </c>
      <c r="J143" s="146">
        <v>0.99999999919405835</v>
      </c>
      <c r="K143" s="146">
        <v>0.36</v>
      </c>
      <c r="L143" s="146">
        <v>132.13913321485887</v>
      </c>
      <c r="M143" s="146">
        <v>48.739844218595486</v>
      </c>
      <c r="N143" s="146">
        <v>5.7288582039901605</v>
      </c>
      <c r="Z143" s="146">
        <v>0.22095852360716742</v>
      </c>
      <c r="AL143" s="146">
        <v>3134.4102972365063</v>
      </c>
      <c r="AM143" s="146">
        <v>5.7992680723226442E-2</v>
      </c>
      <c r="AN143" s="146">
        <v>0.24720329740416314</v>
      </c>
      <c r="AO143" s="146">
        <v>319.49947827421397</v>
      </c>
      <c r="AP143" s="146">
        <v>269.98119524142641</v>
      </c>
      <c r="AQ143" s="146" t="s">
        <v>303</v>
      </c>
      <c r="AR143" s="146">
        <f t="shared" si="6"/>
        <v>19.525354503836514</v>
      </c>
      <c r="AS143" s="146">
        <f t="shared" si="7"/>
        <v>5.3287291164862003</v>
      </c>
      <c r="AT143" s="146">
        <v>0.4</v>
      </c>
      <c r="AU143" s="146">
        <v>1</v>
      </c>
      <c r="AV143" s="146">
        <v>0.5</v>
      </c>
      <c r="AW143" s="146">
        <v>3</v>
      </c>
      <c r="AX143" s="146">
        <v>0.99999999900000003</v>
      </c>
      <c r="AY143" s="146">
        <v>0.36</v>
      </c>
      <c r="AZ143" s="209">
        <v>269.98119524142641</v>
      </c>
      <c r="BA143" s="146">
        <v>0.99999999900000003</v>
      </c>
      <c r="BB143" s="252">
        <v>27.125486842212371</v>
      </c>
      <c r="BC143" s="244">
        <v>203.54986556912826</v>
      </c>
      <c r="BD143" s="229">
        <v>90551.898351377415</v>
      </c>
      <c r="BE143" s="244">
        <v>35.209041007488992</v>
      </c>
      <c r="BF143" s="146">
        <v>336701.34181273537</v>
      </c>
      <c r="BG143" t="s">
        <v>389</v>
      </c>
      <c r="BH143" s="146">
        <v>7.8839828068683086E-6</v>
      </c>
      <c r="BI143" s="146">
        <v>2105518.9835137744</v>
      </c>
      <c r="BJ143">
        <f t="shared" si="8"/>
        <v>0.15991370510031436</v>
      </c>
    </row>
    <row r="144" spans="1:62" s="146" customFormat="1" x14ac:dyDescent="0.3">
      <c r="A144">
        <v>-0.1</v>
      </c>
      <c r="B144" s="146">
        <v>1000</v>
      </c>
      <c r="C144" s="146">
        <v>25</v>
      </c>
      <c r="D144" s="146">
        <v>400</v>
      </c>
      <c r="E144" s="252">
        <v>19.183821758405013</v>
      </c>
      <c r="F144" s="146">
        <v>1.1852830382834774</v>
      </c>
      <c r="G144" s="146">
        <v>20.342696062165562</v>
      </c>
      <c r="H144" s="146">
        <v>25.041676442737639</v>
      </c>
      <c r="J144" s="146">
        <v>0.99999999919537841</v>
      </c>
      <c r="K144" s="146">
        <v>0.36</v>
      </c>
      <c r="L144" s="146">
        <v>127.67594104609641</v>
      </c>
      <c r="M144" s="146">
        <v>47.09358481208475</v>
      </c>
      <c r="N144" s="146">
        <v>5.574738298467782</v>
      </c>
      <c r="Z144" s="146">
        <v>0.22261841419504952</v>
      </c>
      <c r="AL144" s="146">
        <v>3062.5787722938821</v>
      </c>
      <c r="AM144" s="146">
        <v>5.8265779258626901E-2</v>
      </c>
      <c r="AN144" s="146">
        <v>0.24896536008169803</v>
      </c>
      <c r="AO144" s="146">
        <v>322.94581964290199</v>
      </c>
      <c r="AP144" s="146">
        <v>275.2096230599916</v>
      </c>
      <c r="AQ144" s="146" t="s">
        <v>303</v>
      </c>
      <c r="AR144" s="146">
        <f t="shared" si="6"/>
        <v>19.525354503836514</v>
      </c>
      <c r="AS144" s="146">
        <f t="shared" si="7"/>
        <v>5.3287291164862003</v>
      </c>
      <c r="AT144" s="146">
        <v>0.4</v>
      </c>
      <c r="AU144" s="146">
        <v>1</v>
      </c>
      <c r="AV144" s="146">
        <v>0.5</v>
      </c>
      <c r="AW144" s="146">
        <v>2.5</v>
      </c>
      <c r="AX144" s="146">
        <v>0.99999999900000003</v>
      </c>
      <c r="AY144" s="146">
        <v>0.36</v>
      </c>
      <c r="AZ144" s="209">
        <v>275.2096230599916</v>
      </c>
      <c r="BA144" s="146">
        <v>0.99999999900000003</v>
      </c>
      <c r="BB144" s="252">
        <v>26.212346640662371</v>
      </c>
      <c r="BC144" s="244">
        <v>192.85791191058755</v>
      </c>
      <c r="BD144" s="229">
        <v>84921.482189175164</v>
      </c>
      <c r="BE144" s="244">
        <v>33.635201936936213</v>
      </c>
      <c r="BF144" s="146">
        <v>381859.43140163907</v>
      </c>
      <c r="BG144" t="s">
        <v>389</v>
      </c>
      <c r="BH144" s="146">
        <v>7.617786998760139E-6</v>
      </c>
      <c r="BI144" s="146">
        <v>2049214.8218917516</v>
      </c>
      <c r="BJ144">
        <f t="shared" si="8"/>
        <v>0.18634426577547492</v>
      </c>
    </row>
    <row r="145" spans="1:62" s="146" customFormat="1" x14ac:dyDescent="0.3">
      <c r="A145">
        <v>-0.1</v>
      </c>
      <c r="B145" s="146">
        <v>1000</v>
      </c>
      <c r="C145" s="146">
        <v>25</v>
      </c>
      <c r="D145" s="146">
        <v>400</v>
      </c>
      <c r="E145" s="252">
        <v>16.68109738565947</v>
      </c>
      <c r="F145" s="146">
        <v>1.0534096365008803</v>
      </c>
      <c r="G145" s="146">
        <v>17.676305965665659</v>
      </c>
      <c r="H145" s="146">
        <v>21.928322253051679</v>
      </c>
      <c r="J145" s="146">
        <v>0.99999999920116833</v>
      </c>
      <c r="K145" s="146">
        <v>0.36</v>
      </c>
      <c r="L145" s="146">
        <v>111.95035873258013</v>
      </c>
      <c r="M145" s="146">
        <v>41.293165106279552</v>
      </c>
      <c r="N145" s="146">
        <v>5.0129729923855635</v>
      </c>
      <c r="Z145" s="146">
        <v>0.22860722925065222</v>
      </c>
      <c r="AL145" s="146">
        <v>2799.4291781906927</v>
      </c>
      <c r="AM145" s="146">
        <v>5.959444459419385E-2</v>
      </c>
      <c r="AN145" s="146">
        <v>0.25448364690943109</v>
      </c>
      <c r="AO145" s="146">
        <v>334.45120113515134</v>
      </c>
      <c r="AP145" s="146">
        <v>292.9426819979098</v>
      </c>
      <c r="AQ145" s="146" t="s">
        <v>303</v>
      </c>
      <c r="AR145" s="146">
        <f t="shared" si="6"/>
        <v>19.525354503836514</v>
      </c>
      <c r="AS145" s="146">
        <f t="shared" si="7"/>
        <v>5.3287291164862003</v>
      </c>
      <c r="AT145" s="146">
        <v>0.4</v>
      </c>
      <c r="AU145" s="146">
        <v>1</v>
      </c>
      <c r="AV145" s="146">
        <v>0.5</v>
      </c>
      <c r="AW145" s="146">
        <v>1.5</v>
      </c>
      <c r="AX145" s="146">
        <v>0.99999999900000003</v>
      </c>
      <c r="AY145" s="146">
        <v>0.36</v>
      </c>
      <c r="AZ145" s="209">
        <v>292.9426819979098</v>
      </c>
      <c r="BA145" s="146">
        <v>0.99999999900000003</v>
      </c>
      <c r="BB145" s="252">
        <v>23.042334871210628</v>
      </c>
      <c r="BC145" s="244">
        <v>158.92010980263061</v>
      </c>
      <c r="BD145" s="229">
        <v>67391.987442988757</v>
      </c>
      <c r="BE145" s="244">
        <v>28.481394899668704</v>
      </c>
      <c r="BF145" s="146">
        <v>499437.25462932826</v>
      </c>
      <c r="BG145" t="s">
        <v>389</v>
      </c>
      <c r="BH145" s="146">
        <v>6.7302788296982278E-6</v>
      </c>
      <c r="BI145" s="146">
        <v>1873919.8744298876</v>
      </c>
      <c r="BJ145">
        <f t="shared" si="8"/>
        <v>0.26652006921121674</v>
      </c>
    </row>
    <row r="146" spans="1:62" s="146" customFormat="1" x14ac:dyDescent="0.3">
      <c r="A146">
        <v>-0.1</v>
      </c>
      <c r="B146" s="146">
        <v>1000</v>
      </c>
      <c r="C146" s="146">
        <v>25</v>
      </c>
      <c r="D146" s="146">
        <v>400</v>
      </c>
      <c r="E146" s="252">
        <v>14.417631078329807</v>
      </c>
      <c r="F146" s="146">
        <v>0.93828624394707716</v>
      </c>
      <c r="G146" s="146">
        <v>15.276892310513816</v>
      </c>
      <c r="H146" s="146">
        <v>19.087166951698418</v>
      </c>
      <c r="J146" s="146">
        <v>0.99999999920828131</v>
      </c>
      <c r="K146" s="146">
        <v>0.36</v>
      </c>
      <c r="L146" s="146">
        <v>97.554915582383046</v>
      </c>
      <c r="M146" s="146">
        <v>35.983370501698666</v>
      </c>
      <c r="N146" s="146">
        <v>4.4744768235432471</v>
      </c>
      <c r="Z146" s="146">
        <v>0.23442330833414218</v>
      </c>
      <c r="AL146" s="146">
        <v>2545.6478132721745</v>
      </c>
      <c r="AM146" s="146">
        <v>6.1418659297698443E-2</v>
      </c>
      <c r="AN146" s="146">
        <v>0.25877754772968847</v>
      </c>
      <c r="AO146" s="146">
        <v>344.28561826627231</v>
      </c>
      <c r="AP146" s="146">
        <v>308.40940150055098</v>
      </c>
      <c r="AQ146" s="146" t="s">
        <v>303</v>
      </c>
      <c r="AR146" s="146">
        <f t="shared" si="6"/>
        <v>19.525354503836514</v>
      </c>
      <c r="AS146" s="146">
        <f t="shared" si="7"/>
        <v>5.3287291164862003</v>
      </c>
      <c r="AT146" s="146">
        <v>0.4</v>
      </c>
      <c r="AU146" s="146">
        <v>1</v>
      </c>
      <c r="AV146" s="146">
        <v>0.5</v>
      </c>
      <c r="AW146" s="146">
        <v>1</v>
      </c>
      <c r="AX146" s="146">
        <v>0.99999999900000003</v>
      </c>
      <c r="AY146" s="146">
        <v>0.36</v>
      </c>
      <c r="AZ146" s="209">
        <v>308.40940150055098</v>
      </c>
      <c r="BA146" s="146">
        <v>0.99999999900000003</v>
      </c>
      <c r="BB146" s="252">
        <v>20.19357400912115</v>
      </c>
      <c r="BC146" s="244">
        <v>131.86730275774835</v>
      </c>
      <c r="BD146" s="229">
        <v>53896.508810157968</v>
      </c>
      <c r="BE146" s="244">
        <v>24.179941326440304</v>
      </c>
      <c r="BF146" s="146">
        <v>569843.39229856734</v>
      </c>
      <c r="BG146" t="s">
        <v>389</v>
      </c>
      <c r="BH146" s="146">
        <v>5.9294404806894745E-6</v>
      </c>
      <c r="BI146" s="146">
        <v>1738965.0881015798</v>
      </c>
      <c r="BJ146">
        <f t="shared" si="8"/>
        <v>0.32769110558778541</v>
      </c>
    </row>
    <row r="147" spans="1:62" s="146" customFormat="1" x14ac:dyDescent="0.3">
      <c r="A147">
        <v>-0.1</v>
      </c>
      <c r="B147" s="146">
        <v>1000</v>
      </c>
      <c r="C147" s="146">
        <v>25</v>
      </c>
      <c r="D147" s="146">
        <v>400</v>
      </c>
      <c r="E147" s="252">
        <v>13.167927708084038</v>
      </c>
      <c r="F147" s="146">
        <v>0.87582628457185274</v>
      </c>
      <c r="G147" s="146">
        <v>13.955857298011185</v>
      </c>
      <c r="H147" s="146">
        <v>17.507956467631494</v>
      </c>
      <c r="J147" s="146">
        <v>0.99999999921314675</v>
      </c>
      <c r="K147" s="146">
        <v>0.36</v>
      </c>
      <c r="L147" s="146">
        <v>89.536494191792954</v>
      </c>
      <c r="M147" s="146">
        <v>33.025756054349856</v>
      </c>
      <c r="N147" s="146">
        <v>4.1650205406533143</v>
      </c>
      <c r="Z147" s="146">
        <v>0.23789301443338379</v>
      </c>
      <c r="AL147" s="146">
        <v>2399.2775406029577</v>
      </c>
      <c r="AM147" s="146">
        <v>6.2756895966302587E-2</v>
      </c>
      <c r="AN147" s="146">
        <v>0.26092627664633639</v>
      </c>
      <c r="AO147" s="146">
        <v>349.53391480026346</v>
      </c>
      <c r="AP147" s="146">
        <v>316.76727027630136</v>
      </c>
      <c r="AQ147" s="146" t="s">
        <v>303</v>
      </c>
      <c r="AR147" s="146">
        <f t="shared" si="6"/>
        <v>19.525354503836514</v>
      </c>
      <c r="AS147" s="146">
        <f t="shared" si="7"/>
        <v>5.3287291164862003</v>
      </c>
      <c r="AT147" s="146">
        <v>0.4</v>
      </c>
      <c r="AU147" s="146">
        <v>1</v>
      </c>
      <c r="AV147" s="146">
        <v>0.5</v>
      </c>
      <c r="AW147" s="146">
        <v>0.8</v>
      </c>
      <c r="AX147" s="146">
        <v>0.99999999900000003</v>
      </c>
      <c r="AY147" s="146">
        <v>0.36</v>
      </c>
      <c r="AZ147" s="209">
        <v>316.76727027630136</v>
      </c>
      <c r="BA147" s="146">
        <v>0.99999999900000003</v>
      </c>
      <c r="BB147" s="252">
        <v>18.623425880948375</v>
      </c>
      <c r="BC147" s="244">
        <v>118.09026923293945</v>
      </c>
      <c r="BD147" s="229">
        <v>47231.981634755568</v>
      </c>
      <c r="BE147" s="244">
        <v>21.916309823548627</v>
      </c>
      <c r="BF147" s="146">
        <v>598257.99502718006</v>
      </c>
      <c r="BG147" t="s">
        <v>389</v>
      </c>
      <c r="BH147" s="146">
        <v>5.4764144259537395E-6</v>
      </c>
      <c r="BI147" s="146">
        <v>1672319.8163475557</v>
      </c>
      <c r="BJ147">
        <f t="shared" si="8"/>
        <v>0.35774137768325348</v>
      </c>
    </row>
    <row r="148" spans="1:62" s="146" customFormat="1" x14ac:dyDescent="0.3">
      <c r="A148">
        <v>-0.1</v>
      </c>
      <c r="B148" s="146">
        <v>1000</v>
      </c>
      <c r="C148" s="146">
        <v>25</v>
      </c>
      <c r="D148" s="146">
        <v>400</v>
      </c>
      <c r="E148" s="252">
        <v>11.625338437039508</v>
      </c>
      <c r="F148" s="146">
        <v>0.80932185341775797</v>
      </c>
      <c r="G148" s="146">
        <v>12.332755030631454</v>
      </c>
      <c r="H148" s="146">
        <v>15.495399581283531</v>
      </c>
      <c r="J148" s="146">
        <v>0.99999999922198135</v>
      </c>
      <c r="K148" s="146">
        <v>0.36</v>
      </c>
      <c r="L148" s="146">
        <v>79.302559735091506</v>
      </c>
      <c r="M148" s="146">
        <v>29.250944164582936</v>
      </c>
      <c r="N148" s="146">
        <v>3.7186833152701695</v>
      </c>
      <c r="Z148" s="146">
        <v>0.23998628081600848</v>
      </c>
      <c r="AL148" s="146">
        <v>2185.8366275382432</v>
      </c>
      <c r="AM148" s="146">
        <v>6.5623767877299649E-2</v>
      </c>
      <c r="AN148" s="146">
        <v>0.2607923786935048</v>
      </c>
      <c r="AO148" s="146">
        <v>355.42301314448247</v>
      </c>
      <c r="AP148" s="146">
        <v>326.49496990315862</v>
      </c>
      <c r="AQ148" s="146" t="s">
        <v>303</v>
      </c>
      <c r="AR148" s="146">
        <f t="shared" si="6"/>
        <v>19.525354503836514</v>
      </c>
      <c r="AS148" s="146">
        <f t="shared" si="7"/>
        <v>5.3287291164862003</v>
      </c>
      <c r="AT148" s="146">
        <v>0.4</v>
      </c>
      <c r="AU148" s="146">
        <v>1</v>
      </c>
      <c r="AV148" s="146">
        <v>0.5</v>
      </c>
      <c r="AW148" s="146">
        <v>0.6</v>
      </c>
      <c r="AX148" s="146">
        <v>0.99999999900000003</v>
      </c>
      <c r="AY148" s="146">
        <v>0.36</v>
      </c>
      <c r="AZ148" s="209">
        <v>326.49496990315862</v>
      </c>
      <c r="BA148" s="146">
        <v>0.99999999900000003</v>
      </c>
      <c r="BB148" s="252">
        <v>16.743030562723799</v>
      </c>
      <c r="BC148" s="244">
        <v>101.60656634727395</v>
      </c>
      <c r="BD148" s="229">
        <v>39681.007350366854</v>
      </c>
      <c r="BE148" s="244">
        <v>19.495700405952824</v>
      </c>
      <c r="BF148" s="146">
        <v>626641.53155454528</v>
      </c>
      <c r="BG148" t="s">
        <v>389</v>
      </c>
      <c r="BH148" s="146">
        <v>4.8969878078445251E-6</v>
      </c>
      <c r="BI148" s="146">
        <v>1596810.0735036684</v>
      </c>
      <c r="BJ148">
        <f t="shared" si="8"/>
        <v>0.39243335319120887</v>
      </c>
    </row>
    <row r="149" spans="1:62" s="146" customFormat="1" x14ac:dyDescent="0.3">
      <c r="A149">
        <v>-0.1</v>
      </c>
      <c r="B149" s="146">
        <v>1000</v>
      </c>
      <c r="C149" s="146">
        <v>25</v>
      </c>
      <c r="D149" s="146">
        <v>400</v>
      </c>
      <c r="E149" s="252">
        <v>9.6184790378712179</v>
      </c>
      <c r="F149" s="146">
        <v>0.72543675517286466</v>
      </c>
      <c r="G149" s="146">
        <v>10.226165842990399</v>
      </c>
      <c r="H149" s="146">
        <v>12.846153482613701</v>
      </c>
      <c r="J149" s="146">
        <v>0.99999999923681071</v>
      </c>
      <c r="K149" s="146">
        <v>0.36</v>
      </c>
      <c r="L149" s="146">
        <v>65.804769244715743</v>
      </c>
      <c r="M149" s="146">
        <v>24.272250950919744</v>
      </c>
      <c r="N149" s="146">
        <v>3.1051902348126994</v>
      </c>
      <c r="Z149" s="146">
        <v>0.24172140236494449</v>
      </c>
      <c r="AL149" s="146">
        <v>1891.4411990888377</v>
      </c>
      <c r="AM149" s="146">
        <v>7.0939271503221379E-2</v>
      </c>
      <c r="AN149" s="146">
        <v>0.25842648107612604</v>
      </c>
      <c r="AO149" s="146">
        <v>362.78059818862818</v>
      </c>
      <c r="AP149" s="146">
        <v>338.84608168248946</v>
      </c>
      <c r="AQ149" s="146" t="s">
        <v>303</v>
      </c>
      <c r="AR149" s="146">
        <f t="shared" si="6"/>
        <v>19.525354503836514</v>
      </c>
      <c r="AS149" s="146">
        <f t="shared" si="7"/>
        <v>5.3287291164862003</v>
      </c>
      <c r="AT149" s="146">
        <v>0.4</v>
      </c>
      <c r="AU149" s="146">
        <v>1</v>
      </c>
      <c r="AV149" s="146">
        <v>0.5</v>
      </c>
      <c r="AW149" s="146">
        <v>0.4</v>
      </c>
      <c r="AX149" s="146">
        <v>0.99999999900000003</v>
      </c>
      <c r="AY149" s="146">
        <v>0.36</v>
      </c>
      <c r="AZ149" s="209">
        <v>338.84608168248946</v>
      </c>
      <c r="BA149" s="146">
        <v>0.99999999900000003</v>
      </c>
      <c r="BB149" s="252">
        <v>14.3063129291802</v>
      </c>
      <c r="BC149" s="244">
        <v>81.443730903550914</v>
      </c>
      <c r="BD149" s="229">
        <v>30869.740997697063</v>
      </c>
      <c r="BE149" s="244">
        <v>16.543640109548825</v>
      </c>
      <c r="BF149" s="146">
        <v>650789.63284014736</v>
      </c>
      <c r="BG149" t="s">
        <v>389</v>
      </c>
      <c r="BH149" s="146">
        <v>4.1134212081499995E-6</v>
      </c>
      <c r="BI149" s="146">
        <v>1508697.4099769706</v>
      </c>
      <c r="BJ149">
        <f t="shared" si="8"/>
        <v>0.43135862004965014</v>
      </c>
    </row>
    <row r="150" spans="1:62" s="146" customFormat="1" x14ac:dyDescent="0.3">
      <c r="A150">
        <v>-0.1</v>
      </c>
      <c r="B150" s="146">
        <v>1000</v>
      </c>
      <c r="C150" s="146">
        <v>25</v>
      </c>
      <c r="D150" s="146">
        <v>400</v>
      </c>
      <c r="E150" s="252">
        <v>8.3338804414056629</v>
      </c>
      <c r="F150" s="146">
        <v>0.66767042068759097</v>
      </c>
      <c r="G150" s="146">
        <v>8.8776565054578001</v>
      </c>
      <c r="H150" s="146">
        <v>11.155839124157474</v>
      </c>
      <c r="J150" s="146">
        <v>0.9999999992477846</v>
      </c>
      <c r="K150" s="146">
        <v>0.36</v>
      </c>
      <c r="L150" s="146">
        <v>57.177774005436142</v>
      </c>
      <c r="M150" s="146">
        <v>21.090162542988743</v>
      </c>
      <c r="N150" s="146">
        <v>2.7169882593095611</v>
      </c>
      <c r="Z150" s="146">
        <v>0.24354853355907974</v>
      </c>
      <c r="AL150" s="146">
        <v>1705.2865976681292</v>
      </c>
      <c r="AM150" s="146">
        <v>7.5207958347692436E-2</v>
      </c>
      <c r="AN150" s="146">
        <v>0.25666511229664757</v>
      </c>
      <c r="AO150" s="146">
        <v>367.53013930551822</v>
      </c>
      <c r="AP150" s="146">
        <v>346.79246801335017</v>
      </c>
      <c r="AQ150" s="146" t="s">
        <v>303</v>
      </c>
      <c r="AR150" s="146">
        <f t="shared" si="6"/>
        <v>19.525354503836514</v>
      </c>
      <c r="AS150" s="146">
        <f t="shared" si="7"/>
        <v>5.3287291164862003</v>
      </c>
      <c r="AT150" s="146">
        <v>0.4</v>
      </c>
      <c r="AU150" s="146">
        <v>1</v>
      </c>
      <c r="AV150" s="146">
        <v>0.5</v>
      </c>
      <c r="AW150" s="146">
        <v>0.3</v>
      </c>
      <c r="AX150" s="146">
        <v>0.99999999899999992</v>
      </c>
      <c r="AY150" s="146">
        <v>0.36</v>
      </c>
      <c r="AZ150" s="209">
        <v>346.79246801335017</v>
      </c>
      <c r="BA150" s="146">
        <v>0.99999999899999992</v>
      </c>
      <c r="BB150" s="252">
        <v>12.71651581430763</v>
      </c>
      <c r="BC150" s="244">
        <v>69.347071919687806</v>
      </c>
      <c r="BD150" s="229">
        <v>25759.708322466366</v>
      </c>
      <c r="BE150" s="244">
        <v>14.629269563648759</v>
      </c>
      <c r="BF150" s="146">
        <v>657519.47477718326</v>
      </c>
      <c r="BG150" t="s">
        <v>389</v>
      </c>
      <c r="BH150" s="146">
        <v>3.5950806963688701E-6</v>
      </c>
      <c r="BI150" s="146">
        <v>1457597.0832246637</v>
      </c>
      <c r="BJ150">
        <f t="shared" si="8"/>
        <v>0.45109823719085879</v>
      </c>
    </row>
    <row r="151" spans="1:62" s="146" customFormat="1" x14ac:dyDescent="0.3">
      <c r="A151">
        <v>-0.1</v>
      </c>
      <c r="B151" s="146">
        <v>1000</v>
      </c>
      <c r="C151" s="146">
        <v>25</v>
      </c>
      <c r="D151" s="146">
        <v>400</v>
      </c>
      <c r="E151" s="252">
        <v>6.7333246005449077</v>
      </c>
      <c r="F151" s="146">
        <v>0.58958360726854531</v>
      </c>
      <c r="G151" s="146">
        <v>7.1961662156864259</v>
      </c>
      <c r="H151" s="146">
        <v>9.0544291383500468</v>
      </c>
      <c r="J151" s="146">
        <v>0.99999999926332095</v>
      </c>
      <c r="K151" s="146">
        <v>0.36</v>
      </c>
      <c r="L151" s="146">
        <v>46.437705000786991</v>
      </c>
      <c r="M151" s="146">
        <v>17.128661680618155</v>
      </c>
      <c r="N151" s="146">
        <v>2.2370796349113444</v>
      </c>
      <c r="Z151" s="146">
        <v>0.24707020185692222</v>
      </c>
      <c r="AL151" s="146">
        <v>1475.293450983256</v>
      </c>
      <c r="AM151" s="146">
        <v>8.1930237517770607E-2</v>
      </c>
      <c r="AN151" s="146">
        <v>0.25416976127951824</v>
      </c>
      <c r="AO151" s="146">
        <v>373.50855362711673</v>
      </c>
      <c r="AP151" s="146">
        <v>356.75363352758393</v>
      </c>
      <c r="AQ151" s="146" t="s">
        <v>303</v>
      </c>
      <c r="AR151" s="146">
        <f t="shared" si="6"/>
        <v>19.525354503836514</v>
      </c>
      <c r="AS151" s="146">
        <f t="shared" si="7"/>
        <v>5.3287291164862003</v>
      </c>
      <c r="AT151" s="146">
        <v>0.4</v>
      </c>
      <c r="AU151" s="146">
        <v>1</v>
      </c>
      <c r="AV151" s="146">
        <v>0.5</v>
      </c>
      <c r="AW151" s="146">
        <v>0.2</v>
      </c>
      <c r="AX151" s="146">
        <v>0.99999999900000003</v>
      </c>
      <c r="AY151" s="146">
        <v>0.36</v>
      </c>
      <c r="AZ151" s="209">
        <v>356.75363352758393</v>
      </c>
      <c r="BA151" s="146">
        <v>0.99999999900000003</v>
      </c>
      <c r="BB151" s="252">
        <v>10.688121782551192</v>
      </c>
      <c r="BC151" s="244">
        <v>55.016154624592311</v>
      </c>
      <c r="BD151" s="229">
        <v>19909.363531538118</v>
      </c>
      <c r="BE151" s="244">
        <v>12.203769978305807</v>
      </c>
      <c r="BF151" s="146">
        <v>654396.05741000699</v>
      </c>
      <c r="BG151" t="s">
        <v>389</v>
      </c>
      <c r="BH151" s="146">
        <v>2.9302517838413979E-6</v>
      </c>
      <c r="BI151" s="146">
        <v>1399093.6353153812</v>
      </c>
      <c r="BJ151">
        <f t="shared" si="8"/>
        <v>0.46772856433050258</v>
      </c>
    </row>
    <row r="152" spans="1:62" s="140" customFormat="1" x14ac:dyDescent="0.3">
      <c r="A152" s="140">
        <v>-0.1</v>
      </c>
      <c r="B152" s="140">
        <v>1000</v>
      </c>
      <c r="C152" s="140">
        <v>25</v>
      </c>
      <c r="D152" s="140">
        <v>400</v>
      </c>
      <c r="E152" s="253">
        <v>4.5566884354698143</v>
      </c>
      <c r="F152" s="140">
        <v>0.46714550442633451</v>
      </c>
      <c r="G152" s="140">
        <v>4.9037939874102916</v>
      </c>
      <c r="H152" s="140">
        <v>6.1996153121685893</v>
      </c>
      <c r="J152" s="140">
        <v>0.99999999928784844</v>
      </c>
      <c r="K152" s="140">
        <v>0.36</v>
      </c>
      <c r="L152" s="140">
        <v>31.822689429463793</v>
      </c>
      <c r="M152" s="140">
        <v>11.73787724857271</v>
      </c>
      <c r="N152" s="140">
        <v>1.5861604789007444</v>
      </c>
      <c r="Z152" s="140">
        <v>0.25584820977318262</v>
      </c>
      <c r="AL152" s="140">
        <v>1163.532509619231</v>
      </c>
      <c r="AM152" s="140">
        <v>9.5262057424446461E-2</v>
      </c>
      <c r="AN152" s="140">
        <v>0.2502430733128666</v>
      </c>
      <c r="AO152" s="140">
        <v>381.79095079377959</v>
      </c>
      <c r="AP152" s="140">
        <v>370.45227016885912</v>
      </c>
      <c r="AQ152" s="140" t="s">
        <v>303</v>
      </c>
      <c r="AR152" s="140">
        <f t="shared" si="6"/>
        <v>19.525354503836514</v>
      </c>
      <c r="AS152" s="140">
        <f t="shared" si="7"/>
        <v>5.3287291164862003</v>
      </c>
      <c r="AT152" s="140">
        <v>0.4</v>
      </c>
      <c r="AU152" s="140">
        <v>1</v>
      </c>
      <c r="AV152" s="140">
        <v>0.5</v>
      </c>
      <c r="AW152" s="146">
        <v>0.1</v>
      </c>
      <c r="AX152" s="140">
        <v>0.99999999900000003</v>
      </c>
      <c r="AY152" s="140">
        <v>0.36</v>
      </c>
      <c r="AZ152" s="209">
        <v>370.45227016885912</v>
      </c>
      <c r="BA152" s="140">
        <v>0.99999999900000003</v>
      </c>
      <c r="BB152" s="253">
        <v>7.7977618612916144</v>
      </c>
      <c r="BC152" s="245">
        <v>36.619567492025148</v>
      </c>
      <c r="BD152" s="210">
        <v>12776.975198039803</v>
      </c>
      <c r="BE152" s="245">
        <v>8.7935523988990987</v>
      </c>
      <c r="BF152" s="140">
        <v>623411.64999697485</v>
      </c>
      <c r="BG152" t="s">
        <v>389</v>
      </c>
      <c r="BH152" s="140">
        <v>1.9862462375264213E-6</v>
      </c>
      <c r="BI152" s="140">
        <v>1327769.7519803981</v>
      </c>
      <c r="BJ152">
        <f t="shared" si="8"/>
        <v>0.46951788822357382</v>
      </c>
    </row>
    <row r="153" spans="1:62" s="227" customFormat="1" x14ac:dyDescent="0.3">
      <c r="A153" s="280">
        <v>-0.1</v>
      </c>
      <c r="B153" s="227">
        <v>1000</v>
      </c>
      <c r="C153" s="227">
        <v>25</v>
      </c>
      <c r="D153" s="227">
        <v>400</v>
      </c>
      <c r="E153" s="281">
        <v>19.899979648606173</v>
      </c>
      <c r="F153" s="227">
        <v>1.2241651464750989</v>
      </c>
      <c r="G153" s="227">
        <v>21.108958845918036</v>
      </c>
      <c r="H153" s="227">
        <v>25.927283391163986</v>
      </c>
      <c r="J153" s="227">
        <v>0.99999999919405835</v>
      </c>
      <c r="K153" s="227">
        <v>0.36</v>
      </c>
      <c r="L153" s="227">
        <v>132.13904328622007</v>
      </c>
      <c r="M153" s="227">
        <v>48.739811048195932</v>
      </c>
      <c r="N153" s="227">
        <v>5.7288554371120171</v>
      </c>
      <c r="Z153" s="227">
        <v>0.22095856903636923</v>
      </c>
      <c r="AL153" s="227">
        <v>3134.4090218062679</v>
      </c>
      <c r="AM153" s="227">
        <v>5.7992682415590711E-2</v>
      </c>
      <c r="AN153" s="227">
        <v>0.24720334921907683</v>
      </c>
      <c r="AO153" s="227">
        <v>319.49955487467776</v>
      </c>
      <c r="AP153" s="227">
        <v>269.98130325026239</v>
      </c>
      <c r="AQ153" s="227" t="s">
        <v>303</v>
      </c>
      <c r="AR153" s="227">
        <f t="shared" si="6"/>
        <v>19.525354503836514</v>
      </c>
      <c r="AS153" s="227">
        <f t="shared" si="7"/>
        <v>5.3287291164862003</v>
      </c>
      <c r="AT153" s="227">
        <v>0.4</v>
      </c>
      <c r="AU153" s="227">
        <v>1</v>
      </c>
      <c r="AV153" s="227">
        <v>0.5</v>
      </c>
      <c r="AW153" s="146">
        <v>3</v>
      </c>
      <c r="AX153" s="227">
        <v>0.99999999900000003</v>
      </c>
      <c r="AY153" s="227">
        <v>0.36</v>
      </c>
      <c r="AZ153" s="282">
        <v>269.98130325026239</v>
      </c>
      <c r="BA153" s="227">
        <v>0.99999999900000003</v>
      </c>
      <c r="BB153" s="281">
        <v>27.12546757674351</v>
      </c>
      <c r="BC153" s="283">
        <v>203.54964467148702</v>
      </c>
      <c r="BD153" s="284">
        <v>90551.779083117668</v>
      </c>
      <c r="BE153" s="283">
        <v>35.209004958237308</v>
      </c>
      <c r="BF153" s="227">
        <v>336700.73615016323</v>
      </c>
      <c r="BG153" s="280" t="s">
        <v>390</v>
      </c>
      <c r="BH153" s="227">
        <v>7.8839828296633069E-6</v>
      </c>
      <c r="BI153" s="227">
        <v>2105517.7908311766</v>
      </c>
      <c r="BJ153">
        <f t="shared" si="8"/>
        <v>0.15991350802941773</v>
      </c>
    </row>
    <row r="154" spans="1:62" s="227" customFormat="1" x14ac:dyDescent="0.3">
      <c r="A154" s="280">
        <v>-0.2</v>
      </c>
      <c r="B154" s="227">
        <v>1000</v>
      </c>
      <c r="C154" s="227">
        <v>25</v>
      </c>
      <c r="D154" s="227">
        <v>400</v>
      </c>
      <c r="E154" s="281">
        <v>19.898307850745905</v>
      </c>
      <c r="F154" s="227">
        <v>1.2276354084247367</v>
      </c>
      <c r="G154" s="227">
        <v>21.109233290696771</v>
      </c>
      <c r="H154" s="227">
        <v>25.927891012635964</v>
      </c>
      <c r="J154" s="227">
        <v>0.99999999919420213</v>
      </c>
      <c r="K154" s="227">
        <v>0.36</v>
      </c>
      <c r="L154" s="227">
        <v>132.17153853408769</v>
      </c>
      <c r="M154" s="227">
        <v>48.751797000278245</v>
      </c>
      <c r="N154" s="227">
        <v>5.7310293004421808</v>
      </c>
      <c r="Z154" s="227">
        <v>0.22103723352004073</v>
      </c>
      <c r="AL154" s="227">
        <v>3125.4667818899907</v>
      </c>
      <c r="AM154" s="227">
        <v>5.815632389480381E-2</v>
      </c>
      <c r="AN154" s="227">
        <v>0.21978892489885582</v>
      </c>
      <c r="AO154" s="227">
        <v>309.46628516471947</v>
      </c>
      <c r="AP154" s="227">
        <v>259.95213166890011</v>
      </c>
      <c r="AQ154" s="227" t="s">
        <v>303</v>
      </c>
      <c r="AR154" s="227">
        <f t="shared" si="6"/>
        <v>19.525354503836514</v>
      </c>
      <c r="AS154" s="227">
        <f t="shared" si="7"/>
        <v>5.3287291164862003</v>
      </c>
      <c r="AT154" s="227">
        <v>0.4</v>
      </c>
      <c r="AU154" s="227">
        <v>1</v>
      </c>
      <c r="AV154" s="227">
        <v>0.5</v>
      </c>
      <c r="AW154" s="146">
        <v>3</v>
      </c>
      <c r="AX154" s="227">
        <v>0.99999999900000003</v>
      </c>
      <c r="AY154" s="227">
        <v>0.36</v>
      </c>
      <c r="AZ154" s="282">
        <v>259.95213166890011</v>
      </c>
      <c r="BA154" s="227">
        <v>0.99999999900000003</v>
      </c>
      <c r="BB154" s="281">
        <v>27.142893928329755</v>
      </c>
      <c r="BC154" s="283">
        <v>203.62947973508312</v>
      </c>
      <c r="BD154" s="284">
        <v>90589.316129594954</v>
      </c>
      <c r="BE154" s="283">
        <v>35.213614560315555</v>
      </c>
      <c r="BF154" s="227">
        <v>336763.380119732</v>
      </c>
      <c r="BG154" s="280" t="s">
        <v>390</v>
      </c>
      <c r="BH154" s="227">
        <v>7.8818368329624931E-6</v>
      </c>
      <c r="BI154" s="227">
        <v>2105893.1612959495</v>
      </c>
      <c r="BJ154">
        <f t="shared" si="8"/>
        <v>0.15991475080933856</v>
      </c>
    </row>
    <row r="155" spans="1:62" s="227" customFormat="1" x14ac:dyDescent="0.3">
      <c r="A155" s="280">
        <v>-0.3</v>
      </c>
      <c r="B155" s="227">
        <v>1000</v>
      </c>
      <c r="C155" s="227">
        <v>25</v>
      </c>
      <c r="D155" s="227">
        <v>400</v>
      </c>
      <c r="E155" s="281">
        <v>19.896220194316324</v>
      </c>
      <c r="F155" s="227">
        <v>1.2322166356732833</v>
      </c>
      <c r="G155" s="227">
        <v>21.109722114396224</v>
      </c>
      <c r="H155" s="227">
        <v>25.928312557448557</v>
      </c>
      <c r="J155" s="227">
        <v>0.99999999919435556</v>
      </c>
      <c r="K155" s="227">
        <v>0.36</v>
      </c>
      <c r="L155" s="227">
        <v>132.21526356253835</v>
      </c>
      <c r="M155" s="227">
        <v>48.767925084542831</v>
      </c>
      <c r="N155" s="227">
        <v>5.7333955682079498</v>
      </c>
      <c r="Z155" s="227">
        <v>0.22112490180395053</v>
      </c>
      <c r="AL155" s="227">
        <v>3113.7671624780232</v>
      </c>
      <c r="AM155" s="227">
        <v>5.8371996987726667E-2</v>
      </c>
      <c r="AN155" s="227">
        <v>0.19237991830142537</v>
      </c>
      <c r="AO155" s="227">
        <v>296.5784975376564</v>
      </c>
      <c r="AP155" s="227">
        <v>247.06937837404936</v>
      </c>
      <c r="AQ155" s="227" t="s">
        <v>303</v>
      </c>
      <c r="AR155" s="227">
        <f t="shared" si="6"/>
        <v>19.525354503836514</v>
      </c>
      <c r="AS155" s="227">
        <f t="shared" si="7"/>
        <v>5.3287291164862003</v>
      </c>
      <c r="AT155" s="227">
        <v>0.4</v>
      </c>
      <c r="AU155" s="227">
        <v>1</v>
      </c>
      <c r="AV155" s="227">
        <v>0.5</v>
      </c>
      <c r="AW155" s="146">
        <v>3</v>
      </c>
      <c r="AX155" s="227">
        <v>0.99999999900000003</v>
      </c>
      <c r="AY155" s="227">
        <v>0.36</v>
      </c>
      <c r="AZ155" s="282">
        <v>247.06937837404936</v>
      </c>
      <c r="BA155" s="227">
        <v>0.99999999900000003</v>
      </c>
      <c r="BB155" s="281">
        <v>27.166018905277358</v>
      </c>
      <c r="BC155" s="283">
        <v>203.73695139015513</v>
      </c>
      <c r="BD155" s="284">
        <v>90640.294392608601</v>
      </c>
      <c r="BE155" s="283">
        <v>35.220489507148351</v>
      </c>
      <c r="BF155" s="227">
        <v>336852.08997069631</v>
      </c>
      <c r="BG155" s="280" t="s">
        <v>390</v>
      </c>
      <c r="BH155" s="227">
        <v>7.8789857294790679E-6</v>
      </c>
      <c r="BI155" s="227">
        <v>2106402.9439260857</v>
      </c>
      <c r="BJ155">
        <f t="shared" si="8"/>
        <v>0.15991816330395167</v>
      </c>
    </row>
    <row r="156" spans="1:62" s="227" customFormat="1" x14ac:dyDescent="0.3">
      <c r="A156" s="280">
        <v>-0.4</v>
      </c>
      <c r="B156" s="227">
        <v>1000</v>
      </c>
      <c r="C156" s="227">
        <v>25</v>
      </c>
      <c r="D156" s="227">
        <v>400</v>
      </c>
      <c r="E156" s="281">
        <v>19.893353629481851</v>
      </c>
      <c r="F156" s="227">
        <v>1.2385613627694003</v>
      </c>
      <c r="G156" s="227">
        <v>21.110429350405582</v>
      </c>
      <c r="H156" s="227">
        <v>25.927841599902742</v>
      </c>
      <c r="J156" s="227">
        <v>0.99999999919449289</v>
      </c>
      <c r="K156" s="227">
        <v>0.36</v>
      </c>
      <c r="L156" s="227">
        <v>132.27615043545651</v>
      </c>
      <c r="M156" s="227">
        <v>48.790383357340524</v>
      </c>
      <c r="N156" s="227">
        <v>5.7355904565400841</v>
      </c>
      <c r="Z156" s="227">
        <v>0.22121357207618852</v>
      </c>
      <c r="AL156" s="227">
        <v>3097.7133810584291</v>
      </c>
      <c r="AM156" s="227">
        <v>5.8670590835027459E-2</v>
      </c>
      <c r="AN156" s="227">
        <v>0.16498043218918801</v>
      </c>
      <c r="AO156" s="227">
        <v>279.41992049899864</v>
      </c>
      <c r="AP156" s="227">
        <v>229.91815278838723</v>
      </c>
      <c r="AQ156" s="227" t="s">
        <v>303</v>
      </c>
      <c r="AR156" s="227">
        <f t="shared" si="6"/>
        <v>19.525354503836514</v>
      </c>
      <c r="AS156" s="227">
        <f t="shared" si="7"/>
        <v>5.3287291164862003</v>
      </c>
      <c r="AT156" s="227">
        <v>0.4</v>
      </c>
      <c r="AU156" s="227">
        <v>1</v>
      </c>
      <c r="AV156" s="227">
        <v>0.5</v>
      </c>
      <c r="AW156" s="146">
        <v>3</v>
      </c>
      <c r="AX156" s="227">
        <v>0.99999999900000003</v>
      </c>
      <c r="AY156" s="227">
        <v>0.36</v>
      </c>
      <c r="AZ156" s="282">
        <v>229.91815278838723</v>
      </c>
      <c r="BA156" s="227">
        <v>0.99999999900000003</v>
      </c>
      <c r="BB156" s="281">
        <v>27.198075654637545</v>
      </c>
      <c r="BC156" s="283">
        <v>203.88669505047125</v>
      </c>
      <c r="BD156" s="284">
        <v>90712.160242969621</v>
      </c>
      <c r="BE156" s="283">
        <v>35.231320765139834</v>
      </c>
      <c r="BF156" s="227">
        <v>336978.56744426046</v>
      </c>
      <c r="BG156" s="280" t="s">
        <v>390</v>
      </c>
      <c r="BH156" s="227">
        <v>7.8749951282448163E-6</v>
      </c>
      <c r="BI156" s="227">
        <v>2107121.6024296964</v>
      </c>
      <c r="BJ156">
        <f t="shared" si="8"/>
        <v>0.15992364515445837</v>
      </c>
    </row>
    <row r="157" spans="1:62" s="227" customFormat="1" x14ac:dyDescent="0.3">
      <c r="A157" s="280">
        <v>-0.5</v>
      </c>
      <c r="B157" s="227">
        <v>1000</v>
      </c>
      <c r="C157" s="227">
        <v>25</v>
      </c>
      <c r="D157" s="227">
        <v>400</v>
      </c>
      <c r="E157" s="281">
        <v>19.88959435190613</v>
      </c>
      <c r="F157" s="227">
        <v>1.2480311241799564</v>
      </c>
      <c r="G157" s="227">
        <v>21.11203705865131</v>
      </c>
      <c r="H157" s="227">
        <v>25.925239164762846</v>
      </c>
      <c r="J157" s="227">
        <v>0.99999999919451554</v>
      </c>
      <c r="K157" s="227">
        <v>0.36</v>
      </c>
      <c r="L157" s="227">
        <v>132.3707620256009</v>
      </c>
      <c r="M157" s="227">
        <v>48.825281075016726</v>
      </c>
      <c r="N157" s="227">
        <v>5.7364312459657505</v>
      </c>
      <c r="Z157" s="227">
        <v>0.22126820931174329</v>
      </c>
      <c r="AL157" s="227">
        <v>3074.1776974356021</v>
      </c>
      <c r="AM157" s="227">
        <v>5.9114670967695043E-2</v>
      </c>
      <c r="AN157" s="227">
        <v>0.13760092132548399</v>
      </c>
      <c r="AO157" s="227">
        <v>255.45449724963046</v>
      </c>
      <c r="AP157" s="227">
        <v>205.96207445272896</v>
      </c>
      <c r="AQ157" s="227" t="s">
        <v>303</v>
      </c>
      <c r="AR157" s="227">
        <f t="shared" si="6"/>
        <v>19.525354503836514</v>
      </c>
      <c r="AS157" s="227">
        <f t="shared" si="7"/>
        <v>5.3287291164862003</v>
      </c>
      <c r="AT157" s="227">
        <v>0.4</v>
      </c>
      <c r="AU157" s="227">
        <v>1</v>
      </c>
      <c r="AV157" s="227">
        <v>0.5</v>
      </c>
      <c r="AW157" s="146">
        <v>3</v>
      </c>
      <c r="AX157" s="227">
        <v>0.99999999900000003</v>
      </c>
      <c r="AY157" s="227">
        <v>0.36</v>
      </c>
      <c r="AZ157" s="282">
        <v>205.96207445272896</v>
      </c>
      <c r="BA157" s="227">
        <v>0.99999999900000003</v>
      </c>
      <c r="BB157" s="281">
        <v>27.246443469177525</v>
      </c>
      <c r="BC157" s="283">
        <v>204.11958851388385</v>
      </c>
      <c r="BD157" s="284">
        <v>90826.003559032484</v>
      </c>
      <c r="BE157" s="283">
        <v>35.25126934819707</v>
      </c>
      <c r="BF157" s="227">
        <v>337194.47713479481</v>
      </c>
      <c r="BG157" s="280" t="s">
        <v>390</v>
      </c>
      <c r="BH157" s="227">
        <v>7.8689445772002466E-6</v>
      </c>
      <c r="BI157" s="227">
        <v>2108260.0355903246</v>
      </c>
      <c r="BJ157">
        <f t="shared" si="8"/>
        <v>0.15993969977255604</v>
      </c>
    </row>
    <row r="158" spans="1:62" s="227" customFormat="1" x14ac:dyDescent="0.3">
      <c r="A158" s="280">
        <v>-0.6</v>
      </c>
      <c r="B158" s="227">
        <v>1000</v>
      </c>
      <c r="C158" s="227">
        <v>25</v>
      </c>
      <c r="D158" s="227">
        <v>400</v>
      </c>
      <c r="E158" s="281">
        <v>19.884545089087055</v>
      </c>
      <c r="F158" s="227">
        <v>1.2640846519865372</v>
      </c>
      <c r="G158" s="227">
        <v>21.116180663350985</v>
      </c>
      <c r="H158" s="227">
        <v>25.914722114782059</v>
      </c>
      <c r="J158" s="227">
        <v>0.99999999919398042</v>
      </c>
      <c r="K158" s="227">
        <v>0.36</v>
      </c>
      <c r="L158" s="227">
        <v>132.54174853253971</v>
      </c>
      <c r="M158" s="227">
        <v>48.888349868559736</v>
      </c>
      <c r="N158" s="227">
        <v>5.730380406271788</v>
      </c>
      <c r="Z158" s="227">
        <v>0.22112451682447765</v>
      </c>
      <c r="AL158" s="227">
        <v>3035.3926240911628</v>
      </c>
      <c r="AM158" s="227">
        <v>5.9863318662568034E-2</v>
      </c>
      <c r="AN158" s="227">
        <v>0.11027503232213583</v>
      </c>
      <c r="AO158" s="227">
        <v>219.6822556260945</v>
      </c>
      <c r="AP158" s="227">
        <v>170.20242095527172</v>
      </c>
      <c r="AQ158" s="227" t="s">
        <v>303</v>
      </c>
      <c r="AR158" s="227">
        <f t="shared" si="6"/>
        <v>19.525354503836514</v>
      </c>
      <c r="AS158" s="227">
        <f t="shared" si="7"/>
        <v>5.3287291164862003</v>
      </c>
      <c r="AT158" s="227">
        <v>0.4</v>
      </c>
      <c r="AU158" s="227">
        <v>1</v>
      </c>
      <c r="AV158" s="227">
        <v>0.5</v>
      </c>
      <c r="AW158" s="146">
        <v>3</v>
      </c>
      <c r="AX158" s="227">
        <v>0.99999999900000003</v>
      </c>
      <c r="AY158" s="227">
        <v>0.36</v>
      </c>
      <c r="AZ158" s="282">
        <v>170.20242095527172</v>
      </c>
      <c r="BA158" s="227">
        <v>0.99999999900000003</v>
      </c>
      <c r="BB158" s="281">
        <v>27.329777409340011</v>
      </c>
      <c r="BC158" s="283">
        <v>204.54112844862763</v>
      </c>
      <c r="BD158" s="284">
        <v>91037.941862294538</v>
      </c>
      <c r="BE158" s="283">
        <v>35.296170859637535</v>
      </c>
      <c r="BF158" s="227">
        <v>337635.13255925436</v>
      </c>
      <c r="BG158" s="280" t="s">
        <v>390</v>
      </c>
      <c r="BH158" s="227">
        <v>7.8583597910802771E-6</v>
      </c>
      <c r="BI158" s="227">
        <v>2110379.4186229454</v>
      </c>
      <c r="BJ158">
        <f t="shared" si="8"/>
        <v>0.15998788160072486</v>
      </c>
    </row>
    <row r="159" spans="1:62" s="227" customFormat="1" x14ac:dyDescent="0.3">
      <c r="A159" s="280">
        <v>-0.7</v>
      </c>
      <c r="B159" s="227">
        <v>1000</v>
      </c>
      <c r="C159" s="227">
        <v>25</v>
      </c>
      <c r="D159" s="227">
        <v>400</v>
      </c>
      <c r="E159" s="281">
        <v>19.882378448071414</v>
      </c>
      <c r="F159" s="227">
        <v>1.3011941802087499</v>
      </c>
      <c r="G159" s="227">
        <v>21.135947462017484</v>
      </c>
      <c r="H159" s="227">
        <v>25.863830429308383</v>
      </c>
      <c r="J159" s="227">
        <v>0.99999999918951299</v>
      </c>
      <c r="K159" s="227">
        <v>0.36</v>
      </c>
      <c r="L159" s="227">
        <v>133.02228433123076</v>
      </c>
      <c r="M159" s="227">
        <v>49.065596679552343</v>
      </c>
      <c r="N159" s="227">
        <v>5.6799660226939004</v>
      </c>
      <c r="Z159" s="227">
        <v>0.21961039522813586</v>
      </c>
      <c r="AL159" s="227">
        <v>2951.5495627106739</v>
      </c>
      <c r="AM159" s="227">
        <v>6.1563087367957875E-2</v>
      </c>
      <c r="AN159" s="227">
        <v>8.320414392491142E-2</v>
      </c>
      <c r="AO159" s="227">
        <v>161.04100697178609</v>
      </c>
      <c r="AP159" s="227">
        <v>111.56655136372366</v>
      </c>
      <c r="AQ159" s="227" t="s">
        <v>303</v>
      </c>
      <c r="AR159" s="227">
        <f t="shared" si="6"/>
        <v>19.525354503836514</v>
      </c>
      <c r="AS159" s="227">
        <f t="shared" si="7"/>
        <v>5.3287291164862003</v>
      </c>
      <c r="AT159" s="227">
        <v>0.4</v>
      </c>
      <c r="AU159" s="227">
        <v>1</v>
      </c>
      <c r="AV159" s="227">
        <v>0.5</v>
      </c>
      <c r="AW159" s="146">
        <v>3</v>
      </c>
      <c r="AX159" s="227">
        <v>0.99999999900000003</v>
      </c>
      <c r="AY159" s="227">
        <v>0.36</v>
      </c>
      <c r="AZ159" s="282">
        <v>111.56655136372366</v>
      </c>
      <c r="BA159" s="227">
        <v>0.99999999900000003</v>
      </c>
      <c r="BB159" s="281">
        <v>27.531986891874453</v>
      </c>
      <c r="BC159" s="283">
        <v>205.73027808154521</v>
      </c>
      <c r="BD159" s="284">
        <v>91659.868263189157</v>
      </c>
      <c r="BE159" s="283">
        <v>35.458491455131337</v>
      </c>
      <c r="BF159" s="227">
        <v>339180.87822702539</v>
      </c>
      <c r="BG159" s="280" t="s">
        <v>390</v>
      </c>
      <c r="BH159" s="227">
        <v>7.8317038029804152E-6</v>
      </c>
      <c r="BI159" s="227">
        <v>2116598.6826318917</v>
      </c>
      <c r="BJ159">
        <f t="shared" si="8"/>
        <v>0.16024808151409686</v>
      </c>
    </row>
    <row r="160" spans="1:62" s="227" customFormat="1" x14ac:dyDescent="0.3">
      <c r="A160" s="280">
        <v>-0.8</v>
      </c>
      <c r="B160" s="227">
        <v>1000</v>
      </c>
      <c r="C160" s="227">
        <v>25</v>
      </c>
      <c r="D160" s="227">
        <v>400</v>
      </c>
      <c r="E160" s="281">
        <v>20.842711582839097</v>
      </c>
      <c r="F160" s="227">
        <v>1.7355731769499583</v>
      </c>
      <c r="G160" s="227">
        <v>22.445588269139716</v>
      </c>
      <c r="H160" s="227">
        <v>25.984328869115476</v>
      </c>
      <c r="J160" s="227">
        <v>0.9999999990346603</v>
      </c>
      <c r="K160" s="227">
        <v>0.36</v>
      </c>
      <c r="L160" s="227">
        <v>150.70696265137423</v>
      </c>
      <c r="M160" s="227">
        <v>55.58863376485116</v>
      </c>
      <c r="N160" s="227">
        <v>4.7740722384357177</v>
      </c>
      <c r="Z160" s="227">
        <v>0.18372890300469133</v>
      </c>
      <c r="AL160" s="227">
        <v>2410.3637675276291</v>
      </c>
      <c r="AM160" s="227">
        <v>7.7323577183146752E-2</v>
      </c>
      <c r="AN160" s="227">
        <v>6.4169280653971955E-2</v>
      </c>
      <c r="AO160" s="227">
        <v>75.191752651368176</v>
      </c>
      <c r="AP160" s="227">
        <v>23.327648309768833</v>
      </c>
      <c r="AQ160" s="227" t="s">
        <v>303</v>
      </c>
      <c r="AR160" s="227">
        <f t="shared" si="6"/>
        <v>19.525354503836514</v>
      </c>
      <c r="AS160" s="227">
        <f t="shared" si="7"/>
        <v>5.3287291164862003</v>
      </c>
      <c r="AT160" s="227">
        <v>0.4</v>
      </c>
      <c r="AU160" s="227">
        <v>1</v>
      </c>
      <c r="AV160" s="227">
        <v>0.5</v>
      </c>
      <c r="AW160" s="146">
        <v>3</v>
      </c>
      <c r="AX160" s="227">
        <v>0.99999999900000003</v>
      </c>
      <c r="AY160" s="227">
        <v>0.36</v>
      </c>
      <c r="AZ160" s="282">
        <v>23.327648309768833</v>
      </c>
      <c r="BA160" s="227">
        <v>0.99999999900000003</v>
      </c>
      <c r="BB160" s="281">
        <v>30.889768592024044</v>
      </c>
      <c r="BC160" s="283">
        <v>254.8436996322049</v>
      </c>
      <c r="BD160" s="284">
        <v>115821.22942254007</v>
      </c>
      <c r="BE160" s="283">
        <v>39.192339498051467</v>
      </c>
      <c r="BF160" s="227">
        <v>427298.45884407882</v>
      </c>
      <c r="BG160" s="280" t="s">
        <v>390</v>
      </c>
      <c r="BH160" s="227">
        <v>7.2109588744652106E-6</v>
      </c>
      <c r="BI160" s="227">
        <v>2358212.2942254008</v>
      </c>
      <c r="BJ160">
        <f t="shared" si="8"/>
        <v>0.18119592535854923</v>
      </c>
    </row>
    <row r="161" spans="1:62" s="227" customFormat="1" x14ac:dyDescent="0.3">
      <c r="A161" s="280">
        <v>-0.85</v>
      </c>
      <c r="B161" s="227">
        <v>1000</v>
      </c>
      <c r="C161" s="227">
        <v>25</v>
      </c>
      <c r="D161" s="227">
        <v>400</v>
      </c>
      <c r="E161" s="281">
        <v>14.15753932225782</v>
      </c>
      <c r="F161" s="227">
        <v>1.0871281413063145</v>
      </c>
      <c r="G161" s="227">
        <v>15.099502641193283</v>
      </c>
      <c r="H161" s="227">
        <v>18.560222786932847</v>
      </c>
      <c r="J161" s="227">
        <v>0.99999999916058002</v>
      </c>
      <c r="K161" s="227">
        <v>0.36</v>
      </c>
      <c r="L161" s="227">
        <v>99.173017444089382</v>
      </c>
      <c r="M161" s="227">
        <v>36.580211352328057</v>
      </c>
      <c r="N161" s="227">
        <v>4.2034838419149612</v>
      </c>
      <c r="Z161" s="227">
        <v>0.22647809189415469</v>
      </c>
      <c r="AL161" s="227">
        <v>2155.4236749884317</v>
      </c>
      <c r="AM161" s="227">
        <v>7.1997612579668455E-2</v>
      </c>
      <c r="AN161" s="227">
        <v>4.5509577394889825E-2</v>
      </c>
      <c r="AO161" s="227">
        <v>88.910771475378681</v>
      </c>
      <c r="AP161" s="227">
        <v>53.681754030951595</v>
      </c>
      <c r="AQ161" s="227" t="s">
        <v>303</v>
      </c>
      <c r="AR161" s="227">
        <f t="shared" si="6"/>
        <v>19.525354503836514</v>
      </c>
      <c r="AS161" s="227">
        <f t="shared" si="7"/>
        <v>5.3287291164862003</v>
      </c>
      <c r="AT161" s="227">
        <v>0.4</v>
      </c>
      <c r="AU161" s="227">
        <v>1</v>
      </c>
      <c r="AV161" s="227">
        <v>0.5</v>
      </c>
      <c r="AW161" s="146">
        <v>3</v>
      </c>
      <c r="AX161" s="227">
        <v>0.99999999900000003</v>
      </c>
      <c r="AY161" s="227">
        <v>0.36</v>
      </c>
      <c r="AZ161" s="282">
        <v>53.681754030951595</v>
      </c>
      <c r="BA161" s="227">
        <v>0.99999999900000003</v>
      </c>
      <c r="BB161" s="281">
        <v>20.815105573078423</v>
      </c>
      <c r="BC161" s="283">
        <v>134.750645679408</v>
      </c>
      <c r="BD161" s="284">
        <v>55287.46010682873</v>
      </c>
      <c r="BE161" s="283">
        <v>24.609053633513469</v>
      </c>
      <c r="BF161" s="227">
        <v>644144.20202489558</v>
      </c>
      <c r="BG161" s="280" t="s">
        <v>390</v>
      </c>
      <c r="BH161" s="227">
        <v>5.5809052965144886E-6</v>
      </c>
      <c r="BI161" s="227">
        <v>1752874.6010682872</v>
      </c>
      <c r="BJ161">
        <f t="shared" si="8"/>
        <v>0.36747876980607896</v>
      </c>
    </row>
    <row r="162" spans="1:62" s="256" customFormat="1" ht="15" thickBot="1" x14ac:dyDescent="0.35">
      <c r="A162" s="256">
        <v>-0.87</v>
      </c>
      <c r="B162" s="256">
        <v>1000</v>
      </c>
      <c r="C162" s="256">
        <v>25</v>
      </c>
      <c r="D162" s="256">
        <v>400</v>
      </c>
      <c r="E162" s="257">
        <v>4.4311273963463647</v>
      </c>
      <c r="F162" s="256">
        <v>0.4988244709650404</v>
      </c>
      <c r="G162" s="256">
        <v>4.7925606153791449</v>
      </c>
      <c r="H162" s="256">
        <v>6.0751591451607965</v>
      </c>
      <c r="J162" s="256">
        <v>0.99999999929884753</v>
      </c>
      <c r="K162" s="256">
        <v>0.36</v>
      </c>
      <c r="L162" s="256">
        <v>31.271745457105485</v>
      </c>
      <c r="M162" s="256">
        <v>11.53466020958809</v>
      </c>
      <c r="N162" s="256">
        <v>1.5880212586876086</v>
      </c>
      <c r="Z162" s="256">
        <v>0.2613958286101124</v>
      </c>
      <c r="AL162" s="256">
        <v>1059.3997697587524</v>
      </c>
      <c r="AM162" s="256">
        <v>0.10408308021485041</v>
      </c>
      <c r="AN162" s="256">
        <v>3.5855004386574123E-2</v>
      </c>
      <c r="AO162" s="256">
        <v>276.41537151768983</v>
      </c>
      <c r="AP162" s="256">
        <v>265.3891404149486</v>
      </c>
      <c r="AQ162" s="256" t="s">
        <v>303</v>
      </c>
      <c r="AR162" s="256">
        <f t="shared" si="6"/>
        <v>19.525354503836514</v>
      </c>
      <c r="AS162" s="256">
        <f t="shared" si="7"/>
        <v>5.3287291164862003</v>
      </c>
      <c r="AT162" s="256">
        <v>0.4</v>
      </c>
      <c r="AU162" s="256">
        <v>1</v>
      </c>
      <c r="AV162" s="256">
        <v>0.5</v>
      </c>
      <c r="AW162" s="146">
        <v>3</v>
      </c>
      <c r="AX162" s="256">
        <v>0.99999999900000003</v>
      </c>
      <c r="AY162" s="256">
        <v>0.36</v>
      </c>
      <c r="AZ162" s="258">
        <v>265.3891404149486</v>
      </c>
      <c r="BA162" s="256">
        <v>0.99999999900000003</v>
      </c>
      <c r="BB162" s="257">
        <v>7.8913122827978279</v>
      </c>
      <c r="BC162" s="259">
        <v>35.948159918953465</v>
      </c>
      <c r="BD162" s="258">
        <v>12614.403256029467</v>
      </c>
      <c r="BE162" s="259">
        <v>8.8602335011504909</v>
      </c>
      <c r="BF162" s="256">
        <v>897207.09517235169</v>
      </c>
      <c r="BG162" t="s">
        <v>390</v>
      </c>
      <c r="BH162" s="256">
        <v>1.6046770489303872E-6</v>
      </c>
      <c r="BI162" s="256">
        <v>1326144.0325602947</v>
      </c>
      <c r="BJ162">
        <f t="shared" si="8"/>
        <v>0.67655328014422078</v>
      </c>
    </row>
    <row r="163" spans="1:62" x14ac:dyDescent="0.3">
      <c r="A163">
        <v>-0.1</v>
      </c>
      <c r="B163" s="146">
        <v>100</v>
      </c>
      <c r="C163" s="146">
        <v>25</v>
      </c>
      <c r="D163" s="146">
        <v>400</v>
      </c>
      <c r="E163" s="249">
        <v>3.2082586643919182</v>
      </c>
      <c r="F163">
        <v>0.73436651774770823</v>
      </c>
      <c r="G163">
        <v>3.7922848993419103</v>
      </c>
      <c r="H163">
        <v>1.871566405235094</v>
      </c>
      <c r="J163">
        <v>0.33047401233759771</v>
      </c>
      <c r="K163">
        <v>0.18</v>
      </c>
      <c r="L163">
        <v>18.830330449885111</v>
      </c>
      <c r="M163">
        <v>9.3760981493203879</v>
      </c>
      <c r="N163">
        <v>0.73609256756556762</v>
      </c>
      <c r="Z163">
        <v>0.39330293892142421</v>
      </c>
      <c r="AL163">
        <v>743.99975964337125</v>
      </c>
      <c r="AM163">
        <v>0.19364750730493527</v>
      </c>
      <c r="AN163">
        <v>0.19973098781311019</v>
      </c>
      <c r="AO163">
        <v>383.9371011002363</v>
      </c>
      <c r="AP163">
        <v>375.95347586058705</v>
      </c>
      <c r="AQ163" t="s">
        <v>326</v>
      </c>
      <c r="AR163">
        <f t="shared" ref="AR163:AR194" si="9">0.3*Jsat_t</f>
        <v>9.762677251918257</v>
      </c>
      <c r="AS163">
        <f t="shared" ref="AS163:AS194" si="10">0.1*Jatp</f>
        <v>2.6643645582431001</v>
      </c>
      <c r="AT163">
        <v>0.2</v>
      </c>
      <c r="AU163">
        <v>1</v>
      </c>
      <c r="AV163">
        <v>0.3</v>
      </c>
      <c r="AW163">
        <v>3</v>
      </c>
      <c r="AX163">
        <v>0.2235655660545357</v>
      </c>
      <c r="AY163">
        <v>0.18</v>
      </c>
      <c r="AZ163" s="209">
        <v>375.95347586058705</v>
      </c>
      <c r="BA163">
        <v>0.2235655660545357</v>
      </c>
      <c r="BB163" s="249">
        <v>8.8503633153560948</v>
      </c>
      <c r="BC163" s="243">
        <v>70.156440086234795</v>
      </c>
      <c r="BD163" s="209">
        <v>25494.883604683313</v>
      </c>
      <c r="BE163" s="243">
        <v>16.580750344220331</v>
      </c>
      <c r="BF163">
        <v>18055.200383162286</v>
      </c>
      <c r="BG163" t="s">
        <v>387</v>
      </c>
      <c r="BH163">
        <v>1.9723178111366849E-6</v>
      </c>
      <c r="BI163">
        <v>1454948.8360468331</v>
      </c>
      <c r="BJ163">
        <f t="shared" si="8"/>
        <v>1.2409508799099181E-2</v>
      </c>
    </row>
    <row r="164" spans="1:62" x14ac:dyDescent="0.3">
      <c r="A164">
        <v>-0.1</v>
      </c>
      <c r="B164" s="146">
        <v>200</v>
      </c>
      <c r="C164" s="146">
        <v>25</v>
      </c>
      <c r="D164" s="146">
        <v>400</v>
      </c>
      <c r="E164" s="252">
        <v>5.9536750944228718</v>
      </c>
      <c r="F164" s="146">
        <v>1.305340602296277</v>
      </c>
      <c r="G164" s="146">
        <v>6.9258397729131636</v>
      </c>
      <c r="H164" s="146">
        <v>3.4589975402565472</v>
      </c>
      <c r="I164" s="146"/>
      <c r="J164" s="146">
        <v>0.33087300611169285</v>
      </c>
      <c r="K164" s="146">
        <v>0.18</v>
      </c>
      <c r="L164" s="146">
        <v>34.870981353781346</v>
      </c>
      <c r="M164" s="146">
        <v>17.363144242546728</v>
      </c>
      <c r="N164" s="146">
        <v>1.1448574362455282</v>
      </c>
      <c r="O164" s="146"/>
      <c r="P164" s="146"/>
      <c r="Q164" s="146"/>
      <c r="R164" s="146"/>
      <c r="S164" s="146"/>
      <c r="T164" s="146"/>
      <c r="U164" s="146"/>
      <c r="V164" s="146"/>
      <c r="W164" s="146"/>
      <c r="X164" s="146"/>
      <c r="Y164" s="146"/>
      <c r="Z164" s="146">
        <v>0.330979546218647</v>
      </c>
      <c r="AA164" s="146"/>
      <c r="AB164" s="146"/>
      <c r="AC164" s="146"/>
      <c r="AD164" s="146"/>
      <c r="AE164" s="146"/>
      <c r="AF164" s="146"/>
      <c r="AG164" s="146"/>
      <c r="AH164" s="146"/>
      <c r="AI164" s="146"/>
      <c r="AJ164" s="146"/>
      <c r="AK164" s="146"/>
      <c r="AL164" s="146">
        <v>931.01923307775189</v>
      </c>
      <c r="AM164" s="146">
        <v>0.18847398223121489</v>
      </c>
      <c r="AN164" s="146">
        <v>0.22386783381519174</v>
      </c>
      <c r="AO164" s="146">
        <v>373.40540178122342</v>
      </c>
      <c r="AP164" s="146">
        <v>358.59051495498778</v>
      </c>
      <c r="AQ164" t="s">
        <v>326</v>
      </c>
      <c r="AR164">
        <f t="shared" si="9"/>
        <v>9.762677251918257</v>
      </c>
      <c r="AS164">
        <f t="shared" si="10"/>
        <v>2.6643645582431001</v>
      </c>
      <c r="AT164">
        <v>0.2</v>
      </c>
      <c r="AU164">
        <v>1</v>
      </c>
      <c r="AV164">
        <v>0.3</v>
      </c>
      <c r="AW164">
        <v>3</v>
      </c>
      <c r="AX164" s="146">
        <v>0.23564223151758157</v>
      </c>
      <c r="AY164">
        <v>0.18</v>
      </c>
      <c r="AZ164" s="209">
        <v>358.59051495498778</v>
      </c>
      <c r="BA164">
        <v>0.23564223151758157</v>
      </c>
      <c r="BB164" s="249">
        <v>15.843725957267278</v>
      </c>
      <c r="BC164" s="243">
        <v>102.12618177781232</v>
      </c>
      <c r="BD164" s="209">
        <v>40891.443168306818</v>
      </c>
      <c r="BE164" s="243">
        <v>25.671569159048985</v>
      </c>
      <c r="BF164">
        <v>50386.953294219362</v>
      </c>
      <c r="BG164" t="s">
        <v>387</v>
      </c>
      <c r="BH164">
        <v>3.3738903351585766E-6</v>
      </c>
      <c r="BI164">
        <v>1608914.4316830682</v>
      </c>
      <c r="BJ164">
        <f t="shared" si="8"/>
        <v>3.1317360514636017E-2</v>
      </c>
    </row>
    <row r="165" spans="1:62" x14ac:dyDescent="0.3">
      <c r="A165">
        <v>-0.1</v>
      </c>
      <c r="B165" s="146">
        <v>300</v>
      </c>
      <c r="C165" s="146">
        <v>25</v>
      </c>
      <c r="D165" s="146">
        <v>400</v>
      </c>
      <c r="E165" s="252">
        <v>8.3189037940657915</v>
      </c>
      <c r="F165" s="146">
        <v>1.8037659971389113</v>
      </c>
      <c r="G165" s="146">
        <v>9.6158089374455216</v>
      </c>
      <c r="H165" s="146">
        <v>4.8565027390542799</v>
      </c>
      <c r="I165" s="146"/>
      <c r="J165" s="146">
        <v>0.33234314954734145</v>
      </c>
      <c r="K165" s="146">
        <v>0.18</v>
      </c>
      <c r="L165" s="146">
        <v>49.032462773553718</v>
      </c>
      <c r="M165" s="146">
        <v>24.414504285586919</v>
      </c>
      <c r="N165" s="146">
        <v>1.4419868082468055</v>
      </c>
      <c r="O165" s="146"/>
      <c r="P165" s="146"/>
      <c r="Q165" s="146"/>
      <c r="R165" s="146"/>
      <c r="S165" s="146"/>
      <c r="T165" s="146"/>
      <c r="U165" s="146"/>
      <c r="V165" s="146"/>
      <c r="W165" s="146"/>
      <c r="X165" s="146"/>
      <c r="Y165" s="146"/>
      <c r="Z165" s="146">
        <v>0.29691876762487063</v>
      </c>
      <c r="AA165" s="146"/>
      <c r="AB165" s="146"/>
      <c r="AC165" s="146"/>
      <c r="AD165" s="146"/>
      <c r="AE165" s="146"/>
      <c r="AF165" s="146"/>
      <c r="AG165" s="146"/>
      <c r="AH165" s="146"/>
      <c r="AI165" s="146"/>
      <c r="AJ165" s="146"/>
      <c r="AK165" s="146"/>
      <c r="AL165" s="146">
        <v>1065.2230023864927</v>
      </c>
      <c r="AM165" s="146">
        <v>0.18758338574248845</v>
      </c>
      <c r="AN165" s="146">
        <v>0.23720852885585386</v>
      </c>
      <c r="AO165" s="146">
        <v>364.92999710343048</v>
      </c>
      <c r="AP165" s="146">
        <v>344.22959826308926</v>
      </c>
      <c r="AQ165" t="s">
        <v>326</v>
      </c>
      <c r="AR165">
        <f t="shared" si="9"/>
        <v>9.762677251918257</v>
      </c>
      <c r="AS165">
        <f t="shared" si="10"/>
        <v>2.6643645582431001</v>
      </c>
      <c r="AT165">
        <v>0.2</v>
      </c>
      <c r="AU165">
        <v>1</v>
      </c>
      <c r="AV165">
        <v>0.3</v>
      </c>
      <c r="AW165">
        <v>3</v>
      </c>
      <c r="AX165" s="146">
        <v>0.24346358817014893</v>
      </c>
      <c r="AY165">
        <v>0.18</v>
      </c>
      <c r="AZ165" s="209">
        <v>344.22959826308926</v>
      </c>
      <c r="BA165">
        <v>0.24346358817014893</v>
      </c>
      <c r="BB165" s="249">
        <v>21.859436233474472</v>
      </c>
      <c r="BC165" s="243">
        <v>125.09593979515407</v>
      </c>
      <c r="BD165" s="209">
        <v>53274.559682589759</v>
      </c>
      <c r="BE165" s="243">
        <v>32.912918128955567</v>
      </c>
      <c r="BF165">
        <v>87457.967438347347</v>
      </c>
      <c r="BG165" t="s">
        <v>387</v>
      </c>
      <c r="BH165">
        <v>4.347892465683656E-6</v>
      </c>
      <c r="BI165">
        <v>1732745.5968258977</v>
      </c>
      <c r="BJ165">
        <f t="shared" si="8"/>
        <v>5.0473634212983037E-2</v>
      </c>
    </row>
    <row r="166" spans="1:62" x14ac:dyDescent="0.3">
      <c r="A166">
        <v>-0.1</v>
      </c>
      <c r="B166" s="146">
        <v>400</v>
      </c>
      <c r="C166" s="146">
        <v>25</v>
      </c>
      <c r="D166" s="146">
        <v>400</v>
      </c>
      <c r="E166" s="252">
        <v>10.383658189908195</v>
      </c>
      <c r="F166" s="146">
        <v>2.2518033706708729</v>
      </c>
      <c r="G166" s="146">
        <v>11.965564494790476</v>
      </c>
      <c r="H166" s="146">
        <v>6.1051631826393491</v>
      </c>
      <c r="I166" s="146"/>
      <c r="J166" s="146">
        <v>0.33395916036055084</v>
      </c>
      <c r="K166" s="146">
        <v>0.18</v>
      </c>
      <c r="L166" s="146">
        <v>61.714123392221133</v>
      </c>
      <c r="M166" s="146">
        <v>30.729024095711772</v>
      </c>
      <c r="N166" s="146">
        <v>1.6766165172555398</v>
      </c>
      <c r="O166" s="146"/>
      <c r="P166" s="146"/>
      <c r="Q166" s="146"/>
      <c r="R166" s="146"/>
      <c r="S166" s="146"/>
      <c r="T166" s="146"/>
      <c r="U166" s="146"/>
      <c r="V166" s="146"/>
      <c r="W166" s="146"/>
      <c r="X166" s="146"/>
      <c r="Y166" s="146"/>
      <c r="Z166" s="146">
        <v>0.27462271967163288</v>
      </c>
      <c r="AA166" s="146"/>
      <c r="AB166" s="146"/>
      <c r="AC166" s="146"/>
      <c r="AD166" s="146"/>
      <c r="AE166" s="146"/>
      <c r="AF166" s="146"/>
      <c r="AG166" s="146"/>
      <c r="AH166" s="146"/>
      <c r="AI166" s="146"/>
      <c r="AJ166" s="146"/>
      <c r="AK166" s="146"/>
      <c r="AL166" s="146">
        <v>1170.2763362625371</v>
      </c>
      <c r="AM166" s="146">
        <v>0.18819031660823482</v>
      </c>
      <c r="AN166" s="146">
        <v>0.24609513589838089</v>
      </c>
      <c r="AO166" s="146">
        <v>357.80632497264844</v>
      </c>
      <c r="AP166" s="146">
        <v>331.96807763476767</v>
      </c>
      <c r="AQ166" t="s">
        <v>326</v>
      </c>
      <c r="AR166">
        <f t="shared" si="9"/>
        <v>9.762677251918257</v>
      </c>
      <c r="AS166">
        <f t="shared" si="10"/>
        <v>2.6643645582431001</v>
      </c>
      <c r="AT166">
        <v>0.2</v>
      </c>
      <c r="AU166">
        <v>1</v>
      </c>
      <c r="AV166">
        <v>0.3</v>
      </c>
      <c r="AW166">
        <v>3</v>
      </c>
      <c r="AX166" s="146">
        <v>0.24909284213847901</v>
      </c>
      <c r="AY166">
        <v>0.18</v>
      </c>
      <c r="AZ166" s="209">
        <v>331.96807763476767</v>
      </c>
      <c r="BA166">
        <v>0.24909284213847901</v>
      </c>
      <c r="BB166" s="249">
        <v>27.16924403021703</v>
      </c>
      <c r="BC166" s="243">
        <v>143.34691782971467</v>
      </c>
      <c r="BD166" s="209">
        <v>63817.16884790059</v>
      </c>
      <c r="BE166" s="243">
        <v>39.054929989023243</v>
      </c>
      <c r="BF166">
        <v>126325.94093139852</v>
      </c>
      <c r="BG166" t="s">
        <v>387</v>
      </c>
      <c r="BH166">
        <v>5.0556470059161717E-6</v>
      </c>
      <c r="BI166">
        <v>1838171.6884790058</v>
      </c>
      <c r="BJ166">
        <f t="shared" si="8"/>
        <v>6.8723689807194704E-2</v>
      </c>
    </row>
    <row r="167" spans="1:62" x14ac:dyDescent="0.3">
      <c r="A167">
        <v>-0.1</v>
      </c>
      <c r="B167" s="146">
        <v>600</v>
      </c>
      <c r="C167" s="146">
        <v>25</v>
      </c>
      <c r="D167" s="146">
        <v>400</v>
      </c>
      <c r="E167" s="252">
        <v>13.802475953367356</v>
      </c>
      <c r="F167" s="146">
        <v>3.0295587144570235</v>
      </c>
      <c r="G167" s="146">
        <v>15.867627995101259</v>
      </c>
      <c r="H167" s="146">
        <v>8.2416795094425428</v>
      </c>
      <c r="I167" s="146"/>
      <c r="J167" s="146">
        <v>0.33727915406237818</v>
      </c>
      <c r="K167" s="146">
        <v>0.18</v>
      </c>
      <c r="L167" s="146">
        <v>83.474028483955138</v>
      </c>
      <c r="M167" s="146">
        <v>41.563831610268124</v>
      </c>
      <c r="N167" s="146">
        <v>2.0293860887149613</v>
      </c>
      <c r="O167" s="146"/>
      <c r="P167" s="146"/>
      <c r="Q167" s="146"/>
      <c r="R167" s="146"/>
      <c r="S167" s="146"/>
      <c r="T167" s="146"/>
      <c r="U167" s="146"/>
      <c r="V167" s="146"/>
      <c r="W167" s="146"/>
      <c r="X167" s="146"/>
      <c r="Y167" s="146"/>
      <c r="Z167" s="146">
        <v>0.2462345310066815</v>
      </c>
      <c r="AA167" s="146"/>
      <c r="AB167" s="146"/>
      <c r="AC167" s="146"/>
      <c r="AD167" s="146"/>
      <c r="AE167" s="146"/>
      <c r="AF167" s="146"/>
      <c r="AG167" s="146"/>
      <c r="AH167" s="146"/>
      <c r="AI167" s="146"/>
      <c r="AJ167" s="146"/>
      <c r="AK167" s="146"/>
      <c r="AL167" s="146">
        <v>1326.7907931720208</v>
      </c>
      <c r="AM167" s="146">
        <v>0.19092700656911829</v>
      </c>
      <c r="AN167" s="146">
        <v>0.25771673319161059</v>
      </c>
      <c r="AO167" s="146">
        <v>346.44322942311504</v>
      </c>
      <c r="AP167" s="146">
        <v>312.09774881453995</v>
      </c>
      <c r="AQ167" t="s">
        <v>326</v>
      </c>
      <c r="AR167">
        <f t="shared" si="9"/>
        <v>9.762677251918257</v>
      </c>
      <c r="AS167">
        <f t="shared" si="10"/>
        <v>2.6643645582431001</v>
      </c>
      <c r="AT167">
        <v>0.2</v>
      </c>
      <c r="AU167">
        <v>1</v>
      </c>
      <c r="AV167">
        <v>0.3</v>
      </c>
      <c r="AW167">
        <v>3</v>
      </c>
      <c r="AX167" s="146">
        <v>0.25708306246761281</v>
      </c>
      <c r="AY167">
        <v>0.18</v>
      </c>
      <c r="AZ167" s="209">
        <v>312.09774881453995</v>
      </c>
      <c r="BA167">
        <v>0.25708306246761281</v>
      </c>
      <c r="BB167" s="249">
        <v>36.152132708533607</v>
      </c>
      <c r="BC167" s="243">
        <v>171.10140281291055</v>
      </c>
      <c r="BD167" s="209">
        <v>80937.774616203358</v>
      </c>
      <c r="BE167" s="243">
        <v>49.047670989245418</v>
      </c>
      <c r="BF167">
        <v>203861.19802989287</v>
      </c>
      <c r="BG167" t="s">
        <v>387</v>
      </c>
      <c r="BH167">
        <v>5.9933397492355912E-6</v>
      </c>
      <c r="BI167">
        <v>2009377.7461620336</v>
      </c>
      <c r="BJ167">
        <f t="shared" si="8"/>
        <v>0.10145488991269726</v>
      </c>
    </row>
    <row r="168" spans="1:62" x14ac:dyDescent="0.3">
      <c r="A168">
        <v>-0.1</v>
      </c>
      <c r="B168" s="146">
        <v>800</v>
      </c>
      <c r="C168" s="146">
        <v>25</v>
      </c>
      <c r="D168" s="146">
        <v>400</v>
      </c>
      <c r="E168" s="252">
        <v>16.47346177596383</v>
      </c>
      <c r="F168" s="146">
        <v>3.6738862491133144</v>
      </c>
      <c r="G168" s="146">
        <v>18.929775117831014</v>
      </c>
      <c r="H168" s="146">
        <v>9.9811176035017173</v>
      </c>
      <c r="I168" s="146"/>
      <c r="J168" s="146">
        <v>0.34069366085349406</v>
      </c>
      <c r="K168" s="146">
        <v>0.18</v>
      </c>
      <c r="L168" s="146">
        <v>101.25027356402241</v>
      </c>
      <c r="M168" s="146">
        <v>50.415073973787102</v>
      </c>
      <c r="N168" s="146">
        <v>2.2788694092783857</v>
      </c>
      <c r="O168" s="146"/>
      <c r="P168" s="146"/>
      <c r="Q168" s="146"/>
      <c r="R168" s="146"/>
      <c r="S168" s="146"/>
      <c r="T168" s="146"/>
      <c r="U168" s="146"/>
      <c r="V168" s="146"/>
      <c r="W168" s="146"/>
      <c r="X168" s="146"/>
      <c r="Y168" s="146"/>
      <c r="Z168" s="146">
        <v>0.22831806014177014</v>
      </c>
      <c r="AA168" s="146"/>
      <c r="AB168" s="146"/>
      <c r="AC168" s="146"/>
      <c r="AD168" s="146"/>
      <c r="AE168" s="146"/>
      <c r="AF168" s="146"/>
      <c r="AG168" s="146"/>
      <c r="AH168" s="146"/>
      <c r="AI168" s="146"/>
      <c r="AJ168" s="146"/>
      <c r="AK168" s="146"/>
      <c r="AL168" s="146">
        <v>1436.343081487757</v>
      </c>
      <c r="AM168" s="146">
        <v>0.19407976197523211</v>
      </c>
      <c r="AN168" s="146">
        <v>0.26527420018844433</v>
      </c>
      <c r="AO168" s="146">
        <v>337.90024900928364</v>
      </c>
      <c r="AP168" s="146">
        <v>296.90837684856388</v>
      </c>
      <c r="AQ168" t="s">
        <v>326</v>
      </c>
      <c r="AR168">
        <f t="shared" si="9"/>
        <v>9.762677251918257</v>
      </c>
      <c r="AS168">
        <f t="shared" si="10"/>
        <v>2.6643645582431001</v>
      </c>
      <c r="AT168">
        <v>0.2</v>
      </c>
      <c r="AU168">
        <v>1</v>
      </c>
      <c r="AV168">
        <v>0.3</v>
      </c>
      <c r="AW168">
        <v>3</v>
      </c>
      <c r="AX168" s="146">
        <v>0.26290391537660135</v>
      </c>
      <c r="AY168">
        <v>0.18</v>
      </c>
      <c r="AZ168" s="209">
        <v>296.90837684856388</v>
      </c>
      <c r="BA168">
        <v>0.26290391537660135</v>
      </c>
      <c r="BB168" s="249">
        <v>43.372068585632618</v>
      </c>
      <c r="BC168" s="243">
        <v>190.99714228304245</v>
      </c>
      <c r="BD168" s="209">
        <v>93987.304202282219</v>
      </c>
      <c r="BE168" s="243">
        <v>56.750944641167187</v>
      </c>
      <c r="BF168">
        <v>276071.05607315316</v>
      </c>
      <c r="BG168" t="s">
        <v>387</v>
      </c>
      <c r="BH168">
        <v>6.5653173884877364E-6</v>
      </c>
      <c r="BI168">
        <v>2139873.0420228224</v>
      </c>
      <c r="BJ168">
        <f t="shared" si="8"/>
        <v>0.12901282022422375</v>
      </c>
    </row>
    <row r="169" spans="1:62" x14ac:dyDescent="0.3">
      <c r="A169">
        <v>-0.1</v>
      </c>
      <c r="B169" s="146">
        <v>1000</v>
      </c>
      <c r="C169" s="146">
        <v>25</v>
      </c>
      <c r="D169" s="146">
        <v>400</v>
      </c>
      <c r="E169" s="252">
        <v>18.564975390410659</v>
      </c>
      <c r="F169" s="146">
        <v>4.2035317242072585</v>
      </c>
      <c r="G169" s="146">
        <v>21.337215930614502</v>
      </c>
      <c r="H169" s="146">
        <v>11.394262424718013</v>
      </c>
      <c r="I169" s="146"/>
      <c r="J169" s="146">
        <v>0.34418697129322251</v>
      </c>
      <c r="K169" s="146">
        <v>0.18</v>
      </c>
      <c r="L169" s="146">
        <v>115.73755102149451</v>
      </c>
      <c r="M169" s="146">
        <v>57.628656110287729</v>
      </c>
      <c r="N169" s="146">
        <v>2.4572396259435241</v>
      </c>
      <c r="O169" s="146"/>
      <c r="P169" s="146"/>
      <c r="Q169" s="146"/>
      <c r="R169" s="146"/>
      <c r="S169" s="146"/>
      <c r="T169" s="146"/>
      <c r="U169" s="146"/>
      <c r="V169" s="146"/>
      <c r="W169" s="146"/>
      <c r="X169" s="146"/>
      <c r="Y169" s="146"/>
      <c r="Z169" s="146">
        <v>0.21565587436471004</v>
      </c>
      <c r="AA169" s="146"/>
      <c r="AB169" s="146"/>
      <c r="AC169" s="146"/>
      <c r="AD169" s="146"/>
      <c r="AE169" s="146"/>
      <c r="AF169" s="146"/>
      <c r="AG169" s="146"/>
      <c r="AH169" s="146"/>
      <c r="AI169" s="146"/>
      <c r="AJ169" s="146"/>
      <c r="AK169" s="146"/>
      <c r="AL169" s="146">
        <v>1513.830201378533</v>
      </c>
      <c r="AM169" s="146">
        <v>0.19700469535840701</v>
      </c>
      <c r="AN169" s="146">
        <v>0.27065300375401075</v>
      </c>
      <c r="AO169" s="146">
        <v>331.40672694220729</v>
      </c>
      <c r="AP169" s="146">
        <v>285.21038840676994</v>
      </c>
      <c r="AQ169" t="s">
        <v>326</v>
      </c>
      <c r="AR169">
        <f t="shared" si="9"/>
        <v>9.762677251918257</v>
      </c>
      <c r="AS169">
        <f t="shared" si="10"/>
        <v>2.6643645582431001</v>
      </c>
      <c r="AT169">
        <v>0.2</v>
      </c>
      <c r="AU169">
        <v>1</v>
      </c>
      <c r="AV169">
        <v>0.3</v>
      </c>
      <c r="AW169">
        <v>3</v>
      </c>
      <c r="AX169" s="146">
        <v>0.26761882884080335</v>
      </c>
      <c r="AY169">
        <v>0.18</v>
      </c>
      <c r="AZ169" s="209">
        <v>285.21038840676994</v>
      </c>
      <c r="BA169">
        <v>0.26761882884080335</v>
      </c>
      <c r="BB169" s="249">
        <v>49.161240942842738</v>
      </c>
      <c r="BC169" s="243">
        <v>205.47321632665557</v>
      </c>
      <c r="BD169" s="209">
        <v>103911.40354067719</v>
      </c>
      <c r="BE169" s="243">
        <v>62.716654913430204</v>
      </c>
      <c r="BF169">
        <v>339938.92219327088</v>
      </c>
      <c r="BG169" t="s">
        <v>387</v>
      </c>
      <c r="BH169">
        <v>6.9368589669630596E-6</v>
      </c>
      <c r="BI169">
        <v>2239114.035406772</v>
      </c>
      <c r="BJ169">
        <f t="shared" si="8"/>
        <v>0.15181849464469788</v>
      </c>
    </row>
    <row r="170" spans="1:62" x14ac:dyDescent="0.3">
      <c r="A170">
        <v>-0.1</v>
      </c>
      <c r="B170" s="146">
        <v>1300</v>
      </c>
      <c r="C170" s="146">
        <v>25</v>
      </c>
      <c r="D170" s="146">
        <v>400</v>
      </c>
      <c r="E170" s="252">
        <v>20.950500987798186</v>
      </c>
      <c r="F170" s="146">
        <v>4.8392736475788221</v>
      </c>
      <c r="G170" s="146">
        <v>24.096706076186514</v>
      </c>
      <c r="H170" s="146">
        <v>13.049898908833882</v>
      </c>
      <c r="I170" s="146"/>
      <c r="J170" s="146">
        <v>0.34677325441527912</v>
      </c>
      <c r="K170" s="146">
        <v>0.18</v>
      </c>
      <c r="L170" s="146">
        <v>132.76845753628183</v>
      </c>
      <c r="M170" s="146">
        <v>66.108775536737838</v>
      </c>
      <c r="N170" s="146">
        <v>2.6672666242681906</v>
      </c>
      <c r="O170" s="146"/>
      <c r="P170" s="146"/>
      <c r="Q170" s="146"/>
      <c r="R170" s="146"/>
      <c r="S170" s="146"/>
      <c r="T170" s="146"/>
      <c r="U170" s="146"/>
      <c r="V170" s="146"/>
      <c r="W170" s="146"/>
      <c r="X170" s="146"/>
      <c r="Y170" s="146"/>
      <c r="Z170" s="146">
        <v>0.20438983036586092</v>
      </c>
      <c r="AA170" s="146"/>
      <c r="AB170" s="146"/>
      <c r="AC170" s="146"/>
      <c r="AD170" s="146"/>
      <c r="AE170" s="146"/>
      <c r="AF170" s="146"/>
      <c r="AG170" s="146"/>
      <c r="AH170" s="146"/>
      <c r="AI170" s="146"/>
      <c r="AJ170" s="146"/>
      <c r="AK170" s="146"/>
      <c r="AL170" s="146">
        <v>1605.5364958446069</v>
      </c>
      <c r="AM170" s="146">
        <v>0.2008271849388252</v>
      </c>
      <c r="AN170" s="146">
        <v>0.27579330926653151</v>
      </c>
      <c r="AO170" s="146">
        <v>324.03549947054279</v>
      </c>
      <c r="AP170" s="146">
        <v>271.90318371051148</v>
      </c>
      <c r="AQ170" t="s">
        <v>326</v>
      </c>
      <c r="AR170">
        <f t="shared" si="9"/>
        <v>9.762677251918257</v>
      </c>
      <c r="AS170">
        <f t="shared" si="10"/>
        <v>2.6643645582431001</v>
      </c>
      <c r="AT170">
        <v>0.2</v>
      </c>
      <c r="AU170">
        <v>1</v>
      </c>
      <c r="AV170">
        <v>0.3</v>
      </c>
      <c r="AW170">
        <v>3</v>
      </c>
      <c r="AX170" s="146">
        <v>0.27182150886717904</v>
      </c>
      <c r="AY170">
        <v>0.18</v>
      </c>
      <c r="AZ170" s="209">
        <v>271.90318371051148</v>
      </c>
      <c r="BA170">
        <v>0.27182150886717904</v>
      </c>
      <c r="BB170" s="249">
        <v>55.962056232977844</v>
      </c>
      <c r="BC170" s="243">
        <v>220.8186880491736</v>
      </c>
      <c r="BD170" s="209">
        <v>115105.63231097723</v>
      </c>
      <c r="BE170" s="243">
        <v>69.808617790392972</v>
      </c>
      <c r="BF170">
        <v>421583.88322741748</v>
      </c>
      <c r="BG170" t="s">
        <v>387</v>
      </c>
      <c r="BH170">
        <v>7.2851983300454702E-6</v>
      </c>
      <c r="BI170">
        <v>2351056.3231097721</v>
      </c>
      <c r="BJ170">
        <f t="shared" si="8"/>
        <v>0.1793167943632176</v>
      </c>
    </row>
    <row r="171" spans="1:62" x14ac:dyDescent="0.3">
      <c r="A171">
        <v>-0.1</v>
      </c>
      <c r="B171" s="227">
        <v>1600</v>
      </c>
      <c r="C171" s="146">
        <v>25</v>
      </c>
      <c r="D171" s="146">
        <v>400</v>
      </c>
      <c r="E171" s="252">
        <v>22.505140628968064</v>
      </c>
      <c r="F171" s="146">
        <v>5.2541859583100941</v>
      </c>
      <c r="G171" s="146">
        <v>25.889853900144399</v>
      </c>
      <c r="H171" s="146">
        <v>14.205127505656556</v>
      </c>
      <c r="I171" s="146"/>
      <c r="J171" s="146">
        <v>0.35051383699669786</v>
      </c>
      <c r="K171" s="146">
        <v>0.18</v>
      </c>
      <c r="L171" s="146">
        <v>144.70989970965553</v>
      </c>
      <c r="M171" s="146">
        <v>72.05472184713139</v>
      </c>
      <c r="N171" s="146">
        <v>2.7966323617813362</v>
      </c>
      <c r="O171" s="146"/>
      <c r="P171" s="146"/>
      <c r="Q171" s="146"/>
      <c r="R171" s="146"/>
      <c r="S171" s="146"/>
      <c r="T171" s="146"/>
      <c r="U171" s="146"/>
      <c r="V171" s="146"/>
      <c r="W171" s="146"/>
      <c r="X171" s="146"/>
      <c r="Y171" s="146"/>
      <c r="Z171" s="146">
        <v>0.19687485104710975</v>
      </c>
      <c r="AA171" s="146"/>
      <c r="AB171" s="146"/>
      <c r="AC171" s="146"/>
      <c r="AD171" s="146"/>
      <c r="AE171" s="146"/>
      <c r="AF171" s="146"/>
      <c r="AG171" s="146"/>
      <c r="AH171" s="146"/>
      <c r="AI171" s="146"/>
      <c r="AJ171" s="146"/>
      <c r="AK171" s="146"/>
      <c r="AL171" s="146">
        <v>1662.0851311005349</v>
      </c>
      <c r="AM171" s="146">
        <v>0.20294382419364634</v>
      </c>
      <c r="AN171" s="146">
        <v>0.28050766166598806</v>
      </c>
      <c r="AO171" s="146">
        <v>319.76996102243419</v>
      </c>
      <c r="AP171" s="146">
        <v>263.76895020986598</v>
      </c>
      <c r="AQ171" t="s">
        <v>326</v>
      </c>
      <c r="AR171">
        <f t="shared" si="9"/>
        <v>9.762677251918257</v>
      </c>
      <c r="AS171">
        <f t="shared" si="10"/>
        <v>2.6643645582431001</v>
      </c>
      <c r="AT171">
        <v>0.2</v>
      </c>
      <c r="AU171">
        <v>1</v>
      </c>
      <c r="AV171">
        <v>0.3</v>
      </c>
      <c r="AW171">
        <v>3</v>
      </c>
      <c r="AX171" s="146">
        <v>0.276146775753977</v>
      </c>
      <c r="AY171">
        <v>0.18</v>
      </c>
      <c r="AZ171" s="209">
        <v>263.76895020986598</v>
      </c>
      <c r="BA171">
        <v>0.276146775753977</v>
      </c>
      <c r="BB171" s="249">
        <v>60.351682824781463</v>
      </c>
      <c r="BC171" s="243">
        <v>229.33514060910454</v>
      </c>
      <c r="BD171" s="209">
        <v>121358.20631844086</v>
      </c>
      <c r="BE171" s="243">
        <v>73.712976199410164</v>
      </c>
      <c r="BF171">
        <v>477672.8732493</v>
      </c>
      <c r="BG171" t="s">
        <v>387</v>
      </c>
      <c r="BH171">
        <v>7.5067664773056308E-6</v>
      </c>
      <c r="BI171">
        <v>2413582.0631844085</v>
      </c>
      <c r="BJ171">
        <f t="shared" si="8"/>
        <v>0.1979103509822544</v>
      </c>
    </row>
    <row r="172" spans="1:62" s="140" customFormat="1" x14ac:dyDescent="0.3">
      <c r="A172" s="140">
        <v>-0.1</v>
      </c>
      <c r="B172" s="140">
        <v>1900</v>
      </c>
      <c r="C172" s="140">
        <v>25</v>
      </c>
      <c r="D172" s="140">
        <v>400</v>
      </c>
      <c r="E172" s="253">
        <v>23.683629531781119</v>
      </c>
      <c r="F172" s="140">
        <v>5.5914713921010115</v>
      </c>
      <c r="G172" s="140">
        <v>27.260550181229565</v>
      </c>
      <c r="H172" s="140">
        <v>15.079813775851497</v>
      </c>
      <c r="J172" s="140">
        <v>0.35350455601650566</v>
      </c>
      <c r="K172" s="140">
        <v>0.18</v>
      </c>
      <c r="L172" s="140">
        <v>153.78022732918205</v>
      </c>
      <c r="M172" s="140">
        <v>76.571067549800205</v>
      </c>
      <c r="N172" s="140">
        <v>2.8756630537899017</v>
      </c>
      <c r="Z172" s="140">
        <v>0.19069619138101887</v>
      </c>
      <c r="AL172" s="140">
        <v>1695.1503883082362</v>
      </c>
      <c r="AM172" s="140">
        <v>0.2051121989442112</v>
      </c>
      <c r="AN172" s="140">
        <v>0.28279697599953374</v>
      </c>
      <c r="AO172" s="140">
        <v>316.25218251336548</v>
      </c>
      <c r="AP172" s="140">
        <v>257.31886141328488</v>
      </c>
      <c r="AQ172" t="s">
        <v>326</v>
      </c>
      <c r="AR172">
        <f t="shared" si="9"/>
        <v>9.762677251918257</v>
      </c>
      <c r="AS172">
        <f t="shared" si="10"/>
        <v>2.6643645582431001</v>
      </c>
      <c r="AT172" s="140">
        <v>0.2</v>
      </c>
      <c r="AU172" s="140">
        <v>1</v>
      </c>
      <c r="AV172">
        <v>0.3</v>
      </c>
      <c r="AW172">
        <v>3</v>
      </c>
      <c r="AX172" s="140">
        <v>0.2792178715768136</v>
      </c>
      <c r="AY172">
        <v>0.18</v>
      </c>
      <c r="AZ172" s="209">
        <v>257.31886141328488</v>
      </c>
      <c r="BA172" s="140">
        <v>0.2792178715768136</v>
      </c>
      <c r="BB172" s="253">
        <v>63.818947365431356</v>
      </c>
      <c r="BC172" s="245">
        <v>235.33107314938167</v>
      </c>
      <c r="BD172" s="210">
        <v>126275.73031232956</v>
      </c>
      <c r="BE172" s="245">
        <v>77.14290820979484</v>
      </c>
      <c r="BF172" s="140">
        <v>523558.17710365879</v>
      </c>
      <c r="BG172" t="s">
        <v>387</v>
      </c>
      <c r="BH172" s="140">
        <v>7.6489036197490899E-6</v>
      </c>
      <c r="BI172" s="140">
        <v>2462757.3031232953</v>
      </c>
      <c r="BJ172">
        <f t="shared" si="8"/>
        <v>0.21259024445473237</v>
      </c>
    </row>
    <row r="173" spans="1:62" x14ac:dyDescent="0.3">
      <c r="A173">
        <v>-0.1</v>
      </c>
      <c r="B173" s="146">
        <v>1000</v>
      </c>
      <c r="C173" s="146">
        <v>25</v>
      </c>
      <c r="D173" s="146">
        <v>200</v>
      </c>
      <c r="E173" s="252">
        <v>15.120005487145923</v>
      </c>
      <c r="F173" s="146">
        <v>6.7415101727468771</v>
      </c>
      <c r="G173" s="146">
        <v>19.22941511007204</v>
      </c>
      <c r="H173" s="146">
        <v>11.813055894443417</v>
      </c>
      <c r="I173" s="146"/>
      <c r="J173" s="146">
        <v>0.3957186640533264</v>
      </c>
      <c r="K173" s="146">
        <v>0.18</v>
      </c>
      <c r="L173" s="146">
        <v>120.86122885860065</v>
      </c>
      <c r="M173" s="146">
        <v>60.179864991834357</v>
      </c>
      <c r="N173" s="146">
        <v>1.7169778698481117</v>
      </c>
      <c r="O173" s="146"/>
      <c r="P173" s="146"/>
      <c r="Q173" s="146"/>
      <c r="R173" s="146"/>
      <c r="S173" s="146"/>
      <c r="T173" s="146"/>
      <c r="U173" s="146"/>
      <c r="V173" s="146"/>
      <c r="W173" s="146"/>
      <c r="X173" s="146"/>
      <c r="Y173" s="146"/>
      <c r="Z173" s="146">
        <v>0.14534578395212178</v>
      </c>
      <c r="AA173" s="146"/>
      <c r="AB173" s="146"/>
      <c r="AC173" s="146"/>
      <c r="AD173" s="146"/>
      <c r="AE173" s="146"/>
      <c r="AF173" s="146"/>
      <c r="AG173" s="146"/>
      <c r="AH173" s="146"/>
      <c r="AI173" s="146"/>
      <c r="AJ173" s="146"/>
      <c r="AK173" s="146"/>
      <c r="AL173" s="146">
        <v>965.19974197193324</v>
      </c>
      <c r="AM173" s="146">
        <v>0.35058321504619189</v>
      </c>
      <c r="AN173" s="146">
        <v>0.27162388057291836</v>
      </c>
      <c r="AO173" s="146">
        <v>144.33477109871825</v>
      </c>
      <c r="AP173" s="146">
        <v>106.71080704787772</v>
      </c>
      <c r="AQ173" t="s">
        <v>326</v>
      </c>
      <c r="AR173">
        <f t="shared" si="9"/>
        <v>9.762677251918257</v>
      </c>
      <c r="AS173">
        <f t="shared" si="10"/>
        <v>2.6643645582431001</v>
      </c>
      <c r="AT173">
        <v>0.2</v>
      </c>
      <c r="AU173">
        <v>1</v>
      </c>
      <c r="AV173">
        <v>0.3</v>
      </c>
      <c r="AW173">
        <v>3</v>
      </c>
      <c r="AX173" s="146">
        <v>0.28004482780085821</v>
      </c>
      <c r="AY173">
        <v>0.18</v>
      </c>
      <c r="AZ173" s="209">
        <v>106.71080704787772</v>
      </c>
      <c r="BA173">
        <v>0.28004482780085821</v>
      </c>
      <c r="BB173" s="249">
        <v>62.91509040287653</v>
      </c>
      <c r="BC173" s="243">
        <v>220.57881462983912</v>
      </c>
      <c r="BD173" s="209">
        <v>118663.84787251973</v>
      </c>
      <c r="BE173" s="243">
        <v>74.882999991232396</v>
      </c>
      <c r="BF173">
        <v>289247.01518087229</v>
      </c>
      <c r="BG173" t="s">
        <v>388</v>
      </c>
      <c r="BH173">
        <v>5.4000242091279088E-6</v>
      </c>
      <c r="BI173">
        <v>2386638.4787251973</v>
      </c>
      <c r="BJ173">
        <f t="shared" si="8"/>
        <v>0.1211943148320357</v>
      </c>
    </row>
    <row r="174" spans="1:62" x14ac:dyDescent="0.3">
      <c r="A174">
        <v>-0.1</v>
      </c>
      <c r="B174" s="146">
        <v>1000</v>
      </c>
      <c r="C174" s="146">
        <v>25</v>
      </c>
      <c r="D174" s="146">
        <v>300</v>
      </c>
      <c r="E174" s="252">
        <v>17.14036491603219</v>
      </c>
      <c r="F174" s="146">
        <v>5.1385588303958123</v>
      </c>
      <c r="G174" s="146">
        <v>20.403948679128163</v>
      </c>
      <c r="H174" s="146">
        <v>11.571067439574822</v>
      </c>
      <c r="I174" s="146"/>
      <c r="J174" s="146">
        <v>0.36170027136437227</v>
      </c>
      <c r="K174" s="146">
        <v>0.18</v>
      </c>
      <c r="L174" s="146">
        <v>117.75019081003965</v>
      </c>
      <c r="M174" s="146">
        <v>58.630800403339251</v>
      </c>
      <c r="N174" s="146">
        <v>2.160600165874591</v>
      </c>
      <c r="O174" s="146"/>
      <c r="P174" s="146"/>
      <c r="Q174" s="146"/>
      <c r="R174" s="146"/>
      <c r="S174" s="146"/>
      <c r="T174" s="146"/>
      <c r="U174" s="146"/>
      <c r="V174" s="146"/>
      <c r="W174" s="146"/>
      <c r="X174" s="146"/>
      <c r="Y174" s="146"/>
      <c r="Z174" s="146">
        <v>0.18672436032003475</v>
      </c>
      <c r="AA174" s="146"/>
      <c r="AB174" s="146"/>
      <c r="AC174" s="146"/>
      <c r="AD174" s="146"/>
      <c r="AE174" s="146"/>
      <c r="AF174" s="146"/>
      <c r="AG174" s="146"/>
      <c r="AH174" s="146"/>
      <c r="AI174" s="146"/>
      <c r="AJ174" s="146"/>
      <c r="AK174" s="146"/>
      <c r="AL174" s="146">
        <v>1275.1602128053719</v>
      </c>
      <c r="AM174" s="146">
        <v>0.25184139164455971</v>
      </c>
      <c r="AN174" s="146">
        <v>0.27429626389475414</v>
      </c>
      <c r="AO174" s="146">
        <v>237.51148968398326</v>
      </c>
      <c r="AP174" s="146">
        <v>194.86012986807668</v>
      </c>
      <c r="AQ174" t="s">
        <v>326</v>
      </c>
      <c r="AR174">
        <f t="shared" si="9"/>
        <v>9.762677251918257</v>
      </c>
      <c r="AS174">
        <f t="shared" si="10"/>
        <v>2.6643645582431001</v>
      </c>
      <c r="AT174">
        <v>0.2</v>
      </c>
      <c r="AU174">
        <v>1</v>
      </c>
      <c r="AV174">
        <v>0.3</v>
      </c>
      <c r="AW174">
        <v>3</v>
      </c>
      <c r="AX174" s="146">
        <v>0.27106529046011346</v>
      </c>
      <c r="AY174">
        <v>0.18</v>
      </c>
      <c r="AZ174" s="209">
        <v>194.86012986807668</v>
      </c>
      <c r="BA174">
        <v>0.27106529046011346</v>
      </c>
      <c r="BB174" s="249">
        <v>54.186872775032882</v>
      </c>
      <c r="BC174" s="243">
        <v>211.28026507632302</v>
      </c>
      <c r="BD174" s="209">
        <v>108836.74864817457</v>
      </c>
      <c r="BE174" s="243">
        <v>66.441474082905003</v>
      </c>
      <c r="BF174">
        <v>318298.91629327566</v>
      </c>
      <c r="BG174" t="s">
        <v>388</v>
      </c>
      <c r="BH174">
        <v>6.3186037629029683E-6</v>
      </c>
      <c r="BI174">
        <v>2288367.4864817457</v>
      </c>
      <c r="BJ174">
        <f t="shared" si="8"/>
        <v>0.13909431862390462</v>
      </c>
    </row>
    <row r="175" spans="1:62" x14ac:dyDescent="0.3">
      <c r="A175">
        <v>-0.1</v>
      </c>
      <c r="B175" s="146">
        <v>1000</v>
      </c>
      <c r="C175" s="146">
        <v>25</v>
      </c>
      <c r="D175" s="146">
        <v>400</v>
      </c>
      <c r="E175" s="252">
        <v>18.563425062831552</v>
      </c>
      <c r="F175" s="146">
        <v>4.202863130280269</v>
      </c>
      <c r="G175" s="146">
        <v>21.335249719915211</v>
      </c>
      <c r="H175" s="146">
        <v>11.39363800108795</v>
      </c>
      <c r="I175" s="146"/>
      <c r="J175" s="146">
        <v>0.34417252621665806</v>
      </c>
      <c r="K175" s="146">
        <v>0.18</v>
      </c>
      <c r="L175" s="146">
        <v>115.73125559101393</v>
      </c>
      <c r="M175" s="146">
        <v>57.625521456106526</v>
      </c>
      <c r="N175" s="146">
        <v>2.4575825707746048</v>
      </c>
      <c r="O175" s="146"/>
      <c r="P175" s="146"/>
      <c r="Q175" s="146"/>
      <c r="R175" s="146"/>
      <c r="S175" s="146"/>
      <c r="T175" s="146"/>
      <c r="U175" s="146"/>
      <c r="V175" s="146"/>
      <c r="W175" s="146"/>
      <c r="X175" s="146"/>
      <c r="Y175" s="146"/>
      <c r="Z175" s="146">
        <v>0.21569779297358196</v>
      </c>
      <c r="AA175" s="146"/>
      <c r="AB175" s="146"/>
      <c r="AC175" s="146"/>
      <c r="AD175" s="146"/>
      <c r="AE175" s="146"/>
      <c r="AF175" s="146"/>
      <c r="AG175" s="146"/>
      <c r="AH175" s="146"/>
      <c r="AI175" s="146"/>
      <c r="AJ175" s="146"/>
      <c r="AK175" s="146"/>
      <c r="AL175" s="146">
        <v>1514.0178519385263</v>
      </c>
      <c r="AM175" s="146">
        <v>0.19699151336190554</v>
      </c>
      <c r="AN175" s="146">
        <v>0.27067947300318929</v>
      </c>
      <c r="AO175" s="146">
        <v>331.41916209282397</v>
      </c>
      <c r="AP175" s="146">
        <v>285.2265665512225</v>
      </c>
      <c r="AQ175" t="s">
        <v>326</v>
      </c>
      <c r="AR175">
        <f t="shared" si="9"/>
        <v>9.762677251918257</v>
      </c>
      <c r="AS175">
        <f t="shared" si="10"/>
        <v>2.6643645582431001</v>
      </c>
      <c r="AT175">
        <v>0.2</v>
      </c>
      <c r="AU175">
        <v>1</v>
      </c>
      <c r="AV175">
        <v>0.3</v>
      </c>
      <c r="AW175">
        <v>3</v>
      </c>
      <c r="AX175" s="146">
        <v>0.26761526124357304</v>
      </c>
      <c r="AY175">
        <v>0.18</v>
      </c>
      <c r="AZ175" s="209">
        <v>285.2265665512225</v>
      </c>
      <c r="BA175">
        <v>0.26761526124357304</v>
      </c>
      <c r="BB175" s="249">
        <v>49.155126877552426</v>
      </c>
      <c r="BC175" s="243">
        <v>205.45529727055396</v>
      </c>
      <c r="BD175" s="209">
        <v>103894.0787649744</v>
      </c>
      <c r="BE175" s="243">
        <v>62.701939506855631</v>
      </c>
      <c r="BF175">
        <v>339867.42381095845</v>
      </c>
      <c r="BG175" t="s">
        <v>388</v>
      </c>
      <c r="BH175">
        <v>6.936948061224043E-6</v>
      </c>
      <c r="BI175">
        <v>2238940.7876497442</v>
      </c>
      <c r="BJ175">
        <f t="shared" si="8"/>
        <v>0.15179830823830018</v>
      </c>
    </row>
    <row r="176" spans="1:62" x14ac:dyDescent="0.3">
      <c r="A176">
        <v>-0.1</v>
      </c>
      <c r="B176" s="146">
        <v>1000</v>
      </c>
      <c r="C176" s="146">
        <v>25</v>
      </c>
      <c r="D176" s="146">
        <v>500</v>
      </c>
      <c r="E176" s="252">
        <v>19.515240343509227</v>
      </c>
      <c r="F176" s="146">
        <v>3.5294649378431862</v>
      </c>
      <c r="G176" s="146">
        <v>21.932999121568564</v>
      </c>
      <c r="H176" s="146">
        <v>11.277612255731501</v>
      </c>
      <c r="I176" s="146"/>
      <c r="J176" s="146">
        <v>0.33558083273014377</v>
      </c>
      <c r="K176" s="146">
        <v>0.18</v>
      </c>
      <c r="L176" s="146">
        <v>114.44487583891069</v>
      </c>
      <c r="M176" s="146">
        <v>56.985000417714872</v>
      </c>
      <c r="N176" s="146">
        <v>2.6744285789648874</v>
      </c>
      <c r="O176" s="146"/>
      <c r="P176" s="146"/>
      <c r="Q176" s="146"/>
      <c r="R176" s="146"/>
      <c r="S176" s="146"/>
      <c r="T176" s="146"/>
      <c r="U176" s="146"/>
      <c r="V176" s="146"/>
      <c r="W176" s="146"/>
      <c r="X176" s="146"/>
      <c r="Y176" s="146"/>
      <c r="Z176" s="146">
        <v>0.23714493088780303</v>
      </c>
      <c r="AA176" s="146"/>
      <c r="AB176" s="146"/>
      <c r="AC176" s="146"/>
      <c r="AD176" s="146"/>
      <c r="AE176" s="146"/>
      <c r="AF176" s="146"/>
      <c r="AG176" s="146"/>
      <c r="AH176" s="146"/>
      <c r="AI176" s="146"/>
      <c r="AJ176" s="146"/>
      <c r="AK176" s="146"/>
      <c r="AL176" s="146">
        <v>1715.8785887719198</v>
      </c>
      <c r="AM176" s="146">
        <v>0.16092030635118962</v>
      </c>
      <c r="AN176" s="146">
        <v>0.26816021406516721</v>
      </c>
      <c r="AO176" s="146">
        <v>427.22544464121472</v>
      </c>
      <c r="AP176" s="146">
        <v>378.66429928947554</v>
      </c>
      <c r="AQ176" t="s">
        <v>326</v>
      </c>
      <c r="AR176">
        <f t="shared" si="9"/>
        <v>9.762677251918257</v>
      </c>
      <c r="AS176">
        <f t="shared" si="10"/>
        <v>2.6643645582431001</v>
      </c>
      <c r="AT176">
        <v>0.2</v>
      </c>
      <c r="AU176">
        <v>1</v>
      </c>
      <c r="AV176">
        <v>0.3</v>
      </c>
      <c r="AW176">
        <v>3</v>
      </c>
      <c r="AX176" s="146">
        <v>0.26791086923224777</v>
      </c>
      <c r="AY176">
        <v>0.18</v>
      </c>
      <c r="AZ176" s="209">
        <v>378.66429928947554</v>
      </c>
      <c r="BA176">
        <v>0.26791086923224777</v>
      </c>
      <c r="BB176" s="249">
        <v>45.375569418001547</v>
      </c>
      <c r="BC176" s="243">
        <v>201.82491658555691</v>
      </c>
      <c r="BD176" s="209">
        <v>100167.59036334838</v>
      </c>
      <c r="BE176" s="243">
        <v>59.385607069539823</v>
      </c>
      <c r="BF176">
        <v>352319.801840019</v>
      </c>
      <c r="BG176" t="s">
        <v>388</v>
      </c>
      <c r="BH176">
        <v>7.3766863642381527E-6</v>
      </c>
      <c r="BI176">
        <v>2201675.9036334837</v>
      </c>
      <c r="BJ176">
        <f t="shared" si="8"/>
        <v>0.16002346269883608</v>
      </c>
    </row>
    <row r="177" spans="1:62" s="146" customFormat="1" x14ac:dyDescent="0.3">
      <c r="A177">
        <v>-0.1</v>
      </c>
      <c r="B177" s="146">
        <v>1000</v>
      </c>
      <c r="C177" s="146">
        <v>25</v>
      </c>
      <c r="D177" s="146">
        <v>600</v>
      </c>
      <c r="E177" s="252">
        <v>20.199888872131467</v>
      </c>
      <c r="F177" s="146">
        <v>3.0388555333478728</v>
      </c>
      <c r="G177" s="146">
        <v>22.35959252175607</v>
      </c>
      <c r="H177" s="146">
        <v>11.195896916781344</v>
      </c>
      <c r="J177" s="146">
        <v>0.33054090323102897</v>
      </c>
      <c r="K177" s="146">
        <v>0.18</v>
      </c>
      <c r="L177" s="146">
        <v>113.55159512600612</v>
      </c>
      <c r="M177" s="146">
        <v>56.540213340749936</v>
      </c>
      <c r="N177" s="146">
        <v>2.8355392729460895</v>
      </c>
      <c r="Z177" s="146">
        <v>0.25326593251282503</v>
      </c>
      <c r="AL177" s="146">
        <v>1891.642883304507</v>
      </c>
      <c r="AM177" s="146">
        <v>0.13590835925972447</v>
      </c>
      <c r="AN177" s="146">
        <v>0.26627233289168628</v>
      </c>
      <c r="AO177" s="146">
        <v>524.13823602038167</v>
      </c>
      <c r="AP177" s="146">
        <v>473.87324683146102</v>
      </c>
      <c r="AQ177" t="s">
        <v>326</v>
      </c>
      <c r="AR177">
        <f t="shared" si="9"/>
        <v>9.762677251918257</v>
      </c>
      <c r="AS177">
        <f t="shared" si="10"/>
        <v>2.6643645582431001</v>
      </c>
      <c r="AT177">
        <v>0.2</v>
      </c>
      <c r="AU177">
        <v>1</v>
      </c>
      <c r="AV177">
        <v>0.3</v>
      </c>
      <c r="AW177">
        <v>3</v>
      </c>
      <c r="AX177" s="146">
        <v>0.2691126273135358</v>
      </c>
      <c r="AY177">
        <v>0.18</v>
      </c>
      <c r="AZ177" s="209">
        <v>473.87324683146102</v>
      </c>
      <c r="BA177" s="146">
        <v>0.2691126273135358</v>
      </c>
      <c r="BB177" s="252">
        <v>42.581069688932594</v>
      </c>
      <c r="BC177" s="244">
        <v>199.33965802655743</v>
      </c>
      <c r="BD177" s="229">
        <v>97397.520402930677</v>
      </c>
      <c r="BE177" s="244">
        <v>56.770695153709973</v>
      </c>
      <c r="BF177" s="146">
        <v>360406.57531861454</v>
      </c>
      <c r="BG177" t="s">
        <v>388</v>
      </c>
      <c r="BH177" s="146">
        <v>7.7039785166608931E-6</v>
      </c>
      <c r="BI177" s="146">
        <v>2173975.2040293068</v>
      </c>
      <c r="BJ177">
        <f t="shared" si="8"/>
        <v>0.16578228429221586</v>
      </c>
    </row>
    <row r="178" spans="1:62" s="140" customFormat="1" x14ac:dyDescent="0.3">
      <c r="A178">
        <v>-0.1</v>
      </c>
      <c r="B178" s="146">
        <v>1000</v>
      </c>
      <c r="C178" s="146">
        <v>25</v>
      </c>
      <c r="D178" s="146">
        <v>700</v>
      </c>
      <c r="E178" s="252">
        <v>20.716946437354363</v>
      </c>
      <c r="F178" s="146">
        <v>2.6683968804319305</v>
      </c>
      <c r="G178" s="146">
        <v>22.681873786031851</v>
      </c>
      <c r="H178" s="146">
        <v>11.136150197281887</v>
      </c>
      <c r="I178" s="146"/>
      <c r="J178" s="146">
        <v>0.32694290624157418</v>
      </c>
      <c r="K178" s="146">
        <v>0.18</v>
      </c>
      <c r="L178" s="146">
        <v>112.903479645277</v>
      </c>
      <c r="M178" s="146">
        <v>56.217500238312205</v>
      </c>
      <c r="N178" s="146">
        <v>2.9636794592270874</v>
      </c>
      <c r="O178" s="146"/>
      <c r="P178" s="146"/>
      <c r="Q178" s="146"/>
      <c r="R178" s="146"/>
      <c r="S178" s="146"/>
      <c r="T178" s="146"/>
      <c r="U178" s="146"/>
      <c r="V178" s="146"/>
      <c r="W178" s="146"/>
      <c r="X178" s="146"/>
      <c r="Y178" s="146"/>
      <c r="Z178" s="146">
        <v>0.26613141945144225</v>
      </c>
      <c r="AA178" s="146"/>
      <c r="AB178" s="146"/>
      <c r="AC178" s="146"/>
      <c r="AD178" s="146"/>
      <c r="AE178" s="146"/>
      <c r="AF178" s="146"/>
      <c r="AG178" s="146"/>
      <c r="AH178" s="146"/>
      <c r="AI178" s="146"/>
      <c r="AJ178" s="146"/>
      <c r="AK178" s="146"/>
      <c r="AL178" s="146">
        <v>2052.0371879929125</v>
      </c>
      <c r="AM178" s="146">
        <v>0.11764446383945606</v>
      </c>
      <c r="AN178" s="146">
        <v>0.2647486821697505</v>
      </c>
      <c r="AO178" s="146">
        <v>621.74863244806954</v>
      </c>
      <c r="AP178" s="146">
        <v>570.1974583793691</v>
      </c>
      <c r="AQ178" t="s">
        <v>326</v>
      </c>
      <c r="AR178">
        <f t="shared" si="9"/>
        <v>9.762677251918257</v>
      </c>
      <c r="AS178">
        <f t="shared" si="10"/>
        <v>2.6643645582431001</v>
      </c>
      <c r="AT178">
        <v>0.2</v>
      </c>
      <c r="AU178">
        <v>1</v>
      </c>
      <c r="AV178">
        <v>0.3</v>
      </c>
      <c r="AW178">
        <v>3</v>
      </c>
      <c r="AX178" s="146">
        <v>0.2703374369747315</v>
      </c>
      <c r="AY178">
        <v>0.18</v>
      </c>
      <c r="AZ178" s="209">
        <v>570.1974583793691</v>
      </c>
      <c r="BA178" s="140">
        <v>0.2703374369747315</v>
      </c>
      <c r="BB178" s="253">
        <v>40.4581802816774</v>
      </c>
      <c r="BC178" s="245">
        <v>197.55436676042422</v>
      </c>
      <c r="BD178" s="210">
        <v>95311.490769535565</v>
      </c>
      <c r="BE178" s="245">
        <v>54.737196624185813</v>
      </c>
      <c r="BF178" s="140">
        <v>366131.11446786596</v>
      </c>
      <c r="BG178" t="s">
        <v>388</v>
      </c>
      <c r="BH178" s="140">
        <v>7.9556485828883893E-6</v>
      </c>
      <c r="BI178" s="140">
        <v>2153114.9076953558</v>
      </c>
      <c r="BJ178">
        <f t="shared" si="8"/>
        <v>0.17004717823433038</v>
      </c>
    </row>
    <row r="179" spans="1:62" x14ac:dyDescent="0.3">
      <c r="A179">
        <v>-0.1</v>
      </c>
      <c r="B179" s="146">
        <v>1000</v>
      </c>
      <c r="C179" s="146">
        <v>25</v>
      </c>
      <c r="D179" s="146">
        <v>800</v>
      </c>
      <c r="E179" s="252">
        <v>21.116755386027894</v>
      </c>
      <c r="F179" s="146">
        <v>2.3786887895493316</v>
      </c>
      <c r="G179" s="146">
        <v>22.929295028334288</v>
      </c>
      <c r="H179" s="146">
        <v>11.08964676276622</v>
      </c>
      <c r="I179" s="146"/>
      <c r="J179" s="146">
        <v>0.32405469433018363</v>
      </c>
      <c r="K179" s="146">
        <v>0.18</v>
      </c>
      <c r="L179" s="146">
        <v>112.40236616053683</v>
      </c>
      <c r="M179" s="146">
        <v>55.96798315047478</v>
      </c>
      <c r="N179" s="146">
        <v>3.0702677808482068</v>
      </c>
      <c r="O179" s="146"/>
      <c r="P179" s="146"/>
      <c r="Q179" s="146"/>
      <c r="R179" s="146"/>
      <c r="S179" s="146"/>
      <c r="T179" s="146"/>
      <c r="U179" s="146"/>
      <c r="V179" s="146"/>
      <c r="W179" s="146"/>
      <c r="X179" s="146"/>
      <c r="Y179" s="146"/>
      <c r="Z179" s="146">
        <v>0.27685893397044092</v>
      </c>
      <c r="AA179" s="146"/>
      <c r="AB179" s="146"/>
      <c r="AC179" s="146"/>
      <c r="AD179" s="146"/>
      <c r="AE179" s="146"/>
      <c r="AF179" s="146"/>
      <c r="AG179" s="146"/>
      <c r="AH179" s="146"/>
      <c r="AI179" s="146"/>
      <c r="AJ179" s="146"/>
      <c r="AK179" s="146"/>
      <c r="AL179" s="146">
        <v>2202.4684448564863</v>
      </c>
      <c r="AM179" s="146">
        <v>0.10374016238222449</v>
      </c>
      <c r="AN179" s="146">
        <v>0.26356625726653499</v>
      </c>
      <c r="AO179" s="146">
        <v>719.88065693601561</v>
      </c>
      <c r="AP179" s="146">
        <v>667.33455443238245</v>
      </c>
      <c r="AQ179" t="s">
        <v>326</v>
      </c>
      <c r="AR179">
        <f t="shared" si="9"/>
        <v>9.762677251918257</v>
      </c>
      <c r="AS179">
        <f t="shared" si="10"/>
        <v>2.6643645582431001</v>
      </c>
      <c r="AT179">
        <v>0.2</v>
      </c>
      <c r="AU179">
        <v>1</v>
      </c>
      <c r="AV179">
        <v>0.3</v>
      </c>
      <c r="AW179">
        <v>3</v>
      </c>
      <c r="AX179" s="146">
        <v>0.271385269959314</v>
      </c>
      <c r="AY179">
        <v>0.18</v>
      </c>
      <c r="AZ179" s="209">
        <v>667.33455443238245</v>
      </c>
      <c r="BA179">
        <v>0.271385269959314</v>
      </c>
      <c r="BB179" s="249">
        <v>38.78732119609991</v>
      </c>
      <c r="BC179" s="243">
        <v>196.18412580957153</v>
      </c>
      <c r="BD179" s="209">
        <v>93660.309205838072</v>
      </c>
      <c r="BE179" s="243">
        <v>53.093973203120761</v>
      </c>
      <c r="BF179">
        <v>370208.56208793307</v>
      </c>
      <c r="BG179" t="s">
        <v>388</v>
      </c>
      <c r="BH179">
        <v>8.1548324644753831E-6</v>
      </c>
      <c r="BI179">
        <v>2136603.0920583806</v>
      </c>
      <c r="BJ179">
        <f t="shared" si="8"/>
        <v>0.17326969312361992</v>
      </c>
    </row>
    <row r="180" spans="1:62" x14ac:dyDescent="0.3">
      <c r="A180">
        <v>-0.1</v>
      </c>
      <c r="B180" s="146">
        <v>1000</v>
      </c>
      <c r="C180" s="146">
        <v>25</v>
      </c>
      <c r="D180" s="146">
        <v>900</v>
      </c>
      <c r="E180" s="252">
        <v>21.436984445734677</v>
      </c>
      <c r="F180" s="146">
        <v>2.1466189093079961</v>
      </c>
      <c r="G180" s="146">
        <v>23.12748947328943</v>
      </c>
      <c r="H180" s="146">
        <v>11.053013964159309</v>
      </c>
      <c r="I180" s="146"/>
      <c r="J180" s="146">
        <v>0.32154199897349878</v>
      </c>
      <c r="K180" s="146">
        <v>0.18</v>
      </c>
      <c r="L180" s="146">
        <v>112.00910841547376</v>
      </c>
      <c r="M180" s="146">
        <v>55.772170165381134</v>
      </c>
      <c r="N180" s="146">
        <v>3.1615400665370679</v>
      </c>
      <c r="O180" s="146"/>
      <c r="P180" s="146"/>
      <c r="Q180" s="146"/>
      <c r="R180" s="146"/>
      <c r="S180" s="146"/>
      <c r="T180" s="146"/>
      <c r="U180" s="146"/>
      <c r="V180" s="146"/>
      <c r="W180" s="146"/>
      <c r="X180" s="146"/>
      <c r="Y180" s="146"/>
      <c r="Z180" s="146">
        <v>0.2860342054021402</v>
      </c>
      <c r="AA180" s="146"/>
      <c r="AB180" s="146"/>
      <c r="AC180" s="146"/>
      <c r="AD180" s="146"/>
      <c r="AE180" s="146"/>
      <c r="AF180" s="146"/>
      <c r="AG180" s="146"/>
      <c r="AH180" s="146"/>
      <c r="AI180" s="146"/>
      <c r="AJ180" s="146"/>
      <c r="AK180" s="146"/>
      <c r="AL180" s="146">
        <v>2345.7887569724039</v>
      </c>
      <c r="AM180" s="146">
        <v>9.2816771651206886E-2</v>
      </c>
      <c r="AN180" s="146">
        <v>0.26258497023624905</v>
      </c>
      <c r="AO180" s="146">
        <v>818.3617233444561</v>
      </c>
      <c r="AP180" s="146">
        <v>765.01872370386911</v>
      </c>
      <c r="AQ180" t="s">
        <v>326</v>
      </c>
      <c r="AR180">
        <f t="shared" si="9"/>
        <v>9.762677251918257</v>
      </c>
      <c r="AS180">
        <f t="shared" si="10"/>
        <v>2.6643645582431001</v>
      </c>
      <c r="AT180">
        <v>0.2</v>
      </c>
      <c r="AU180">
        <v>1</v>
      </c>
      <c r="AV180">
        <v>0.3</v>
      </c>
      <c r="AW180">
        <v>3</v>
      </c>
      <c r="AX180" s="146">
        <v>0.27219538505040336</v>
      </c>
      <c r="AY180">
        <v>0.18</v>
      </c>
      <c r="AZ180" s="209">
        <v>765.01872370386911</v>
      </c>
      <c r="BA180">
        <v>0.27219538505040336</v>
      </c>
      <c r="BB180" s="249">
        <v>37.445691725085304</v>
      </c>
      <c r="BC180" s="243">
        <v>195.11490229498423</v>
      </c>
      <c r="BD180" s="209">
        <v>92342.882395328779</v>
      </c>
      <c r="BE180" s="243">
        <v>51.763326865317708</v>
      </c>
      <c r="BF180">
        <v>373324.77907030017</v>
      </c>
      <c r="BG180" t="s">
        <v>388</v>
      </c>
      <c r="BH180">
        <v>8.3161652274187166E-6</v>
      </c>
      <c r="BI180">
        <v>2123428.8239532877</v>
      </c>
      <c r="BJ180">
        <f t="shared" si="8"/>
        <v>0.17581224049472202</v>
      </c>
    </row>
    <row r="181" spans="1:62" x14ac:dyDescent="0.3">
      <c r="A181">
        <v>-0.1</v>
      </c>
      <c r="B181" s="146">
        <v>1000</v>
      </c>
      <c r="C181" s="146">
        <v>25</v>
      </c>
      <c r="D181" s="146">
        <v>1000</v>
      </c>
      <c r="E181" s="252">
        <v>21.698640787231611</v>
      </c>
      <c r="F181" s="146">
        <v>1.9565162507290179</v>
      </c>
      <c r="G181" s="146">
        <v>23.289188719906452</v>
      </c>
      <c r="H181" s="146">
        <v>11.023290492497658</v>
      </c>
      <c r="I181" s="146"/>
      <c r="J181" s="146">
        <v>0.31926143765508669</v>
      </c>
      <c r="K181" s="146">
        <v>0.18</v>
      </c>
      <c r="L181" s="146">
        <v>111.6910214195927</v>
      </c>
      <c r="M181" s="146">
        <v>55.613786598967337</v>
      </c>
      <c r="N181" s="146">
        <v>3.2414299262038284</v>
      </c>
      <c r="O181" s="146"/>
      <c r="P181" s="146"/>
      <c r="Q181" s="146"/>
      <c r="R181" s="146"/>
      <c r="S181" s="146"/>
      <c r="T181" s="146"/>
      <c r="U181" s="146"/>
      <c r="V181" s="146"/>
      <c r="W181" s="146"/>
      <c r="X181" s="146"/>
      <c r="Y181" s="146"/>
      <c r="Z181" s="146">
        <v>0.29405284460297165</v>
      </c>
      <c r="AA181" s="146"/>
      <c r="AB181" s="146"/>
      <c r="AC181" s="146"/>
      <c r="AD181" s="146"/>
      <c r="AE181" s="146"/>
      <c r="AF181" s="146"/>
      <c r="AG181" s="146"/>
      <c r="AH181" s="146"/>
      <c r="AI181" s="146"/>
      <c r="AJ181" s="146"/>
      <c r="AK181" s="146"/>
      <c r="AL181" s="146">
        <v>2483.8284732986313</v>
      </c>
      <c r="AM181" s="146">
        <v>8.4009635297286431E-2</v>
      </c>
      <c r="AN181" s="146">
        <v>0.26176876559504819</v>
      </c>
      <c r="AO181" s="146">
        <v>917.10760167315368</v>
      </c>
      <c r="AP181" s="146">
        <v>863.11351019671793</v>
      </c>
      <c r="AQ181" t="s">
        <v>326</v>
      </c>
      <c r="AR181">
        <f t="shared" si="9"/>
        <v>9.762677251918257</v>
      </c>
      <c r="AS181">
        <f t="shared" si="10"/>
        <v>2.6643645582431001</v>
      </c>
      <c r="AT181">
        <v>0.2</v>
      </c>
      <c r="AU181">
        <v>1</v>
      </c>
      <c r="AV181">
        <v>0.3</v>
      </c>
      <c r="AW181">
        <v>3</v>
      </c>
      <c r="AX181" s="146">
        <v>0.27278573808535189</v>
      </c>
      <c r="AY181">
        <v>0.18</v>
      </c>
      <c r="AZ181" s="209">
        <v>863.11351019671793</v>
      </c>
      <c r="BA181">
        <v>0.27278573808535189</v>
      </c>
      <c r="BB181" s="249">
        <v>36.344243461721859</v>
      </c>
      <c r="BC181" s="243">
        <v>194.25394080919509</v>
      </c>
      <c r="BD181" s="209">
        <v>91264.423304292475</v>
      </c>
      <c r="BE181" s="243">
        <v>50.661982114937437</v>
      </c>
      <c r="BF181">
        <v>375754.84632768272</v>
      </c>
      <c r="BG181" t="s">
        <v>388</v>
      </c>
      <c r="BH181">
        <v>8.4494520529463978E-6</v>
      </c>
      <c r="BI181">
        <v>2112644.2330429247</v>
      </c>
      <c r="BJ181">
        <f t="shared" si="8"/>
        <v>0.1778599730378968</v>
      </c>
    </row>
    <row r="182" spans="1:62" s="140" customFormat="1" x14ac:dyDescent="0.3">
      <c r="A182" s="140">
        <v>-0.1</v>
      </c>
      <c r="B182" s="140">
        <v>1000</v>
      </c>
      <c r="C182" s="140">
        <v>25</v>
      </c>
      <c r="D182" s="140">
        <v>1100</v>
      </c>
      <c r="E182" s="253">
        <v>21.917662542277252</v>
      </c>
      <c r="F182" s="140">
        <v>1.7980922602614287</v>
      </c>
      <c r="G182" s="140">
        <v>23.424955504108375</v>
      </c>
      <c r="H182" s="140">
        <v>10.998961362723264</v>
      </c>
      <c r="J182" s="140">
        <v>0.31713575353850726</v>
      </c>
      <c r="K182" s="140">
        <v>0.18</v>
      </c>
      <c r="L182" s="140">
        <v>111.4311325409349</v>
      </c>
      <c r="M182" s="140">
        <v>55.484381348183348</v>
      </c>
      <c r="N182" s="140">
        <v>3.3124411452513467</v>
      </c>
      <c r="Z182" s="140">
        <v>0.30115944915286164</v>
      </c>
      <c r="AL182" s="140">
        <v>2617.72413250419</v>
      </c>
      <c r="AM182" s="140">
        <v>7.6759687332002446E-2</v>
      </c>
      <c r="AN182" s="140">
        <v>0.26105678086859718</v>
      </c>
      <c r="AO182" s="140">
        <v>1016.042546493709</v>
      </c>
      <c r="AP182" s="140">
        <v>961.50355987851572</v>
      </c>
      <c r="AQ182" t="s">
        <v>326</v>
      </c>
      <c r="AR182">
        <f t="shared" si="9"/>
        <v>9.762677251918257</v>
      </c>
      <c r="AS182">
        <f t="shared" si="10"/>
        <v>2.6643645582431001</v>
      </c>
      <c r="AT182" s="140">
        <v>0.2</v>
      </c>
      <c r="AU182" s="140">
        <v>1</v>
      </c>
      <c r="AV182">
        <v>0.3</v>
      </c>
      <c r="AW182">
        <v>3</v>
      </c>
      <c r="AX182" s="140">
        <v>0.27318147912300988</v>
      </c>
      <c r="AY182">
        <v>0.18</v>
      </c>
      <c r="AZ182" s="209">
        <v>961.50355987851572</v>
      </c>
      <c r="BA182" s="140">
        <v>0.27318147912300988</v>
      </c>
      <c r="BB182" s="253">
        <v>35.426286407120763</v>
      </c>
      <c r="BC182" s="245">
        <v>193.55305812638116</v>
      </c>
      <c r="BD182" s="210">
        <v>90374.92860104861</v>
      </c>
      <c r="BE182" s="245">
        <v>49.745674553782329</v>
      </c>
      <c r="BF182" s="140">
        <v>377749.96021027415</v>
      </c>
      <c r="BG182" t="s">
        <v>388</v>
      </c>
      <c r="BH182" s="140">
        <v>8.561388608368046E-6</v>
      </c>
      <c r="BI182" s="140">
        <v>2103749.2860104861</v>
      </c>
      <c r="BJ182">
        <f t="shared" si="8"/>
        <v>0.17956035099915954</v>
      </c>
    </row>
    <row r="183" spans="1:62" x14ac:dyDescent="0.3">
      <c r="A183">
        <v>-0.1</v>
      </c>
      <c r="B183" s="146">
        <v>1000</v>
      </c>
      <c r="C183" s="146">
        <v>25</v>
      </c>
      <c r="D183" s="146">
        <v>400</v>
      </c>
      <c r="E183" s="252">
        <v>18.562781272876187</v>
      </c>
      <c r="F183" s="146">
        <v>4.2025851576668929</v>
      </c>
      <c r="G183" s="146">
        <v>21.334433043525518</v>
      </c>
      <c r="H183" s="146">
        <v>11.393378928247397</v>
      </c>
      <c r="I183" s="146"/>
      <c r="J183" s="146">
        <v>0.34416674166501615</v>
      </c>
      <c r="K183" s="146">
        <v>0.18</v>
      </c>
      <c r="L183" s="146">
        <v>115.72864351101612</v>
      </c>
      <c r="M183" s="146">
        <v>57.624220835360731</v>
      </c>
      <c r="N183" s="146">
        <v>2.4577223578465048</v>
      </c>
      <c r="O183" s="146"/>
      <c r="P183" s="146"/>
      <c r="Q183" s="146"/>
      <c r="R183" s="146"/>
      <c r="S183" s="146"/>
      <c r="T183" s="146"/>
      <c r="U183" s="146"/>
      <c r="V183" s="146"/>
      <c r="W183" s="146"/>
      <c r="X183" s="146"/>
      <c r="Y183" s="146"/>
      <c r="Z183" s="146">
        <v>0.21571496685264444</v>
      </c>
      <c r="AA183" s="146"/>
      <c r="AB183" s="146"/>
      <c r="AC183" s="146"/>
      <c r="AD183" s="146"/>
      <c r="AE183" s="146"/>
      <c r="AF183" s="146"/>
      <c r="AG183" s="146"/>
      <c r="AH183" s="146"/>
      <c r="AI183" s="146"/>
      <c r="AJ183" s="146"/>
      <c r="AK183" s="146"/>
      <c r="AL183" s="146">
        <v>1514.0945199699654</v>
      </c>
      <c r="AM183" s="146">
        <v>0.19698602484973349</v>
      </c>
      <c r="AN183" s="146">
        <v>0.27069046822925569</v>
      </c>
      <c r="AO183" s="146">
        <v>331.42432611570638</v>
      </c>
      <c r="AP183" s="146">
        <v>285.23334104671267</v>
      </c>
      <c r="AQ183" t="s">
        <v>326</v>
      </c>
      <c r="AR183">
        <f t="shared" si="9"/>
        <v>9.762677251918257</v>
      </c>
      <c r="AS183">
        <f t="shared" si="10"/>
        <v>2.6643645582431001</v>
      </c>
      <c r="AT183">
        <v>0.2</v>
      </c>
      <c r="AU183">
        <v>1</v>
      </c>
      <c r="AV183">
        <v>0.3</v>
      </c>
      <c r="AW183" s="146">
        <v>3</v>
      </c>
      <c r="AX183" s="146">
        <v>0.26761390881908864</v>
      </c>
      <c r="AY183">
        <v>0.18</v>
      </c>
      <c r="AZ183" s="209">
        <v>285.23334104671267</v>
      </c>
      <c r="BA183">
        <v>0.26761390881908864</v>
      </c>
      <c r="BB183" s="249">
        <v>49.15258357952122</v>
      </c>
      <c r="BC183" s="243">
        <v>205.44786279323088</v>
      </c>
      <c r="BD183" s="209">
        <v>103886.87728262701</v>
      </c>
      <c r="BE183" s="243">
        <v>62.69581393312221</v>
      </c>
      <c r="BF183">
        <v>339837.7196467641</v>
      </c>
      <c r="BG183" t="s">
        <v>389</v>
      </c>
      <c r="BH183">
        <v>6.9369853028100998E-6</v>
      </c>
      <c r="BI183">
        <v>2238868.7728262702</v>
      </c>
      <c r="BJ183">
        <f t="shared" si="8"/>
        <v>0.15178992345217482</v>
      </c>
    </row>
    <row r="184" spans="1:62" x14ac:dyDescent="0.3">
      <c r="A184">
        <v>-0.1</v>
      </c>
      <c r="B184" s="146">
        <v>1000</v>
      </c>
      <c r="C184" s="146">
        <v>25</v>
      </c>
      <c r="D184" s="146">
        <v>400</v>
      </c>
      <c r="E184" s="252">
        <v>17.922521691138776</v>
      </c>
      <c r="F184" s="146">
        <v>4.0199146390367044</v>
      </c>
      <c r="G184" s="146">
        <v>20.567629735911808</v>
      </c>
      <c r="H184" s="146">
        <v>10.998082185039125</v>
      </c>
      <c r="I184" s="146"/>
      <c r="J184" s="146">
        <v>0.34740887538440124</v>
      </c>
      <c r="K184" s="146">
        <v>0.18</v>
      </c>
      <c r="L184" s="146">
        <v>111.75175570531215</v>
      </c>
      <c r="M184" s="146">
        <v>55.644027737084897</v>
      </c>
      <c r="N184" s="146">
        <v>2.3748505170827432</v>
      </c>
      <c r="O184" s="146"/>
      <c r="P184" s="146"/>
      <c r="Q184" s="146"/>
      <c r="R184" s="146"/>
      <c r="S184" s="146"/>
      <c r="T184" s="146"/>
      <c r="U184" s="146"/>
      <c r="V184" s="146"/>
      <c r="W184" s="146"/>
      <c r="X184" s="146"/>
      <c r="Y184" s="146"/>
      <c r="Z184" s="146">
        <v>0.21593314880964354</v>
      </c>
      <c r="AA184" s="146"/>
      <c r="AB184" s="146"/>
      <c r="AC184" s="146"/>
      <c r="AD184" s="146"/>
      <c r="AE184" s="146"/>
      <c r="AF184" s="146"/>
      <c r="AG184" s="146"/>
      <c r="AH184" s="146"/>
      <c r="AI184" s="146"/>
      <c r="AJ184" s="146"/>
      <c r="AK184" s="146"/>
      <c r="AL184" s="146">
        <v>1476.9672055193748</v>
      </c>
      <c r="AM184" s="146">
        <v>0.19544860981320525</v>
      </c>
      <c r="AN184" s="146">
        <v>0.27212914116922127</v>
      </c>
      <c r="AO184" s="146">
        <v>334.13964555896717</v>
      </c>
      <c r="AP184" s="146">
        <v>289.54194697800244</v>
      </c>
      <c r="AQ184" t="s">
        <v>326</v>
      </c>
      <c r="AR184">
        <f t="shared" si="9"/>
        <v>9.762677251918257</v>
      </c>
      <c r="AS184">
        <f t="shared" si="10"/>
        <v>2.6643645582431001</v>
      </c>
      <c r="AT184">
        <v>0.2</v>
      </c>
      <c r="AU184">
        <v>1</v>
      </c>
      <c r="AV184">
        <v>0.3</v>
      </c>
      <c r="AW184" s="146">
        <v>2.5</v>
      </c>
      <c r="AX184" s="146">
        <v>0.26963488938344887</v>
      </c>
      <c r="AY184">
        <v>0.18</v>
      </c>
      <c r="AZ184" s="209">
        <v>289.54194697800244</v>
      </c>
      <c r="BA184">
        <v>0.26963488938344887</v>
      </c>
      <c r="BB184" s="249">
        <v>47.185044156799478</v>
      </c>
      <c r="BC184" s="243">
        <v>194.41806284042761</v>
      </c>
      <c r="BD184" s="209">
        <v>97309.258823968441</v>
      </c>
      <c r="BE184" s="243">
        <v>59.642227261443352</v>
      </c>
      <c r="BF184">
        <v>386818.70421316777</v>
      </c>
      <c r="BG184" t="s">
        <v>389</v>
      </c>
      <c r="BH184">
        <v>6.7307113680643545E-6</v>
      </c>
      <c r="BI184">
        <v>2173092.5882396847</v>
      </c>
      <c r="BJ184">
        <f t="shared" si="8"/>
        <v>0.17800378424120003</v>
      </c>
    </row>
    <row r="185" spans="1:62" x14ac:dyDescent="0.3">
      <c r="A185">
        <v>-0.1</v>
      </c>
      <c r="B185" s="146">
        <v>1000</v>
      </c>
      <c r="C185" s="146">
        <v>25</v>
      </c>
      <c r="D185" s="146">
        <v>400</v>
      </c>
      <c r="E185" s="252">
        <v>15.616619487891356</v>
      </c>
      <c r="F185" s="146">
        <v>3.4017787117966023</v>
      </c>
      <c r="G185" s="146">
        <v>17.838799964898296</v>
      </c>
      <c r="H185" s="146">
        <v>9.5846043397355203</v>
      </c>
      <c r="I185" s="146"/>
      <c r="J185" s="146">
        <v>0.35931357584812068</v>
      </c>
      <c r="K185" s="146">
        <v>0.18</v>
      </c>
      <c r="L185" s="146">
        <v>97.50214138443998</v>
      </c>
      <c r="M185" s="146">
        <v>48.548784091837341</v>
      </c>
      <c r="N185" s="146">
        <v>2.0823886363282114</v>
      </c>
      <c r="O185" s="146"/>
      <c r="P185" s="146"/>
      <c r="Q185" s="146"/>
      <c r="R185" s="146"/>
      <c r="S185" s="146"/>
      <c r="T185" s="146"/>
      <c r="U185" s="146"/>
      <c r="V185" s="146"/>
      <c r="W185" s="146"/>
      <c r="X185" s="146"/>
      <c r="Y185" s="146"/>
      <c r="Z185" s="146">
        <v>0.21726391226136657</v>
      </c>
      <c r="AA185" s="146"/>
      <c r="AB185" s="146"/>
      <c r="AC185" s="146"/>
      <c r="AD185" s="146"/>
      <c r="AE185" s="146"/>
      <c r="AF185" s="146"/>
      <c r="AG185" s="146"/>
      <c r="AH185" s="146"/>
      <c r="AI185" s="146"/>
      <c r="AJ185" s="146"/>
      <c r="AK185" s="146"/>
      <c r="AL185" s="146">
        <v>1345.9169950840994</v>
      </c>
      <c r="AM185" s="146">
        <v>0.19069549064344793</v>
      </c>
      <c r="AN185" s="146">
        <v>0.27680423618640509</v>
      </c>
      <c r="AO185" s="146">
        <v>343.58244041693484</v>
      </c>
      <c r="AP185" s="146">
        <v>304.72267691999343</v>
      </c>
      <c r="AQ185" t="s">
        <v>326</v>
      </c>
      <c r="AR185">
        <f t="shared" si="9"/>
        <v>9.762677251918257</v>
      </c>
      <c r="AS185">
        <f t="shared" si="10"/>
        <v>2.6643645582431001</v>
      </c>
      <c r="AT185">
        <v>0.2</v>
      </c>
      <c r="AU185">
        <v>1</v>
      </c>
      <c r="AV185">
        <v>0.3</v>
      </c>
      <c r="AW185" s="146">
        <v>1.5</v>
      </c>
      <c r="AX185" s="146">
        <v>0.27689563483078339</v>
      </c>
      <c r="AY185">
        <v>0.18</v>
      </c>
      <c r="AZ185" s="209">
        <v>304.72267691999343</v>
      </c>
      <c r="BA185">
        <v>0.27689563483078339</v>
      </c>
      <c r="BB185" s="249">
        <v>40.399936512423764</v>
      </c>
      <c r="BC185" s="243">
        <v>158.97175766188508</v>
      </c>
      <c r="BD185" s="209">
        <v>76477.257628460487</v>
      </c>
      <c r="BE185" s="243">
        <v>49.54469078157026</v>
      </c>
      <c r="BF185">
        <v>507306.26735411806</v>
      </c>
      <c r="BG185" t="s">
        <v>389</v>
      </c>
      <c r="BH185">
        <v>6.0214344832497438E-6</v>
      </c>
      <c r="BI185">
        <v>1964772.5762846048</v>
      </c>
      <c r="BJ185">
        <f t="shared" si="8"/>
        <v>0.25820101190206801</v>
      </c>
    </row>
    <row r="186" spans="1:62" x14ac:dyDescent="0.3">
      <c r="A186">
        <v>-0.1</v>
      </c>
      <c r="B186" s="146">
        <v>1000</v>
      </c>
      <c r="C186" s="146">
        <v>25</v>
      </c>
      <c r="D186" s="146">
        <v>400</v>
      </c>
      <c r="E186" s="252">
        <v>13.503995028165214</v>
      </c>
      <c r="F186" s="146">
        <v>2.8824273001830969</v>
      </c>
      <c r="G186" s="146">
        <v>15.375799906057386</v>
      </c>
      <c r="H186" s="146">
        <v>8.2964597698868197</v>
      </c>
      <c r="I186" s="146"/>
      <c r="J186" s="146">
        <v>0.37099899552819288</v>
      </c>
      <c r="K186" s="146">
        <v>0.18</v>
      </c>
      <c r="L186" s="146">
        <v>84.479869235646319</v>
      </c>
      <c r="M186" s="146">
        <v>42.064665179574931</v>
      </c>
      <c r="N186" s="146">
        <v>1.8159478718331741</v>
      </c>
      <c r="O186" s="146"/>
      <c r="P186" s="146"/>
      <c r="Q186" s="146"/>
      <c r="R186" s="146"/>
      <c r="S186" s="146"/>
      <c r="T186" s="146"/>
      <c r="U186" s="146"/>
      <c r="V186" s="146"/>
      <c r="W186" s="146"/>
      <c r="X186" s="146"/>
      <c r="Y186" s="146"/>
      <c r="Z186" s="146">
        <v>0.21888226089209945</v>
      </c>
      <c r="AA186" s="146"/>
      <c r="AB186" s="146"/>
      <c r="AC186" s="146"/>
      <c r="AD186" s="146"/>
      <c r="AE186" s="146"/>
      <c r="AF186" s="146"/>
      <c r="AG186" s="146"/>
      <c r="AH186" s="146"/>
      <c r="AI186" s="146"/>
      <c r="AJ186" s="146"/>
      <c r="AK186" s="146"/>
      <c r="AL186" s="146">
        <v>1226.2020671006017</v>
      </c>
      <c r="AM186" s="146">
        <v>0.18746519321232502</v>
      </c>
      <c r="AN186" s="146">
        <v>0.2803456655184276</v>
      </c>
      <c r="AO186" s="146">
        <v>351.83091201644572</v>
      </c>
      <c r="AP186" s="146">
        <v>318.22813118401484</v>
      </c>
      <c r="AQ186" t="s">
        <v>326</v>
      </c>
      <c r="AR186">
        <f t="shared" si="9"/>
        <v>9.762677251918257</v>
      </c>
      <c r="AS186">
        <f t="shared" si="10"/>
        <v>2.6643645582431001</v>
      </c>
      <c r="AT186">
        <v>0.2</v>
      </c>
      <c r="AU186">
        <v>1</v>
      </c>
      <c r="AV186">
        <v>0.3</v>
      </c>
      <c r="AW186" s="146">
        <v>1</v>
      </c>
      <c r="AX186" s="146">
        <v>0.28376828278114874</v>
      </c>
      <c r="AY186">
        <v>0.18</v>
      </c>
      <c r="AZ186" s="209">
        <v>318.22813118401484</v>
      </c>
      <c r="BA186">
        <v>0.28376828278114874</v>
      </c>
      <c r="BB186" s="249">
        <v>34.533644722209608</v>
      </c>
      <c r="BC186" s="243">
        <v>130.92348352155821</v>
      </c>
      <c r="BD186" s="209">
        <v>60528.364096978767</v>
      </c>
      <c r="BE186" s="243">
        <v>41.313007598691421</v>
      </c>
      <c r="BF186">
        <v>576941.61381997843</v>
      </c>
      <c r="BG186" t="s">
        <v>389</v>
      </c>
      <c r="BH186">
        <v>5.3556272782233339E-6</v>
      </c>
      <c r="BI186">
        <v>1805283.6409697877</v>
      </c>
      <c r="BJ186">
        <f t="shared" si="8"/>
        <v>0.31958502294412239</v>
      </c>
    </row>
    <row r="187" spans="1:62" x14ac:dyDescent="0.3">
      <c r="A187">
        <v>-0.1</v>
      </c>
      <c r="B187" s="146">
        <v>1000</v>
      </c>
      <c r="C187" s="146">
        <v>25</v>
      </c>
      <c r="D187" s="146">
        <v>400</v>
      </c>
      <c r="E187" s="252">
        <v>12.346254038389155</v>
      </c>
      <c r="F187" s="146">
        <v>2.6148380057428411</v>
      </c>
      <c r="G187" s="146">
        <v>14.038347082744131</v>
      </c>
      <c r="H187" s="146">
        <v>7.5666489144083684</v>
      </c>
      <c r="I187" s="146"/>
      <c r="J187" s="146">
        <v>0.37401083022937881</v>
      </c>
      <c r="K187" s="146">
        <v>0.18</v>
      </c>
      <c r="L187" s="146">
        <v>77.088693889967786</v>
      </c>
      <c r="M187" s="146">
        <v>38.384411895419653</v>
      </c>
      <c r="N187" s="146">
        <v>1.6893080810273995</v>
      </c>
      <c r="O187" s="146"/>
      <c r="P187" s="146"/>
      <c r="Q187" s="146"/>
      <c r="R187" s="146"/>
      <c r="S187" s="146"/>
      <c r="T187" s="146"/>
      <c r="U187" s="146"/>
      <c r="V187" s="146"/>
      <c r="W187" s="146"/>
      <c r="X187" s="146"/>
      <c r="Y187" s="146"/>
      <c r="Z187" s="146">
        <v>0.22325709837159605</v>
      </c>
      <c r="AA187" s="146"/>
      <c r="AB187" s="146"/>
      <c r="AC187" s="146"/>
      <c r="AD187" s="146"/>
      <c r="AE187" s="146"/>
      <c r="AF187" s="146"/>
      <c r="AG187" s="146"/>
      <c r="AH187" s="146"/>
      <c r="AI187" s="146"/>
      <c r="AJ187" s="146"/>
      <c r="AK187" s="146"/>
      <c r="AL187" s="146">
        <v>1169.9665957719526</v>
      </c>
      <c r="AM187" s="146">
        <v>0.18626395189765521</v>
      </c>
      <c r="AN187" s="146">
        <v>0.2808176770329246</v>
      </c>
      <c r="AO187" s="146">
        <v>356.03462656326434</v>
      </c>
      <c r="AP187" s="146">
        <v>325.31255525825316</v>
      </c>
      <c r="AQ187" t="s">
        <v>326</v>
      </c>
      <c r="AR187">
        <f t="shared" si="9"/>
        <v>9.762677251918257</v>
      </c>
      <c r="AS187">
        <f t="shared" si="10"/>
        <v>2.6643645582431001</v>
      </c>
      <c r="AT187">
        <v>0.2</v>
      </c>
      <c r="AU187">
        <v>1</v>
      </c>
      <c r="AV187">
        <v>0.3</v>
      </c>
      <c r="AW187" s="146">
        <v>0.8</v>
      </c>
      <c r="AX187" s="146">
        <v>0.28512665140948001</v>
      </c>
      <c r="AY187">
        <v>0.18</v>
      </c>
      <c r="AZ187" s="209">
        <v>325.31255525825316</v>
      </c>
      <c r="BA187">
        <v>0.28512665140948001</v>
      </c>
      <c r="BB187" s="249">
        <v>31.459673978591567</v>
      </c>
      <c r="BC187" s="243">
        <v>116.42128917326671</v>
      </c>
      <c r="BD187" s="209">
        <v>52829.149584280611</v>
      </c>
      <c r="BE187" s="243">
        <v>37.448327420155877</v>
      </c>
      <c r="BF187">
        <v>605503.92618107726</v>
      </c>
      <c r="BG187" t="s">
        <v>389</v>
      </c>
      <c r="BH187">
        <v>4.9691272618244079E-6</v>
      </c>
      <c r="BI187">
        <v>1728291.4958428061</v>
      </c>
      <c r="BJ187">
        <f t="shared" si="8"/>
        <v>0.35034826453612883</v>
      </c>
    </row>
    <row r="188" spans="1:62" x14ac:dyDescent="0.3">
      <c r="A188">
        <v>-0.1</v>
      </c>
      <c r="B188" s="146">
        <v>1000</v>
      </c>
      <c r="C188" s="146">
        <v>25</v>
      </c>
      <c r="D188" s="146">
        <v>400</v>
      </c>
      <c r="E188" s="252">
        <v>10.903327902204207</v>
      </c>
      <c r="F188" s="146">
        <v>2.2920846864519779</v>
      </c>
      <c r="G188" s="146">
        <v>12.380264135900395</v>
      </c>
      <c r="H188" s="146">
        <v>6.6556635279262446</v>
      </c>
      <c r="I188" s="146"/>
      <c r="J188" s="146">
        <v>0.37610254086153699</v>
      </c>
      <c r="K188" s="146">
        <v>0.18</v>
      </c>
      <c r="L188" s="146">
        <v>67.84968976897963</v>
      </c>
      <c r="M188" s="146">
        <v>33.78407789326787</v>
      </c>
      <c r="N188" s="146">
        <v>1.5389866315405252</v>
      </c>
      <c r="O188" s="146"/>
      <c r="P188" s="146"/>
      <c r="Q188" s="146"/>
      <c r="R188" s="146"/>
      <c r="S188" s="146"/>
      <c r="T188" s="146"/>
      <c r="U188" s="146"/>
      <c r="V188" s="146"/>
      <c r="W188" s="146"/>
      <c r="X188" s="146"/>
      <c r="Y188" s="146"/>
      <c r="Z188" s="146">
        <v>0.23122963249015668</v>
      </c>
      <c r="AA188" s="146"/>
      <c r="AB188" s="146"/>
      <c r="AC188" s="146"/>
      <c r="AD188" s="146"/>
      <c r="AE188" s="146"/>
      <c r="AF188" s="146"/>
      <c r="AG188" s="146"/>
      <c r="AH188" s="146"/>
      <c r="AI188" s="146"/>
      <c r="AJ188" s="146"/>
      <c r="AK188" s="146"/>
      <c r="AL188" s="146">
        <v>1103.5395121483891</v>
      </c>
      <c r="AM188" s="146">
        <v>0.18514020874606149</v>
      </c>
      <c r="AN188" s="146">
        <v>0.28085150399667796</v>
      </c>
      <c r="AO188" s="146">
        <v>361.17760543545751</v>
      </c>
      <c r="AP188" s="146">
        <v>334.04619637812726</v>
      </c>
      <c r="AQ188" t="s">
        <v>326</v>
      </c>
      <c r="AR188">
        <f t="shared" si="9"/>
        <v>9.762677251918257</v>
      </c>
      <c r="AS188">
        <f t="shared" si="10"/>
        <v>2.6643645582431001</v>
      </c>
      <c r="AT188">
        <v>0.2</v>
      </c>
      <c r="AU188">
        <v>1</v>
      </c>
      <c r="AV188">
        <v>0.3</v>
      </c>
      <c r="AW188" s="146">
        <v>0.6</v>
      </c>
      <c r="AX188" s="146">
        <v>0.28563557273766832</v>
      </c>
      <c r="AY188">
        <v>0.18</v>
      </c>
      <c r="AZ188" s="209">
        <v>334.04619637812726</v>
      </c>
      <c r="BA188">
        <v>0.28563557273766832</v>
      </c>
      <c r="BB188" s="249">
        <v>27.707826570601874</v>
      </c>
      <c r="BC188" s="243">
        <v>99.466973363080399</v>
      </c>
      <c r="BD188" s="209">
        <v>44090.965838126816</v>
      </c>
      <c r="BE188" s="243">
        <v>32.890582824998766</v>
      </c>
      <c r="BF188">
        <v>631748.05378838675</v>
      </c>
      <c r="BG188" t="s">
        <v>389</v>
      </c>
      <c r="BH188">
        <v>4.4678882116576725E-6</v>
      </c>
      <c r="BI188">
        <v>1640909.6583812681</v>
      </c>
      <c r="BJ188">
        <f t="shared" si="8"/>
        <v>0.38499868079976834</v>
      </c>
    </row>
    <row r="189" spans="1:62" x14ac:dyDescent="0.3">
      <c r="A189">
        <v>-0.1</v>
      </c>
      <c r="B189" s="146">
        <v>1000</v>
      </c>
      <c r="C189" s="146">
        <v>25</v>
      </c>
      <c r="D189" s="146">
        <v>400</v>
      </c>
      <c r="E189" s="252">
        <v>9.0432506966053481</v>
      </c>
      <c r="F189" s="146">
        <v>1.8924931618660632</v>
      </c>
      <c r="G189" s="146">
        <v>10.255983752257842</v>
      </c>
      <c r="H189" s="146">
        <v>5.4956972837975</v>
      </c>
      <c r="I189" s="146"/>
      <c r="J189" s="146">
        <v>0.38039366955850185</v>
      </c>
      <c r="K189" s="146">
        <v>0.18</v>
      </c>
      <c r="L189" s="146">
        <v>56.066116532180878</v>
      </c>
      <c r="M189" s="146">
        <v>27.916738522247741</v>
      </c>
      <c r="N189" s="146">
        <v>1.3288566228773027</v>
      </c>
      <c r="O189" s="146"/>
      <c r="P189" s="146"/>
      <c r="Q189" s="146"/>
      <c r="R189" s="146"/>
      <c r="S189" s="146"/>
      <c r="T189" s="146"/>
      <c r="U189" s="146"/>
      <c r="V189" s="146"/>
      <c r="W189" s="146"/>
      <c r="X189" s="146"/>
      <c r="Y189" s="146"/>
      <c r="Z189" s="146">
        <v>0.24179945769485128</v>
      </c>
      <c r="AA189" s="146"/>
      <c r="AB189" s="146"/>
      <c r="AC189" s="146"/>
      <c r="AD189" s="146"/>
      <c r="AE189" s="146"/>
      <c r="AF189" s="146"/>
      <c r="AG189" s="146"/>
      <c r="AH189" s="146"/>
      <c r="AI189" s="146"/>
      <c r="AJ189" s="146"/>
      <c r="AK189" s="146"/>
      <c r="AL189" s="146">
        <v>1009.6934802589086</v>
      </c>
      <c r="AM189" s="146">
        <v>0.18452575662958057</v>
      </c>
      <c r="AN189" s="146">
        <v>0.2805675873823455</v>
      </c>
      <c r="AO189" s="146">
        <v>367.76801347234169</v>
      </c>
      <c r="AP189" s="146">
        <v>345.26516882025749</v>
      </c>
      <c r="AQ189" t="s">
        <v>326</v>
      </c>
      <c r="AR189">
        <f t="shared" si="9"/>
        <v>9.762677251918257</v>
      </c>
      <c r="AS189">
        <f t="shared" si="10"/>
        <v>2.6643645582431001</v>
      </c>
      <c r="AT189">
        <v>0.2</v>
      </c>
      <c r="AU189">
        <v>1</v>
      </c>
      <c r="AV189">
        <v>0.3</v>
      </c>
      <c r="AW189" s="146">
        <v>0.4</v>
      </c>
      <c r="AX189" s="146">
        <v>0.28714701591422132</v>
      </c>
      <c r="AY189">
        <v>0.18</v>
      </c>
      <c r="AZ189" s="209">
        <v>345.26516882025749</v>
      </c>
      <c r="BA189">
        <v>0.28714701591422132</v>
      </c>
      <c r="BB189" s="249">
        <v>22.973840862111434</v>
      </c>
      <c r="BC189" s="243">
        <v>79.419588875154943</v>
      </c>
      <c r="BD189" s="209">
        <v>34044.681386973629</v>
      </c>
      <c r="BE189" s="243">
        <v>27.175001012629679</v>
      </c>
      <c r="BF189">
        <v>654170.83986516402</v>
      </c>
      <c r="BG189" t="s">
        <v>389</v>
      </c>
      <c r="BH189">
        <v>3.7815459228008409E-6</v>
      </c>
      <c r="BI189">
        <v>1540446.8138697362</v>
      </c>
      <c r="BJ189">
        <f t="shared" si="8"/>
        <v>0.42466304839297248</v>
      </c>
    </row>
    <row r="190" spans="1:62" x14ac:dyDescent="0.3">
      <c r="A190">
        <v>-0.1</v>
      </c>
      <c r="B190" s="146">
        <v>1000</v>
      </c>
      <c r="C190" s="146">
        <v>25</v>
      </c>
      <c r="D190" s="146">
        <v>400</v>
      </c>
      <c r="E190" s="252">
        <v>7.8306172275642147</v>
      </c>
      <c r="F190" s="146">
        <v>1.641544752277432</v>
      </c>
      <c r="G190" s="146">
        <v>8.8783611787359149</v>
      </c>
      <c r="H190" s="146">
        <v>4.7481445732700909</v>
      </c>
      <c r="I190" s="146"/>
      <c r="J190" s="146">
        <v>0.38599625208634719</v>
      </c>
      <c r="K190" s="146">
        <v>0.18</v>
      </c>
      <c r="L190" s="146">
        <v>48.461464045493742</v>
      </c>
      <c r="M190" s="146">
        <v>24.130189566220956</v>
      </c>
      <c r="N190" s="146">
        <v>1.1729608026360721</v>
      </c>
      <c r="O190" s="146"/>
      <c r="P190" s="146"/>
      <c r="Q190" s="146"/>
      <c r="R190" s="146"/>
      <c r="S190" s="146"/>
      <c r="T190" s="146"/>
      <c r="U190" s="146"/>
      <c r="V190" s="146"/>
      <c r="W190" s="146"/>
      <c r="X190" s="146"/>
      <c r="Y190" s="146"/>
      <c r="Z190" s="146">
        <v>0.24703561244518785</v>
      </c>
      <c r="AA190" s="146"/>
      <c r="AB190" s="146"/>
      <c r="AC190" s="146"/>
      <c r="AD190" s="146"/>
      <c r="AE190" s="146"/>
      <c r="AF190" s="146"/>
      <c r="AG190" s="146"/>
      <c r="AH190" s="146"/>
      <c r="AI190" s="146"/>
      <c r="AJ190" s="146"/>
      <c r="AK190" s="146"/>
      <c r="AL190" s="146">
        <v>939.03551857610182</v>
      </c>
      <c r="AM190" s="146">
        <v>0.18489276559383588</v>
      </c>
      <c r="AN190" s="146">
        <v>0.28006992599190195</v>
      </c>
      <c r="AO190" s="146">
        <v>372.04049238835222</v>
      </c>
      <c r="AP190" s="146">
        <v>352.55511725806645</v>
      </c>
      <c r="AQ190" t="s">
        <v>326</v>
      </c>
      <c r="AR190">
        <f t="shared" si="9"/>
        <v>9.762677251918257</v>
      </c>
      <c r="AS190">
        <f t="shared" si="10"/>
        <v>2.6643645582431001</v>
      </c>
      <c r="AT190">
        <v>0.2</v>
      </c>
      <c r="AU190">
        <v>1</v>
      </c>
      <c r="AV190">
        <v>0.3</v>
      </c>
      <c r="AW190" s="146">
        <v>0.3</v>
      </c>
      <c r="AX190" s="146">
        <v>0.28987696604798191</v>
      </c>
      <c r="AY190">
        <v>0.18</v>
      </c>
      <c r="AZ190" s="209">
        <v>352.55511725806645</v>
      </c>
      <c r="BA190">
        <v>0.28987696604798191</v>
      </c>
      <c r="BB190" s="249">
        <v>19.944030532777226</v>
      </c>
      <c r="BC190" s="243">
        <v>67.269126553950656</v>
      </c>
      <c r="BD190" s="209">
        <v>28158.877224998971</v>
      </c>
      <c r="BE190" s="243">
        <v>23.519503459242703</v>
      </c>
      <c r="BF190">
        <v>654641.58370473736</v>
      </c>
      <c r="BG190" t="s">
        <v>389</v>
      </c>
      <c r="BH190">
        <v>3.3226153400821799E-6</v>
      </c>
      <c r="BI190">
        <v>1481588.7722499897</v>
      </c>
      <c r="BJ190">
        <f t="shared" si="8"/>
        <v>0.44185106958564285</v>
      </c>
    </row>
    <row r="191" spans="1:62" x14ac:dyDescent="0.3">
      <c r="A191">
        <v>-0.1</v>
      </c>
      <c r="B191" s="146">
        <v>1000</v>
      </c>
      <c r="C191" s="146">
        <v>25</v>
      </c>
      <c r="D191" s="146">
        <v>400</v>
      </c>
      <c r="E191" s="252">
        <v>6.3530236515016982</v>
      </c>
      <c r="F191" s="146">
        <v>1.3367022118667533</v>
      </c>
      <c r="G191" s="146">
        <v>7.2023999253057127</v>
      </c>
      <c r="H191" s="146">
        <v>3.8473853505002964</v>
      </c>
      <c r="I191" s="146"/>
      <c r="J191" s="146">
        <v>0.38938106295421376</v>
      </c>
      <c r="K191" s="146">
        <v>0.18</v>
      </c>
      <c r="L191" s="146">
        <v>39.288080192230765</v>
      </c>
      <c r="M191" s="146">
        <v>19.562529556297477</v>
      </c>
      <c r="N191" s="146">
        <v>1.0037632079737446</v>
      </c>
      <c r="O191" s="146"/>
      <c r="P191" s="146"/>
      <c r="Q191" s="146"/>
      <c r="R191" s="146"/>
      <c r="S191" s="146"/>
      <c r="T191" s="146"/>
      <c r="U191" s="146"/>
      <c r="V191" s="146"/>
      <c r="W191" s="146"/>
      <c r="X191" s="146"/>
      <c r="Y191" s="146"/>
      <c r="Z191" s="146">
        <v>0.26089489784100256</v>
      </c>
      <c r="AA191" s="146"/>
      <c r="AB191" s="146"/>
      <c r="AC191" s="146"/>
      <c r="AD191" s="146"/>
      <c r="AE191" s="146"/>
      <c r="AF191" s="146"/>
      <c r="AG191" s="146"/>
      <c r="AH191" s="146"/>
      <c r="AI191" s="146"/>
      <c r="AJ191" s="146"/>
      <c r="AK191" s="146"/>
      <c r="AL191" s="146">
        <v>863.39405607961407</v>
      </c>
      <c r="AM191" s="146">
        <v>0.18559122316579993</v>
      </c>
      <c r="AN191" s="146">
        <v>0.2801306093616055</v>
      </c>
      <c r="AO191" s="146">
        <v>377.32120861058451</v>
      </c>
      <c r="AP191" s="146">
        <v>361.51245209274202</v>
      </c>
      <c r="AQ191" t="s">
        <v>326</v>
      </c>
      <c r="AR191">
        <f t="shared" si="9"/>
        <v>9.762677251918257</v>
      </c>
      <c r="AS191">
        <f t="shared" si="10"/>
        <v>2.6643645582431001</v>
      </c>
      <c r="AT191">
        <v>0.2</v>
      </c>
      <c r="AU191">
        <v>1</v>
      </c>
      <c r="AV191">
        <v>0.3</v>
      </c>
      <c r="AW191" s="146">
        <v>0.2</v>
      </c>
      <c r="AX191" s="146">
        <v>0.29137440858198876</v>
      </c>
      <c r="AY191">
        <v>0.18</v>
      </c>
      <c r="AZ191" s="209">
        <v>361.51245209274202</v>
      </c>
      <c r="BA191">
        <v>0.29137440858198876</v>
      </c>
      <c r="BB191" s="249">
        <v>16.25742700246834</v>
      </c>
      <c r="BC191" s="243">
        <v>53.308630769433087</v>
      </c>
      <c r="BD191" s="209">
        <v>21614.305830120236</v>
      </c>
      <c r="BE191" s="243">
        <v>19.101436378821735</v>
      </c>
      <c r="BF191">
        <v>649801.36923077493</v>
      </c>
      <c r="BG191" t="s">
        <v>389</v>
      </c>
      <c r="BH191">
        <v>2.7283377286941544E-6</v>
      </c>
      <c r="BI191">
        <v>1416143.0583012025</v>
      </c>
      <c r="BJ191">
        <f t="shared" si="8"/>
        <v>0.4588529142036491</v>
      </c>
    </row>
    <row r="192" spans="1:62" s="140" customFormat="1" x14ac:dyDescent="0.3">
      <c r="A192" s="140">
        <v>-0.1</v>
      </c>
      <c r="B192" s="140">
        <v>1000</v>
      </c>
      <c r="C192" s="140">
        <v>25</v>
      </c>
      <c r="D192" s="140">
        <v>400</v>
      </c>
      <c r="E192" s="253">
        <v>4.3350670578685939</v>
      </c>
      <c r="F192" s="140">
        <v>0.93003353015712154</v>
      </c>
      <c r="G192" s="140">
        <v>4.9215326441539178</v>
      </c>
      <c r="H192" s="140">
        <v>2.6282842401387745</v>
      </c>
      <c r="J192" s="140">
        <v>0.4003447743113569</v>
      </c>
      <c r="K192" s="140">
        <v>0.18</v>
      </c>
      <c r="L192" s="140">
        <v>26.856533861368813</v>
      </c>
      <c r="M192" s="140">
        <v>13.372547980764557</v>
      </c>
      <c r="N192" s="140">
        <v>0.73487746777422958</v>
      </c>
      <c r="Z192" s="140">
        <v>0.2796034981876343</v>
      </c>
      <c r="AL192" s="140">
        <v>741.15922557319982</v>
      </c>
      <c r="AM192" s="140">
        <v>0.18897233796912216</v>
      </c>
      <c r="AN192" s="140">
        <v>0.27982047548420852</v>
      </c>
      <c r="AO192" s="140">
        <v>384.50768461326112</v>
      </c>
      <c r="AP192" s="140">
        <v>373.72049168608504</v>
      </c>
      <c r="AQ192" t="s">
        <v>326</v>
      </c>
      <c r="AR192">
        <f t="shared" si="9"/>
        <v>9.762677251918257</v>
      </c>
      <c r="AS192">
        <f t="shared" si="10"/>
        <v>2.6643645582431001</v>
      </c>
      <c r="AT192" s="140">
        <v>0.2</v>
      </c>
      <c r="AU192" s="140">
        <v>1</v>
      </c>
      <c r="AV192">
        <v>0.3</v>
      </c>
      <c r="AW192" s="146">
        <v>0.1</v>
      </c>
      <c r="AX192" s="140">
        <v>0.29870129294729764</v>
      </c>
      <c r="AY192">
        <v>0.18</v>
      </c>
      <c r="AZ192" s="209">
        <v>373.72049168608504</v>
      </c>
      <c r="BA192" s="140">
        <v>0.29870129294729764</v>
      </c>
      <c r="BB192" s="253">
        <v>11.265406924610943</v>
      </c>
      <c r="BC192" s="245">
        <v>35.427129114849244</v>
      </c>
      <c r="BD192" s="210">
        <v>13694.946001319131</v>
      </c>
      <c r="BE192" s="245">
        <v>13.152399367855953</v>
      </c>
      <c r="BF192" s="140">
        <v>615515.76848730736</v>
      </c>
      <c r="BG192" t="s">
        <v>389</v>
      </c>
      <c r="BH192" s="140">
        <v>1.8731874282937155E-6</v>
      </c>
      <c r="BI192" s="140">
        <v>1336949.4600131912</v>
      </c>
      <c r="BJ192">
        <f t="shared" si="8"/>
        <v>0.46038820979907069</v>
      </c>
    </row>
    <row r="193" spans="1:62" x14ac:dyDescent="0.3">
      <c r="A193">
        <v>-0.1</v>
      </c>
      <c r="B193" s="146">
        <v>1000</v>
      </c>
      <c r="C193" s="146">
        <v>25</v>
      </c>
      <c r="D193" s="146">
        <v>400</v>
      </c>
      <c r="E193" s="252">
        <v>18.562969045343202</v>
      </c>
      <c r="F193" s="146">
        <v>4.202663588839382</v>
      </c>
      <c r="G193" s="146">
        <v>21.334669786729719</v>
      </c>
      <c r="H193" s="146">
        <v>11.393453788310659</v>
      </c>
      <c r="I193" s="146"/>
      <c r="J193" s="146">
        <v>0.34416826572671227</v>
      </c>
      <c r="K193" s="146">
        <v>0.18</v>
      </c>
      <c r="L193" s="146">
        <v>115.72939798961114</v>
      </c>
      <c r="M193" s="146">
        <v>57.624596509349949</v>
      </c>
      <c r="N193" s="146">
        <v>2.4576844587263977</v>
      </c>
      <c r="O193" s="146"/>
      <c r="P193" s="146"/>
      <c r="Q193" s="146"/>
      <c r="R193" s="146"/>
      <c r="S193" s="146"/>
      <c r="T193" s="146"/>
      <c r="U193" s="146"/>
      <c r="V193" s="146"/>
      <c r="W193" s="146"/>
      <c r="X193" s="146"/>
      <c r="Y193" s="146"/>
      <c r="Z193" s="146">
        <v>0.21571022311495291</v>
      </c>
      <c r="AA193" s="146"/>
      <c r="AB193" s="146"/>
      <c r="AC193" s="146"/>
      <c r="AD193" s="146"/>
      <c r="AE193" s="146"/>
      <c r="AF193" s="146"/>
      <c r="AG193" s="146"/>
      <c r="AH193" s="146"/>
      <c r="AI193" s="146"/>
      <c r="AJ193" s="146"/>
      <c r="AK193" s="146"/>
      <c r="AL193" s="146">
        <v>1514.0737791300344</v>
      </c>
      <c r="AM193" s="146">
        <v>0.19698751519713989</v>
      </c>
      <c r="AN193" s="146">
        <v>0.2706873257976245</v>
      </c>
      <c r="AO193" s="146">
        <v>331.42283632732205</v>
      </c>
      <c r="AP193" s="146">
        <v>285.23154976683543</v>
      </c>
      <c r="AQ193" t="s">
        <v>326</v>
      </c>
      <c r="AR193">
        <f t="shared" si="9"/>
        <v>9.762677251918257</v>
      </c>
      <c r="AS193">
        <f t="shared" si="10"/>
        <v>2.6643645582431001</v>
      </c>
      <c r="AT193">
        <v>0.2</v>
      </c>
      <c r="AU193">
        <v>1</v>
      </c>
      <c r="AV193">
        <v>0.3</v>
      </c>
      <c r="AW193" s="146">
        <v>3</v>
      </c>
      <c r="AX193" s="146">
        <v>0.26761423173408805</v>
      </c>
      <c r="AY193">
        <v>0.18</v>
      </c>
      <c r="AZ193" s="209">
        <v>285.23154976683543</v>
      </c>
      <c r="BA193">
        <v>0.26761423173408805</v>
      </c>
      <c r="BB193" s="249">
        <v>49.15330824286557</v>
      </c>
      <c r="BC193" s="243">
        <v>205.45001015652471</v>
      </c>
      <c r="BD193" s="209">
        <v>103888.94747691668</v>
      </c>
      <c r="BE193" s="243">
        <v>62.69756863020551</v>
      </c>
      <c r="BF193">
        <v>339846.31811493868</v>
      </c>
      <c r="BG193" t="s">
        <v>390</v>
      </c>
      <c r="BH193">
        <v>6.9369754697924193E-6</v>
      </c>
      <c r="BI193">
        <v>2238889.4747691667</v>
      </c>
      <c r="BJ193">
        <f t="shared" si="8"/>
        <v>0.15179236042903699</v>
      </c>
    </row>
    <row r="194" spans="1:62" s="140" customFormat="1" x14ac:dyDescent="0.3">
      <c r="A194">
        <v>-0.2</v>
      </c>
      <c r="B194" s="146">
        <v>1000</v>
      </c>
      <c r="C194" s="146">
        <v>25</v>
      </c>
      <c r="D194" s="146">
        <v>400</v>
      </c>
      <c r="E194" s="252">
        <v>18.463694076398895</v>
      </c>
      <c r="F194" s="146">
        <v>4.2709732652670338</v>
      </c>
      <c r="G194" s="146">
        <v>21.271252390060177</v>
      </c>
      <c r="H194" s="146">
        <v>11.405179848331443</v>
      </c>
      <c r="I194" s="146"/>
      <c r="J194" s="146">
        <v>0.34520614234968844</v>
      </c>
      <c r="K194" s="146">
        <v>0.18</v>
      </c>
      <c r="L194" s="146">
        <v>115.86124971024728</v>
      </c>
      <c r="M194" s="146">
        <v>57.69024881838039</v>
      </c>
      <c r="N194" s="146">
        <v>2.4355406381038271</v>
      </c>
      <c r="O194" s="146"/>
      <c r="P194" s="146"/>
      <c r="Q194" s="146"/>
      <c r="R194" s="146"/>
      <c r="S194" s="146"/>
      <c r="T194" s="146"/>
      <c r="U194" s="146"/>
      <c r="V194" s="146"/>
      <c r="W194" s="146"/>
      <c r="X194" s="146"/>
      <c r="Y194" s="146"/>
      <c r="Z194" s="146">
        <v>0.21354688575648742</v>
      </c>
      <c r="AA194" s="146"/>
      <c r="AB194" s="146"/>
      <c r="AC194" s="146"/>
      <c r="AD194" s="146"/>
      <c r="AE194" s="146"/>
      <c r="AF194" s="146"/>
      <c r="AG194" s="146"/>
      <c r="AH194" s="146"/>
      <c r="AI194" s="146"/>
      <c r="AJ194" s="146"/>
      <c r="AK194" s="146"/>
      <c r="AL194" s="146">
        <v>1495.1666548120131</v>
      </c>
      <c r="AM194" s="146">
        <v>0.20078616843749234</v>
      </c>
      <c r="AN194" s="146">
        <v>0.24085365581942933</v>
      </c>
      <c r="AO194" s="146">
        <v>323.34061107114218</v>
      </c>
      <c r="AP194" s="146">
        <v>277.39633576009925</v>
      </c>
      <c r="AQ194" t="s">
        <v>326</v>
      </c>
      <c r="AR194">
        <f t="shared" si="9"/>
        <v>9.762677251918257</v>
      </c>
      <c r="AS194">
        <f t="shared" si="10"/>
        <v>2.6643645582431001</v>
      </c>
      <c r="AT194">
        <v>0.2</v>
      </c>
      <c r="AU194">
        <v>1</v>
      </c>
      <c r="AV194">
        <v>0.3</v>
      </c>
      <c r="AW194" s="146">
        <v>3</v>
      </c>
      <c r="AX194" s="146">
        <v>0.26769897574082463</v>
      </c>
      <c r="AY194">
        <v>0.18</v>
      </c>
      <c r="AZ194" s="209">
        <v>277.39633576009925</v>
      </c>
      <c r="BA194" s="140">
        <v>0.26769897574082463</v>
      </c>
      <c r="BB194" s="253">
        <v>49.530359314350463</v>
      </c>
      <c r="BC194" s="245">
        <v>205.82561198995734</v>
      </c>
      <c r="BD194" s="210">
        <v>104250.17645662859</v>
      </c>
      <c r="BE194" s="245">
        <v>63.00306042114871</v>
      </c>
      <c r="BF194" s="140">
        <v>338431.97506855795</v>
      </c>
      <c r="BG194" t="s">
        <v>390</v>
      </c>
      <c r="BH194" s="140">
        <v>6.8926885388735974E-6</v>
      </c>
      <c r="BI194" s="140">
        <v>2242501.764566286</v>
      </c>
      <c r="BJ194">
        <f t="shared" si="8"/>
        <v>0.15091714995105604</v>
      </c>
    </row>
    <row r="195" spans="1:62" x14ac:dyDescent="0.3">
      <c r="A195">
        <v>-0.3</v>
      </c>
      <c r="B195" s="146">
        <v>1000</v>
      </c>
      <c r="C195" s="146">
        <v>25</v>
      </c>
      <c r="D195" s="146">
        <v>400</v>
      </c>
      <c r="E195" s="252">
        <v>18.334326954010525</v>
      </c>
      <c r="F195" s="146">
        <v>4.361057672823927</v>
      </c>
      <c r="G195" s="146">
        <v>21.18921645994272</v>
      </c>
      <c r="H195" s="146">
        <v>11.421135970747191</v>
      </c>
      <c r="I195" s="146"/>
      <c r="J195" s="146">
        <v>0.34663891400172525</v>
      </c>
      <c r="K195" s="146">
        <v>0.18</v>
      </c>
      <c r="L195" s="146">
        <v>116.04055884807876</v>
      </c>
      <c r="M195" s="146">
        <v>57.779531376636733</v>
      </c>
      <c r="N195" s="146">
        <v>2.4060961476020513</v>
      </c>
      <c r="O195" s="146"/>
      <c r="P195" s="146"/>
      <c r="Q195" s="146"/>
      <c r="R195" s="146"/>
      <c r="S195" s="146"/>
      <c r="T195" s="146"/>
      <c r="U195" s="146"/>
      <c r="V195" s="146"/>
      <c r="W195" s="146"/>
      <c r="X195" s="146"/>
      <c r="Y195" s="146"/>
      <c r="Z195" s="146">
        <v>0.21067047566588423</v>
      </c>
      <c r="AA195" s="146"/>
      <c r="AB195" s="146"/>
      <c r="AC195" s="146"/>
      <c r="AD195" s="146"/>
      <c r="AE195" s="146"/>
      <c r="AF195" s="146"/>
      <c r="AG195" s="146"/>
      <c r="AH195" s="146"/>
      <c r="AI195" s="146"/>
      <c r="AJ195" s="146"/>
      <c r="AK195" s="146"/>
      <c r="AL195" s="146">
        <v>1470.5373807536221</v>
      </c>
      <c r="AM195" s="146">
        <v>0.20581495691774701</v>
      </c>
      <c r="AN195" s="146">
        <v>0.21101030641209198</v>
      </c>
      <c r="AO195" s="146">
        <v>313.11169930152818</v>
      </c>
      <c r="AP195" s="146">
        <v>267.48930695259548</v>
      </c>
      <c r="AQ195" t="s">
        <v>326</v>
      </c>
      <c r="AR195">
        <f t="shared" ref="AR195:AR202" si="11">0.3*Jsat_t</f>
        <v>9.762677251918257</v>
      </c>
      <c r="AS195">
        <f t="shared" ref="AS195:AS202" si="12">0.1*Jatp</f>
        <v>2.6643645582431001</v>
      </c>
      <c r="AT195">
        <v>0.2</v>
      </c>
      <c r="AU195">
        <v>1</v>
      </c>
      <c r="AV195">
        <v>0.3</v>
      </c>
      <c r="AW195" s="146">
        <v>3</v>
      </c>
      <c r="AX195" s="146">
        <v>0.26785201248362817</v>
      </c>
      <c r="AY195">
        <v>0.18</v>
      </c>
      <c r="AZ195" s="209">
        <v>267.48930695259548</v>
      </c>
      <c r="BA195">
        <v>0.26785201248362817</v>
      </c>
      <c r="BB195" s="249">
        <v>50.027830433040805</v>
      </c>
      <c r="BC195" s="243">
        <v>206.33746463027785</v>
      </c>
      <c r="BD195" s="209">
        <v>104734.22906177421</v>
      </c>
      <c r="BE195" s="243">
        <v>63.406803177814709</v>
      </c>
      <c r="BF195">
        <v>336603.08858231793</v>
      </c>
      <c r="BG195" t="s">
        <v>390</v>
      </c>
      <c r="BH195">
        <v>6.8346864368702089E-6</v>
      </c>
      <c r="BI195">
        <v>2247342.2906177421</v>
      </c>
      <c r="BJ195">
        <f t="shared" si="8"/>
        <v>0.1497782914456674</v>
      </c>
    </row>
    <row r="196" spans="1:62" x14ac:dyDescent="0.3">
      <c r="A196">
        <v>-0.4</v>
      </c>
      <c r="B196" s="146">
        <v>1000</v>
      </c>
      <c r="C196" s="146">
        <v>25</v>
      </c>
      <c r="D196" s="146">
        <v>400</v>
      </c>
      <c r="E196" s="252">
        <v>18.136016918975759</v>
      </c>
      <c r="F196" s="146">
        <v>4.4662017373757923</v>
      </c>
      <c r="G196" s="146">
        <v>21.045399094328197</v>
      </c>
      <c r="H196" s="146">
        <v>11.430325102237106</v>
      </c>
      <c r="I196" s="146"/>
      <c r="J196" s="146">
        <v>0.34523141422765624</v>
      </c>
      <c r="K196" s="146">
        <v>0.18</v>
      </c>
      <c r="L196" s="146">
        <v>116.15933064531123</v>
      </c>
      <c r="M196" s="146">
        <v>57.838670860735881</v>
      </c>
      <c r="N196" s="146">
        <v>2.4135304165613434</v>
      </c>
      <c r="O196" s="146"/>
      <c r="P196" s="146"/>
      <c r="Q196" s="146"/>
      <c r="R196" s="146"/>
      <c r="S196" s="146"/>
      <c r="T196" s="146"/>
      <c r="U196" s="146"/>
      <c r="V196" s="146"/>
      <c r="W196" s="146"/>
      <c r="X196" s="146"/>
      <c r="Y196" s="146"/>
      <c r="Z196" s="146">
        <v>0.21115151100024049</v>
      </c>
      <c r="AA196" s="146"/>
      <c r="AB196" s="146"/>
      <c r="AC196" s="146"/>
      <c r="AD196" s="146"/>
      <c r="AE196" s="146"/>
      <c r="AF196" s="146"/>
      <c r="AG196" s="146"/>
      <c r="AH196" s="146"/>
      <c r="AI196" s="146"/>
      <c r="AJ196" s="146"/>
      <c r="AK196" s="146"/>
      <c r="AL196" s="146">
        <v>1461.7112091383453</v>
      </c>
      <c r="AM196" s="146">
        <v>0.2122174883620738</v>
      </c>
      <c r="AN196" s="146">
        <v>0.18149606318557593</v>
      </c>
      <c r="AO196" s="146">
        <v>300.07487434902617</v>
      </c>
      <c r="AP196" s="146">
        <v>254.94600085767348</v>
      </c>
      <c r="AQ196" t="s">
        <v>326</v>
      </c>
      <c r="AR196">
        <f t="shared" si="11"/>
        <v>9.762677251918257</v>
      </c>
      <c r="AS196">
        <f t="shared" si="12"/>
        <v>2.6643645582431001</v>
      </c>
      <c r="AT196">
        <v>0.2</v>
      </c>
      <c r="AU196">
        <v>1</v>
      </c>
      <c r="AV196">
        <v>0.3</v>
      </c>
      <c r="AW196" s="146">
        <v>3</v>
      </c>
      <c r="AX196" s="146">
        <v>0.2662904320393189</v>
      </c>
      <c r="AY196">
        <v>0.18</v>
      </c>
      <c r="AZ196" s="209">
        <v>254.94600085767348</v>
      </c>
      <c r="BA196">
        <v>0.2662904320393189</v>
      </c>
      <c r="BB196" s="249">
        <v>50.592557401849064</v>
      </c>
      <c r="BC196" s="243">
        <v>206.67718393372519</v>
      </c>
      <c r="BD196" s="209">
        <v>105164.29774748313</v>
      </c>
      <c r="BE196" s="243">
        <v>63.835338732091742</v>
      </c>
      <c r="BF196">
        <v>333123.17518424144</v>
      </c>
      <c r="BG196" t="s">
        <v>390</v>
      </c>
      <c r="BH196">
        <v>6.7563582836016532E-6</v>
      </c>
      <c r="BI196">
        <v>2251642.977474831</v>
      </c>
      <c r="BJ196">
        <f t="shared" ref="BJ196:BJ259" si="13">BF196/BI196</f>
        <v>0.14794671203062215</v>
      </c>
    </row>
    <row r="197" spans="1:62" x14ac:dyDescent="0.3">
      <c r="A197">
        <v>-0.5</v>
      </c>
      <c r="B197" s="146">
        <v>1000</v>
      </c>
      <c r="C197" s="146">
        <v>25</v>
      </c>
      <c r="D197" s="146">
        <v>400</v>
      </c>
      <c r="E197" s="252">
        <v>17.896780590254046</v>
      </c>
      <c r="F197" s="146">
        <v>4.6530407093208117</v>
      </c>
      <c r="G197" s="146">
        <v>20.905630448640743</v>
      </c>
      <c r="H197" s="146">
        <v>11.475841370097692</v>
      </c>
      <c r="I197" s="146"/>
      <c r="J197" s="146">
        <v>0.34875566832344063</v>
      </c>
      <c r="K197" s="146">
        <v>0.18</v>
      </c>
      <c r="L197" s="146">
        <v>116.65874422327819</v>
      </c>
      <c r="M197" s="146">
        <v>58.087341521964248</v>
      </c>
      <c r="N197" s="146">
        <v>2.349845458208728</v>
      </c>
      <c r="O197" s="146"/>
      <c r="P197" s="146"/>
      <c r="Q197" s="146"/>
      <c r="R197" s="146"/>
      <c r="S197" s="146"/>
      <c r="T197" s="146"/>
      <c r="U197" s="146"/>
      <c r="V197" s="146"/>
      <c r="W197" s="146"/>
      <c r="X197" s="146"/>
      <c r="Y197" s="146"/>
      <c r="Z197" s="146">
        <v>0.20476454687946982</v>
      </c>
      <c r="AA197" s="146"/>
      <c r="AB197" s="146"/>
      <c r="AC197" s="146"/>
      <c r="AD197" s="146"/>
      <c r="AE197" s="146"/>
      <c r="AF197" s="146"/>
      <c r="AG197" s="146"/>
      <c r="AH197" s="146"/>
      <c r="AI197" s="146"/>
      <c r="AJ197" s="146"/>
      <c r="AK197" s="146"/>
      <c r="AL197" s="146">
        <v>1412.1409520441825</v>
      </c>
      <c r="AM197" s="146">
        <v>0.22257356556416821</v>
      </c>
      <c r="AN197" s="146">
        <v>0.15134927695914577</v>
      </c>
      <c r="AO197" s="146">
        <v>281.75179327031083</v>
      </c>
      <c r="AP197" s="146">
        <v>237.2182229398197</v>
      </c>
      <c r="AQ197" t="s">
        <v>326</v>
      </c>
      <c r="AR197">
        <f t="shared" si="11"/>
        <v>9.762677251918257</v>
      </c>
      <c r="AS197">
        <f t="shared" si="12"/>
        <v>2.6643645582431001</v>
      </c>
      <c r="AT197">
        <v>0.2</v>
      </c>
      <c r="AU197">
        <v>1</v>
      </c>
      <c r="AV197">
        <v>0.3</v>
      </c>
      <c r="AW197" s="146">
        <v>3</v>
      </c>
      <c r="AX197" s="146">
        <v>0.26702342546789321</v>
      </c>
      <c r="AY197">
        <v>0.18</v>
      </c>
      <c r="AZ197" s="209">
        <v>237.2182229398197</v>
      </c>
      <c r="BA197">
        <v>0.26702342546789321</v>
      </c>
      <c r="BB197" s="249">
        <v>51.644809763353791</v>
      </c>
      <c r="BC197" s="243">
        <v>208.11157424260443</v>
      </c>
      <c r="BD197" s="209">
        <v>106423.90571995439</v>
      </c>
      <c r="BE197" s="243">
        <v>64.820227247910978</v>
      </c>
      <c r="BF197">
        <v>330403.75060309365</v>
      </c>
      <c r="BG197" t="s">
        <v>390</v>
      </c>
      <c r="BH197">
        <v>6.6381636655150452E-6</v>
      </c>
      <c r="BI197">
        <v>2264239.0571995438</v>
      </c>
      <c r="BJ197">
        <f t="shared" si="13"/>
        <v>0.14592264432172794</v>
      </c>
    </row>
    <row r="198" spans="1:62" x14ac:dyDescent="0.3">
      <c r="A198">
        <v>-0.6</v>
      </c>
      <c r="B198" s="146">
        <v>1000</v>
      </c>
      <c r="C198" s="146">
        <v>25</v>
      </c>
      <c r="D198" s="146">
        <v>400</v>
      </c>
      <c r="E198" s="252">
        <v>17.470985552151657</v>
      </c>
      <c r="F198" s="146">
        <v>4.9174377732784134</v>
      </c>
      <c r="G198" s="146">
        <v>20.618154574705997</v>
      </c>
      <c r="H198" s="146">
        <v>11.523486526935775</v>
      </c>
      <c r="I198" s="146"/>
      <c r="J198" s="146">
        <v>0.35560233774016808</v>
      </c>
      <c r="K198" s="146">
        <v>0.18</v>
      </c>
      <c r="L198" s="146">
        <v>117.20798372047449</v>
      </c>
      <c r="M198" s="146">
        <v>58.36082176953088</v>
      </c>
      <c r="N198" s="146">
        <v>2.2453215529312018</v>
      </c>
      <c r="O198" s="146"/>
      <c r="P198" s="146"/>
      <c r="Q198" s="146"/>
      <c r="R198" s="146"/>
      <c r="S198" s="146"/>
      <c r="T198" s="146"/>
      <c r="U198" s="146"/>
      <c r="V198" s="146"/>
      <c r="W198" s="146"/>
      <c r="X198" s="146"/>
      <c r="Y198" s="146"/>
      <c r="Z198" s="146">
        <v>0.19484741425113275</v>
      </c>
      <c r="AA198" s="146"/>
      <c r="AB198" s="146"/>
      <c r="AC198" s="146"/>
      <c r="AD198" s="146"/>
      <c r="AE198" s="146"/>
      <c r="AF198" s="146"/>
      <c r="AG198" s="146"/>
      <c r="AH198" s="146"/>
      <c r="AI198" s="146"/>
      <c r="AJ198" s="146"/>
      <c r="AK198" s="146"/>
      <c r="AL198" s="146">
        <v>1335.4977271246432</v>
      </c>
      <c r="AM198" s="146">
        <v>0.2385003835072147</v>
      </c>
      <c r="AN198" s="146">
        <v>0.12158889820094368</v>
      </c>
      <c r="AO198" s="146">
        <v>256.31101349994748</v>
      </c>
      <c r="AP198" s="146">
        <v>212.83695065904308</v>
      </c>
      <c r="AQ198" t="s">
        <v>326</v>
      </c>
      <c r="AR198">
        <f t="shared" si="11"/>
        <v>9.762677251918257</v>
      </c>
      <c r="AS198">
        <f t="shared" si="12"/>
        <v>2.6643645582431001</v>
      </c>
      <c r="AT198">
        <v>0.2</v>
      </c>
      <c r="AU198">
        <v>1</v>
      </c>
      <c r="AV198">
        <v>0.3</v>
      </c>
      <c r="AW198" s="146">
        <v>3</v>
      </c>
      <c r="AX198" s="146">
        <v>0.26910388085659287</v>
      </c>
      <c r="AY198">
        <v>0.18</v>
      </c>
      <c r="AZ198" s="209">
        <v>212.83695065904308</v>
      </c>
      <c r="BA198">
        <v>0.26910388085659287</v>
      </c>
      <c r="BB198" s="249">
        <v>53.021956902356692</v>
      </c>
      <c r="BC198" s="243">
        <v>209.70025899564715</v>
      </c>
      <c r="BD198" s="209">
        <v>107664.42384398</v>
      </c>
      <c r="BE198" s="243">
        <v>65.679795370405856</v>
      </c>
      <c r="BF198">
        <v>323410.43888680625</v>
      </c>
      <c r="BG198" t="s">
        <v>390</v>
      </c>
      <c r="BH198">
        <v>6.461421712284817E-6</v>
      </c>
      <c r="BI198">
        <v>2276644.2384398002</v>
      </c>
      <c r="BJ198">
        <f t="shared" si="13"/>
        <v>0.1420557649834836</v>
      </c>
    </row>
    <row r="199" spans="1:62" x14ac:dyDescent="0.3">
      <c r="A199">
        <v>-0.7</v>
      </c>
      <c r="B199" s="146">
        <v>1000</v>
      </c>
      <c r="C199" s="146">
        <v>25</v>
      </c>
      <c r="D199" s="146">
        <v>400</v>
      </c>
      <c r="E199" s="252">
        <v>16.746687882411454</v>
      </c>
      <c r="F199" s="146">
        <v>5.3925413954236951</v>
      </c>
      <c r="G199" s="146">
        <v>20.143677651371632</v>
      </c>
      <c r="H199" s="146">
        <v>11.626574007279457</v>
      </c>
      <c r="I199" s="146"/>
      <c r="J199" s="146">
        <v>0.37007913360886258</v>
      </c>
      <c r="K199" s="146">
        <v>0.18</v>
      </c>
      <c r="L199" s="146">
        <v>118.39154948264314</v>
      </c>
      <c r="M199" s="146">
        <v>58.950149119988289</v>
      </c>
      <c r="N199" s="146">
        <v>2.0580635983302837</v>
      </c>
      <c r="O199" s="146"/>
      <c r="P199" s="146"/>
      <c r="Q199" s="146"/>
      <c r="R199" s="146"/>
      <c r="S199" s="146"/>
      <c r="T199" s="146"/>
      <c r="U199" s="146"/>
      <c r="V199" s="146"/>
      <c r="W199" s="146"/>
      <c r="X199" s="146"/>
      <c r="Y199" s="146"/>
      <c r="Z199" s="146">
        <v>0.17701376149515066</v>
      </c>
      <c r="AA199" s="146"/>
      <c r="AB199" s="146"/>
      <c r="AC199" s="146"/>
      <c r="AD199" s="146"/>
      <c r="AE199" s="146"/>
      <c r="AF199" s="146"/>
      <c r="AG199" s="146"/>
      <c r="AH199" s="146"/>
      <c r="AI199" s="146"/>
      <c r="AJ199" s="146"/>
      <c r="AK199" s="146"/>
      <c r="AL199" s="146">
        <v>1204.8348110316124</v>
      </c>
      <c r="AM199" s="146">
        <v>0.26770391627352635</v>
      </c>
      <c r="AN199" s="146">
        <v>9.1749989388745262E-2</v>
      </c>
      <c r="AO199" s="146">
        <v>217.47477036258135</v>
      </c>
      <c r="AP199" s="146">
        <v>175.80301186647031</v>
      </c>
      <c r="AQ199" t="s">
        <v>326</v>
      </c>
      <c r="AR199">
        <f t="shared" si="11"/>
        <v>9.762677251918257</v>
      </c>
      <c r="AS199">
        <f t="shared" si="12"/>
        <v>2.6643645582431001</v>
      </c>
      <c r="AT199">
        <v>0.2</v>
      </c>
      <c r="AU199">
        <v>1</v>
      </c>
      <c r="AV199">
        <v>0.3</v>
      </c>
      <c r="AW199" s="146">
        <v>3</v>
      </c>
      <c r="AX199" s="146">
        <v>0.2740943318433105</v>
      </c>
      <c r="AY199">
        <v>0.18</v>
      </c>
      <c r="AZ199" s="209">
        <v>175.80301186647031</v>
      </c>
      <c r="BA199">
        <v>0.2740943318433105</v>
      </c>
      <c r="BB199" s="249">
        <v>55.486351893807544</v>
      </c>
      <c r="BC199" s="243">
        <v>213.16440126823605</v>
      </c>
      <c r="BD199" s="209">
        <v>110082.71333821362</v>
      </c>
      <c r="BE199" s="243">
        <v>67.123227231097403</v>
      </c>
      <c r="BF199">
        <v>311830.54970458726</v>
      </c>
      <c r="BG199" t="s">
        <v>390</v>
      </c>
      <c r="BH199">
        <v>6.1541301513340781E-6</v>
      </c>
      <c r="BI199">
        <v>2300827.133382136</v>
      </c>
      <c r="BJ199">
        <f t="shared" si="13"/>
        <v>0.13552976022418825</v>
      </c>
    </row>
    <row r="200" spans="1:62" x14ac:dyDescent="0.3">
      <c r="A200">
        <v>-0.8</v>
      </c>
      <c r="B200" s="146">
        <v>1000</v>
      </c>
      <c r="C200" s="146">
        <v>25</v>
      </c>
      <c r="D200" s="146">
        <v>400</v>
      </c>
      <c r="E200" s="252">
        <v>15.204807442485764</v>
      </c>
      <c r="F200" s="146">
        <v>6.5970615228076976</v>
      </c>
      <c r="G200" s="146">
        <v>19.235743929541467</v>
      </c>
      <c r="H200" s="146">
        <v>11.774016420067168</v>
      </c>
      <c r="I200" s="146"/>
      <c r="J200" s="146">
        <v>0.39216643928451361</v>
      </c>
      <c r="K200" s="146">
        <v>0.18</v>
      </c>
      <c r="L200" s="146">
        <v>120.40361052397184</v>
      </c>
      <c r="M200" s="146">
        <v>59.952005240151955</v>
      </c>
      <c r="N200" s="146">
        <v>1.7551030161371521</v>
      </c>
      <c r="O200" s="146"/>
      <c r="P200" s="146"/>
      <c r="Q200" s="146"/>
      <c r="R200" s="146"/>
      <c r="S200" s="146"/>
      <c r="T200" s="146"/>
      <c r="U200" s="146"/>
      <c r="V200" s="146"/>
      <c r="W200" s="146"/>
      <c r="X200" s="146"/>
      <c r="Y200" s="146"/>
      <c r="Z200" s="146">
        <v>0.14906578634847356</v>
      </c>
      <c r="AA200" s="146"/>
      <c r="AB200" s="146"/>
      <c r="AC200" s="146"/>
      <c r="AD200" s="146"/>
      <c r="AE200" s="146"/>
      <c r="AF200" s="146"/>
      <c r="AG200" s="146"/>
      <c r="AH200" s="146"/>
      <c r="AI200" s="146"/>
      <c r="AJ200" s="146"/>
      <c r="AK200" s="146"/>
      <c r="AL200" s="146">
        <v>988.86062522114628</v>
      </c>
      <c r="AM200" s="146">
        <v>0.34295848119896216</v>
      </c>
      <c r="AN200" s="146">
        <v>6.0611719097886298E-2</v>
      </c>
      <c r="AO200" s="146">
        <v>149.14409838911831</v>
      </c>
      <c r="AP200" s="146">
        <v>111.30911715256961</v>
      </c>
      <c r="AQ200" t="s">
        <v>326</v>
      </c>
      <c r="AR200">
        <f t="shared" si="11"/>
        <v>9.762677251918257</v>
      </c>
      <c r="AS200">
        <f t="shared" si="12"/>
        <v>2.6643645582431001</v>
      </c>
      <c r="AT200">
        <v>0.2</v>
      </c>
      <c r="AU200">
        <v>1</v>
      </c>
      <c r="AV200">
        <v>0.3</v>
      </c>
      <c r="AW200" s="146">
        <v>3</v>
      </c>
      <c r="AX200" s="146">
        <v>0.27887145478590375</v>
      </c>
      <c r="AY200">
        <v>0.18</v>
      </c>
      <c r="AZ200" s="209">
        <v>111.30911715256961</v>
      </c>
      <c r="BA200">
        <v>0.27887145478590375</v>
      </c>
      <c r="BB200" s="249">
        <v>62.056240102487962</v>
      </c>
      <c r="BC200" s="243">
        <v>219.18541120306415</v>
      </c>
      <c r="BD200" s="209">
        <v>117492.57501549528</v>
      </c>
      <c r="BE200" s="243">
        <v>73.776879057677306</v>
      </c>
      <c r="BF200">
        <v>295292.2379972107</v>
      </c>
      <c r="BG200" t="s">
        <v>390</v>
      </c>
      <c r="BH200">
        <v>5.4426121256540907E-6</v>
      </c>
      <c r="BI200">
        <v>2374925.7501549525</v>
      </c>
      <c r="BJ200">
        <f t="shared" si="13"/>
        <v>0.1243374610671278</v>
      </c>
    </row>
    <row r="201" spans="1:62" x14ac:dyDescent="0.3">
      <c r="A201">
        <v>-0.85</v>
      </c>
      <c r="B201" s="146">
        <v>1000</v>
      </c>
      <c r="C201" s="146">
        <v>25</v>
      </c>
      <c r="D201" s="146">
        <v>400</v>
      </c>
      <c r="E201" s="252">
        <v>10.60207295808722</v>
      </c>
      <c r="F201" s="146">
        <v>4.1839635707488592</v>
      </c>
      <c r="G201" s="146">
        <v>13.119570417981471</v>
      </c>
      <c r="H201" s="146">
        <v>7.7873263635893455</v>
      </c>
      <c r="I201" s="146"/>
      <c r="J201" s="146">
        <v>0.39551396988464166</v>
      </c>
      <c r="K201" s="146">
        <v>0.18</v>
      </c>
      <c r="L201" s="146">
        <v>79.87067261572922</v>
      </c>
      <c r="M201" s="146">
        <v>39.769629518205427</v>
      </c>
      <c r="N201" s="146">
        <v>1.3936525833036235</v>
      </c>
      <c r="O201" s="146"/>
      <c r="P201" s="146"/>
      <c r="Q201" s="146"/>
      <c r="R201" s="146"/>
      <c r="S201" s="146"/>
      <c r="T201" s="146"/>
      <c r="U201" s="146"/>
      <c r="V201" s="146"/>
      <c r="W201" s="146"/>
      <c r="X201" s="146"/>
      <c r="Y201" s="146"/>
      <c r="Z201" s="146">
        <v>0.17896419364415328</v>
      </c>
      <c r="AA201" s="146"/>
      <c r="AB201" s="146"/>
      <c r="AC201" s="146"/>
      <c r="AD201" s="146"/>
      <c r="AE201" s="146"/>
      <c r="AF201" s="146"/>
      <c r="AG201" s="146"/>
      <c r="AH201" s="146"/>
      <c r="AI201" s="146"/>
      <c r="AJ201" s="146"/>
      <c r="AK201" s="146"/>
      <c r="AL201" s="146">
        <v>836.82028837369967</v>
      </c>
      <c r="AM201" s="146">
        <v>0.31891010432890288</v>
      </c>
      <c r="AN201" s="146">
        <v>4.5380876505797349E-2</v>
      </c>
      <c r="AO201" s="146">
        <v>166.37575616828778</v>
      </c>
      <c r="AP201" s="146">
        <v>139.99399672188733</v>
      </c>
      <c r="AQ201" t="s">
        <v>326</v>
      </c>
      <c r="AR201">
        <f t="shared" si="11"/>
        <v>9.762677251918257</v>
      </c>
      <c r="AS201">
        <f t="shared" si="12"/>
        <v>2.6643645582431001</v>
      </c>
      <c r="AT201">
        <v>0.2</v>
      </c>
      <c r="AU201">
        <v>1</v>
      </c>
      <c r="AV201">
        <v>0.3</v>
      </c>
      <c r="AW201" s="146">
        <v>3</v>
      </c>
      <c r="AX201" s="146">
        <v>0.2808518990745465</v>
      </c>
      <c r="AY201">
        <v>0.18</v>
      </c>
      <c r="AZ201" s="209">
        <v>139.99399672188733</v>
      </c>
      <c r="BA201">
        <v>0.2808518990745465</v>
      </c>
      <c r="BB201" s="249">
        <v>40.760783329515839</v>
      </c>
      <c r="BC201" s="243">
        <v>121.7738292381178</v>
      </c>
      <c r="BD201" s="209">
        <v>61473.564065366816</v>
      </c>
      <c r="BE201" s="243">
        <v>48.432440569811156</v>
      </c>
      <c r="BF201">
        <v>659738.41591756803</v>
      </c>
      <c r="BG201" t="s">
        <v>390</v>
      </c>
      <c r="BH201">
        <v>3.9601547623106661E-6</v>
      </c>
      <c r="BI201">
        <v>1814735.6406536682</v>
      </c>
      <c r="BJ201">
        <f t="shared" si="13"/>
        <v>0.36354519145275072</v>
      </c>
    </row>
    <row r="202" spans="1:62" s="160" customFormat="1" ht="15" thickBot="1" x14ac:dyDescent="0.35">
      <c r="A202" s="160">
        <v>-0.87</v>
      </c>
      <c r="B202" s="160">
        <v>1000</v>
      </c>
      <c r="C202" s="160">
        <v>25</v>
      </c>
      <c r="D202" s="160">
        <v>400</v>
      </c>
      <c r="E202" s="250">
        <v>3.6675800806825714</v>
      </c>
      <c r="F202" s="160">
        <v>0.96293842527000628</v>
      </c>
      <c r="G202" s="160">
        <v>4.2588799536935102</v>
      </c>
      <c r="H202" s="160">
        <v>2.3331797754840982</v>
      </c>
      <c r="J202" s="160">
        <v>0.40461678687124941</v>
      </c>
      <c r="K202" s="160">
        <v>0.18</v>
      </c>
      <c r="L202" s="160">
        <v>23.877599216079066</v>
      </c>
      <c r="M202" s="160">
        <v>11.889261020454308</v>
      </c>
      <c r="N202" s="160">
        <v>0.67758872545108906</v>
      </c>
      <c r="Z202" s="160">
        <v>0.29041428036144368</v>
      </c>
      <c r="AL202" s="160">
        <v>638.1349942605425</v>
      </c>
      <c r="AM202" s="160">
        <v>0.22610133080527398</v>
      </c>
      <c r="AN202" s="160">
        <v>4.0068338540868421E-2</v>
      </c>
      <c r="AO202" s="160">
        <v>308.46687898122462</v>
      </c>
      <c r="AP202" s="160">
        <v>299.34063153499807</v>
      </c>
      <c r="AQ202" s="160" t="s">
        <v>326</v>
      </c>
      <c r="AR202" s="160">
        <f t="shared" si="11"/>
        <v>9.762677251918257</v>
      </c>
      <c r="AS202" s="160">
        <f t="shared" si="12"/>
        <v>2.6643645582431001</v>
      </c>
      <c r="AT202" s="160">
        <v>0.2</v>
      </c>
      <c r="AU202" s="160">
        <v>1</v>
      </c>
      <c r="AV202" s="160">
        <v>0.3</v>
      </c>
      <c r="AW202" s="146">
        <v>3</v>
      </c>
      <c r="AX202" s="160">
        <v>0.29490697744392935</v>
      </c>
      <c r="AY202" s="160">
        <v>0.18</v>
      </c>
      <c r="AZ202" s="248">
        <v>299.34063153499807</v>
      </c>
      <c r="BA202" s="160">
        <v>0.29490697744392935</v>
      </c>
      <c r="BB202" s="250">
        <v>10.839262488359537</v>
      </c>
      <c r="BC202" s="246">
        <v>31.298033524377292</v>
      </c>
      <c r="BD202" s="248">
        <v>12348.830471490024</v>
      </c>
      <c r="BE202" s="246">
        <v>12.634230625996951</v>
      </c>
      <c r="BF202" s="160">
        <v>854648.58923364116</v>
      </c>
      <c r="BG202" t="s">
        <v>390</v>
      </c>
      <c r="BH202" s="160">
        <v>1.3007064438672341E-6</v>
      </c>
      <c r="BI202" s="160">
        <v>1323488.3047149002</v>
      </c>
      <c r="BJ202">
        <f t="shared" si="13"/>
        <v>0.64575454591398573</v>
      </c>
    </row>
    <row r="203" spans="1:62" x14ac:dyDescent="0.3">
      <c r="A203">
        <v>-0.1</v>
      </c>
      <c r="B203" s="146">
        <v>100</v>
      </c>
      <c r="C203" s="146">
        <v>25</v>
      </c>
      <c r="D203" s="146">
        <v>400</v>
      </c>
      <c r="E203" s="249">
        <v>3.1516217977836862</v>
      </c>
      <c r="F203">
        <v>0.57729161618363278</v>
      </c>
      <c r="G203">
        <v>3.6504495904667689</v>
      </c>
      <c r="H203">
        <v>2.9833762269216635</v>
      </c>
      <c r="J203">
        <v>0.54172191878309128</v>
      </c>
      <c r="K203">
        <v>0.27</v>
      </c>
      <c r="L203">
        <v>20.019548299691991</v>
      </c>
      <c r="M203">
        <v>8.7222098401147683</v>
      </c>
      <c r="N203">
        <v>1.0063451077589667</v>
      </c>
      <c r="Z203">
        <v>0.33731753262555947</v>
      </c>
      <c r="AL203">
        <v>878.78963304382808</v>
      </c>
      <c r="AM203">
        <v>0.15814260733561225</v>
      </c>
      <c r="AN203">
        <v>0.1905408509158005</v>
      </c>
      <c r="AO203">
        <v>383.45960048653092</v>
      </c>
      <c r="AP203">
        <v>375.61707916434472</v>
      </c>
      <c r="AQ203" t="s">
        <v>327</v>
      </c>
      <c r="AR203">
        <f t="shared" ref="AR203:AR234" si="14">0.45*Jsat_t</f>
        <v>14.644015877877388</v>
      </c>
      <c r="AS203">
        <f t="shared" ref="AS203:AS234" si="15">0.15*Jatp</f>
        <v>3.9965468373646496</v>
      </c>
      <c r="AT203">
        <v>0.3</v>
      </c>
      <c r="AU203">
        <v>1</v>
      </c>
      <c r="AV203">
        <v>0.4</v>
      </c>
      <c r="AW203">
        <v>3</v>
      </c>
      <c r="AX203">
        <v>0.4191795646422381</v>
      </c>
      <c r="AY203">
        <v>0.27</v>
      </c>
      <c r="AZ203" s="209">
        <v>375.61707916434472</v>
      </c>
      <c r="BA203">
        <v>0.4191795646422381</v>
      </c>
      <c r="BB203" s="249">
        <v>7.5643632204377447</v>
      </c>
      <c r="BC203" s="243">
        <v>70.227437741929563</v>
      </c>
      <c r="BD203" s="209">
        <v>24890.548721571271</v>
      </c>
      <c r="BE203" s="243">
        <v>13.845356094576992</v>
      </c>
      <c r="BF203">
        <v>17371.455359111642</v>
      </c>
      <c r="BG203" t="s">
        <v>387</v>
      </c>
      <c r="BH203">
        <v>1.943875435356706E-6</v>
      </c>
      <c r="BI203">
        <v>1448905.4872157127</v>
      </c>
      <c r="BJ203">
        <f t="shared" si="13"/>
        <v>1.1989364049199286E-2</v>
      </c>
    </row>
    <row r="204" spans="1:62" x14ac:dyDescent="0.3">
      <c r="A204">
        <v>-0.1</v>
      </c>
      <c r="B204" s="146">
        <v>200</v>
      </c>
      <c r="C204" s="146">
        <v>25</v>
      </c>
      <c r="D204" s="146">
        <v>400</v>
      </c>
      <c r="E204" s="252">
        <v>5.9195865059708046</v>
      </c>
      <c r="F204" s="146">
        <v>0.97868336770494146</v>
      </c>
      <c r="G204" s="146">
        <v>6.7169199291420219</v>
      </c>
      <c r="H204" s="146">
        <v>5.5129434514067555</v>
      </c>
      <c r="I204" s="146"/>
      <c r="J204" s="146">
        <v>0.55488421953399858</v>
      </c>
      <c r="K204" s="146">
        <v>0.27</v>
      </c>
      <c r="L204" s="146">
        <v>37.073361345438542</v>
      </c>
      <c r="M204" s="146">
        <v>16.152294362120529</v>
      </c>
      <c r="N204" s="146">
        <v>1.5486046065806338</v>
      </c>
      <c r="O204" s="146"/>
      <c r="P204" s="146"/>
      <c r="Q204" s="146"/>
      <c r="R204" s="146"/>
      <c r="S204" s="146"/>
      <c r="T204" s="146"/>
      <c r="U204" s="146"/>
      <c r="V204" s="146"/>
      <c r="W204" s="146"/>
      <c r="X204" s="146"/>
      <c r="Y204" s="146"/>
      <c r="Z204" s="146">
        <v>0.28090340853858592</v>
      </c>
      <c r="AA204" s="146"/>
      <c r="AB204" s="146"/>
      <c r="AC204" s="146"/>
      <c r="AD204" s="146"/>
      <c r="AE204" s="146"/>
      <c r="AF204" s="146"/>
      <c r="AG204" s="146"/>
      <c r="AH204" s="146"/>
      <c r="AI204" s="146"/>
      <c r="AJ204" s="146"/>
      <c r="AK204" s="146"/>
      <c r="AL204" s="146">
        <v>1131.9901038725252</v>
      </c>
      <c r="AM204" s="146">
        <v>0.14570418853123837</v>
      </c>
      <c r="AN204" s="146">
        <v>0.21461651006876986</v>
      </c>
      <c r="AO204" s="146">
        <v>372.41784192616876</v>
      </c>
      <c r="AP204" s="146">
        <v>357.68780058220881</v>
      </c>
      <c r="AQ204" t="s">
        <v>327</v>
      </c>
      <c r="AR204">
        <f t="shared" si="14"/>
        <v>14.644015877877388</v>
      </c>
      <c r="AS204">
        <f t="shared" si="15"/>
        <v>3.9965468373646496</v>
      </c>
      <c r="AT204">
        <v>0.3</v>
      </c>
      <c r="AU204">
        <v>1</v>
      </c>
      <c r="AV204">
        <v>0.4</v>
      </c>
      <c r="AW204">
        <v>3</v>
      </c>
      <c r="AX204" s="146">
        <v>0.44970223909927259</v>
      </c>
      <c r="AY204">
        <v>0.27</v>
      </c>
      <c r="AZ204" s="209">
        <v>357.68780058220881</v>
      </c>
      <c r="BA204">
        <v>0.44970223909927259</v>
      </c>
      <c r="BB204" s="249">
        <v>13.214975098750902</v>
      </c>
      <c r="BC204" s="243">
        <v>102.20030666477788</v>
      </c>
      <c r="BD204" s="209">
        <v>39514.477675298112</v>
      </c>
      <c r="BE204" s="243">
        <v>20.996389062720549</v>
      </c>
      <c r="BF204">
        <v>48797.491872152328</v>
      </c>
      <c r="BG204" t="s">
        <v>387</v>
      </c>
      <c r="BH204">
        <v>3.3869960007955598E-6</v>
      </c>
      <c r="BI204">
        <v>1595144.7767529811</v>
      </c>
      <c r="BJ204">
        <f t="shared" si="13"/>
        <v>3.0591262049255951E-2</v>
      </c>
    </row>
    <row r="205" spans="1:62" x14ac:dyDescent="0.3">
      <c r="A205">
        <v>-0.1</v>
      </c>
      <c r="B205" s="146">
        <v>300</v>
      </c>
      <c r="C205" s="146">
        <v>25</v>
      </c>
      <c r="D205" s="146">
        <v>400</v>
      </c>
      <c r="E205" s="252">
        <v>8.3301306179622561</v>
      </c>
      <c r="F205" s="146">
        <v>1.3164484473251954</v>
      </c>
      <c r="G205" s="146">
        <v>9.367609713175387</v>
      </c>
      <c r="H205" s="146">
        <v>7.739603155702004</v>
      </c>
      <c r="I205" s="146"/>
      <c r="J205" s="146">
        <v>0.56603615038545829</v>
      </c>
      <c r="K205" s="146">
        <v>0.27</v>
      </c>
      <c r="L205" s="146">
        <v>52.131475658657855</v>
      </c>
      <c r="M205" s="146">
        <v>22.712883585722302</v>
      </c>
      <c r="N205" s="146">
        <v>1.9411401782181752</v>
      </c>
      <c r="O205" s="146"/>
      <c r="P205" s="146"/>
      <c r="Q205" s="146"/>
      <c r="R205" s="146"/>
      <c r="S205" s="146"/>
      <c r="T205" s="146"/>
      <c r="U205" s="146"/>
      <c r="V205" s="146"/>
      <c r="W205" s="146"/>
      <c r="X205" s="146"/>
      <c r="Y205" s="146"/>
      <c r="Z205" s="146">
        <v>0.25080616398116967</v>
      </c>
      <c r="AA205" s="146"/>
      <c r="AB205" s="146"/>
      <c r="AC205" s="146"/>
      <c r="AD205" s="146"/>
      <c r="AE205" s="146"/>
      <c r="AF205" s="146"/>
      <c r="AG205" s="146"/>
      <c r="AH205" s="146"/>
      <c r="AI205" s="146"/>
      <c r="AJ205" s="146"/>
      <c r="AK205" s="146"/>
      <c r="AL205" s="146">
        <v>1313.3047785698789</v>
      </c>
      <c r="AM205" s="146">
        <v>0.14053194866494412</v>
      </c>
      <c r="AN205" s="146">
        <v>0.22799279131663994</v>
      </c>
      <c r="AO205" s="146">
        <v>363.46318420921807</v>
      </c>
      <c r="AP205" s="146">
        <v>342.73468946079214</v>
      </c>
      <c r="AQ205" t="s">
        <v>327</v>
      </c>
      <c r="AR205">
        <f t="shared" si="14"/>
        <v>14.644015877877388</v>
      </c>
      <c r="AS205">
        <f t="shared" si="15"/>
        <v>3.9965468373646496</v>
      </c>
      <c r="AT205">
        <v>0.3</v>
      </c>
      <c r="AU205">
        <v>1</v>
      </c>
      <c r="AV205">
        <v>0.4</v>
      </c>
      <c r="AW205">
        <v>3</v>
      </c>
      <c r="AX205" s="146">
        <v>0.46975836032237495</v>
      </c>
      <c r="AY205">
        <v>0.27</v>
      </c>
      <c r="AZ205" s="209">
        <v>342.73468946079214</v>
      </c>
      <c r="BA205">
        <v>0.46975836032237495</v>
      </c>
      <c r="BB205" s="249">
        <v>17.961381981987206</v>
      </c>
      <c r="BC205" s="243">
        <v>125.18470515449869</v>
      </c>
      <c r="BD205" s="209">
        <v>51090.343633588287</v>
      </c>
      <c r="BE205" s="243">
        <v>26.517243465714444</v>
      </c>
      <c r="BF205">
        <v>84977.301313214208</v>
      </c>
      <c r="BG205" t="s">
        <v>387</v>
      </c>
      <c r="BH205">
        <v>4.4163836886344462E-6</v>
      </c>
      <c r="BI205">
        <v>1710903.4363358829</v>
      </c>
      <c r="BJ205">
        <f t="shared" si="13"/>
        <v>4.9668087344078224E-2</v>
      </c>
    </row>
    <row r="206" spans="1:62" x14ac:dyDescent="0.3">
      <c r="A206">
        <v>-0.1</v>
      </c>
      <c r="B206" s="146">
        <v>400</v>
      </c>
      <c r="C206" s="146">
        <v>25</v>
      </c>
      <c r="D206" s="146">
        <v>400</v>
      </c>
      <c r="E206" s="252">
        <v>10.452043408171031</v>
      </c>
      <c r="F206" s="146">
        <v>1.6132373386183083</v>
      </c>
      <c r="G206" s="146">
        <v>11.695005647721555</v>
      </c>
      <c r="H206" s="146">
        <v>9.7292108003944797</v>
      </c>
      <c r="I206" s="146"/>
      <c r="J206" s="146">
        <v>0.57595832220748056</v>
      </c>
      <c r="K206" s="146">
        <v>0.27</v>
      </c>
      <c r="L206" s="146">
        <v>65.619823943773696</v>
      </c>
      <c r="M206" s="146">
        <v>28.589549851021733</v>
      </c>
      <c r="N206" s="146">
        <v>2.2477854388890464</v>
      </c>
      <c r="O206" s="146"/>
      <c r="P206" s="146"/>
      <c r="Q206" s="146"/>
      <c r="R206" s="146"/>
      <c r="S206" s="146"/>
      <c r="T206" s="146"/>
      <c r="U206" s="146"/>
      <c r="V206" s="146"/>
      <c r="W206" s="146"/>
      <c r="X206" s="146"/>
      <c r="Y206" s="146"/>
      <c r="Z206" s="146">
        <v>0.23103471442903753</v>
      </c>
      <c r="AA206" s="146"/>
      <c r="AB206" s="146"/>
      <c r="AC206" s="146"/>
      <c r="AD206" s="146"/>
      <c r="AE206" s="146"/>
      <c r="AF206" s="146"/>
      <c r="AG206" s="146"/>
      <c r="AH206" s="146"/>
      <c r="AI206" s="146"/>
      <c r="AJ206" s="146"/>
      <c r="AK206" s="146"/>
      <c r="AL206" s="146">
        <v>1453.7657836911146</v>
      </c>
      <c r="AM206" s="146">
        <v>0.13794241637947413</v>
      </c>
      <c r="AN206" s="146">
        <v>0.2369087461493633</v>
      </c>
      <c r="AO206" s="146">
        <v>355.88156377484961</v>
      </c>
      <c r="AP206" s="146">
        <v>329.87306424659056</v>
      </c>
      <c r="AQ206" t="s">
        <v>327</v>
      </c>
      <c r="AR206">
        <f t="shared" si="14"/>
        <v>14.644015877877388</v>
      </c>
      <c r="AS206">
        <f t="shared" si="15"/>
        <v>3.9965468373646496</v>
      </c>
      <c r="AT206">
        <v>0.3</v>
      </c>
      <c r="AU206">
        <v>1</v>
      </c>
      <c r="AV206">
        <v>0.4</v>
      </c>
      <c r="AW206">
        <v>3</v>
      </c>
      <c r="AX206" s="146">
        <v>0.48512383142134685</v>
      </c>
      <c r="AY206">
        <v>0.27</v>
      </c>
      <c r="AZ206" s="209">
        <v>329.87306424659056</v>
      </c>
      <c r="BA206">
        <v>0.48512383142134685</v>
      </c>
      <c r="BB206" s="249">
        <v>22.076490744543356</v>
      </c>
      <c r="BC206" s="243">
        <v>143.46248087409276</v>
      </c>
      <c r="BD206" s="209">
        <v>60824.176303215019</v>
      </c>
      <c r="BE206" s="243">
        <v>31.074947222455251</v>
      </c>
      <c r="BF206">
        <v>123031.16818258942</v>
      </c>
      <c r="BG206" t="s">
        <v>387</v>
      </c>
      <c r="BH206">
        <v>5.1822681895515938E-6</v>
      </c>
      <c r="BI206">
        <v>1808241.7630321502</v>
      </c>
      <c r="BJ206">
        <f t="shared" si="13"/>
        <v>6.8039114402647469E-2</v>
      </c>
    </row>
    <row r="207" spans="1:62" x14ac:dyDescent="0.3">
      <c r="A207">
        <v>-0.1</v>
      </c>
      <c r="B207" s="146">
        <v>600</v>
      </c>
      <c r="C207" s="146">
        <v>25</v>
      </c>
      <c r="D207" s="146">
        <v>400</v>
      </c>
      <c r="E207" s="252">
        <v>14.000751877810762</v>
      </c>
      <c r="F207" s="146">
        <v>2.1162289209274694</v>
      </c>
      <c r="G207" s="146">
        <v>15.58262627110147</v>
      </c>
      <c r="H207" s="146">
        <v>13.134513391820606</v>
      </c>
      <c r="I207" s="146"/>
      <c r="J207" s="146">
        <v>0.59390875397374998</v>
      </c>
      <c r="K207" s="146">
        <v>0.27</v>
      </c>
      <c r="L207" s="146">
        <v>88.777830353898366</v>
      </c>
      <c r="M207" s="146">
        <v>38.6791377060553</v>
      </c>
      <c r="N207" s="146">
        <v>2.6966501511514096</v>
      </c>
      <c r="O207" s="146"/>
      <c r="P207" s="146"/>
      <c r="Q207" s="146"/>
      <c r="R207" s="146"/>
      <c r="S207" s="146"/>
      <c r="T207" s="146"/>
      <c r="U207" s="146"/>
      <c r="V207" s="146"/>
      <c r="W207" s="146"/>
      <c r="X207" s="146"/>
      <c r="Y207" s="146"/>
      <c r="Z207" s="146">
        <v>0.20531024414126547</v>
      </c>
      <c r="AA207" s="146"/>
      <c r="AB207" s="146"/>
      <c r="AC207" s="146"/>
      <c r="AD207" s="146"/>
      <c r="AE207" s="146"/>
      <c r="AF207" s="146"/>
      <c r="AG207" s="146"/>
      <c r="AH207" s="146"/>
      <c r="AI207" s="146"/>
      <c r="AJ207" s="146"/>
      <c r="AK207" s="146"/>
      <c r="AL207" s="146">
        <v>1657.1551242359101</v>
      </c>
      <c r="AM207" s="146">
        <v>0.13580694833528098</v>
      </c>
      <c r="AN207" s="146">
        <v>0.24854408263446917</v>
      </c>
      <c r="AO207" s="146">
        <v>343.6689390090952</v>
      </c>
      <c r="AP207" s="146">
        <v>308.83004866020616</v>
      </c>
      <c r="AQ207" t="s">
        <v>327</v>
      </c>
      <c r="AR207">
        <f t="shared" si="14"/>
        <v>14.644015877877388</v>
      </c>
      <c r="AS207">
        <f t="shared" si="15"/>
        <v>3.9965468373646496</v>
      </c>
      <c r="AT207">
        <v>0.3</v>
      </c>
      <c r="AU207">
        <v>1</v>
      </c>
      <c r="AV207">
        <v>0.4</v>
      </c>
      <c r="AW207">
        <v>3</v>
      </c>
      <c r="AX207" s="146">
        <v>0.50927468169857837</v>
      </c>
      <c r="AY207">
        <v>0.27</v>
      </c>
      <c r="AZ207" s="209">
        <v>308.83004866020616</v>
      </c>
      <c r="BA207">
        <v>0.50927468169857837</v>
      </c>
      <c r="BB207" s="249">
        <v>28.88370339501639</v>
      </c>
      <c r="BC207" s="243">
        <v>171.29607575314407</v>
      </c>
      <c r="BD207" s="209">
        <v>76378.598078341383</v>
      </c>
      <c r="BE207" s="243">
        <v>38.207897377645345</v>
      </c>
      <c r="BF207">
        <v>199212.55282013689</v>
      </c>
      <c r="BG207" t="s">
        <v>387</v>
      </c>
      <c r="BH207">
        <v>6.2298638227265422E-6</v>
      </c>
      <c r="BI207">
        <v>1963785.9807834139</v>
      </c>
      <c r="BJ207">
        <f t="shared" si="13"/>
        <v>0.10144310773654924</v>
      </c>
    </row>
    <row r="208" spans="1:62" x14ac:dyDescent="0.3">
      <c r="A208">
        <v>-0.1</v>
      </c>
      <c r="B208" s="146">
        <v>800</v>
      </c>
      <c r="C208" s="146">
        <v>25</v>
      </c>
      <c r="D208" s="146">
        <v>400</v>
      </c>
      <c r="E208" s="252">
        <v>16.804627256101373</v>
      </c>
      <c r="F208" s="146">
        <v>2.52302735543977</v>
      </c>
      <c r="G208" s="146">
        <v>18.652969969004996</v>
      </c>
      <c r="H208" s="146">
        <v>15.911145329656406</v>
      </c>
      <c r="I208" s="146"/>
      <c r="J208" s="146">
        <v>0.61111434165982115</v>
      </c>
      <c r="K208" s="146">
        <v>0.27</v>
      </c>
      <c r="L208" s="146">
        <v>107.73256197695461</v>
      </c>
      <c r="M208" s="146">
        <v>46.93742326796778</v>
      </c>
      <c r="N208" s="146">
        <v>2.9933680860020146</v>
      </c>
      <c r="O208" s="146"/>
      <c r="P208" s="146"/>
      <c r="Q208" s="146"/>
      <c r="R208" s="146"/>
      <c r="S208" s="146"/>
      <c r="T208" s="146"/>
      <c r="U208" s="146"/>
      <c r="V208" s="146"/>
      <c r="W208" s="146"/>
      <c r="X208" s="146"/>
      <c r="Y208" s="146"/>
      <c r="Z208" s="146">
        <v>0.18813027120195722</v>
      </c>
      <c r="AA208" s="146"/>
      <c r="AB208" s="146"/>
      <c r="AC208" s="146"/>
      <c r="AD208" s="146"/>
      <c r="AE208" s="146"/>
      <c r="AF208" s="146"/>
      <c r="AG208" s="146"/>
      <c r="AH208" s="146"/>
      <c r="AI208" s="146"/>
      <c r="AJ208" s="146"/>
      <c r="AK208" s="146"/>
      <c r="AL208" s="146">
        <v>1789.2423507998381</v>
      </c>
      <c r="AM208" s="146">
        <v>0.13526142805313032</v>
      </c>
      <c r="AN208" s="146">
        <v>0.25606746344591663</v>
      </c>
      <c r="AO208" s="146">
        <v>334.37421908289167</v>
      </c>
      <c r="AP208" s="146">
        <v>292.55830779882996</v>
      </c>
      <c r="AQ208" t="s">
        <v>327</v>
      </c>
      <c r="AR208">
        <f t="shared" si="14"/>
        <v>14.644015877877388</v>
      </c>
      <c r="AS208">
        <f t="shared" si="15"/>
        <v>3.9965468373646496</v>
      </c>
      <c r="AT208">
        <v>0.3</v>
      </c>
      <c r="AU208">
        <v>1</v>
      </c>
      <c r="AV208">
        <v>0.4</v>
      </c>
      <c r="AW208">
        <v>3</v>
      </c>
      <c r="AX208" s="146">
        <v>0.52967260107755099</v>
      </c>
      <c r="AY208">
        <v>0.27</v>
      </c>
      <c r="AZ208" s="209">
        <v>292.55830779882996</v>
      </c>
      <c r="BA208">
        <v>0.52967260107755099</v>
      </c>
      <c r="BB208" s="249">
        <v>34.204038374896093</v>
      </c>
      <c r="BC208" s="243">
        <v>191.34129575487844</v>
      </c>
      <c r="BD208" s="209">
        <v>87989.939974688808</v>
      </c>
      <c r="BE208" s="243">
        <v>43.390318318615741</v>
      </c>
      <c r="BF208">
        <v>270392.73439187353</v>
      </c>
      <c r="BG208" t="s">
        <v>387</v>
      </c>
      <c r="BH208">
        <v>6.896328042710937E-6</v>
      </c>
      <c r="BI208">
        <v>2079899.3997468881</v>
      </c>
      <c r="BJ208">
        <f t="shared" si="13"/>
        <v>0.13000279457015027</v>
      </c>
    </row>
    <row r="209" spans="1:62" x14ac:dyDescent="0.3">
      <c r="A209">
        <v>-0.1</v>
      </c>
      <c r="B209" s="146">
        <v>1000</v>
      </c>
      <c r="C209" s="146">
        <v>25</v>
      </c>
      <c r="D209" s="146">
        <v>400</v>
      </c>
      <c r="E209" s="252">
        <v>19.01600292335506</v>
      </c>
      <c r="F209" s="146">
        <v>2.8493094172478228</v>
      </c>
      <c r="G209" s="146">
        <v>21.073382747053913</v>
      </c>
      <c r="H209" s="146">
        <v>18.169860065099968</v>
      </c>
      <c r="I209" s="146"/>
      <c r="J209" s="146">
        <v>0.62739254463426919</v>
      </c>
      <c r="K209" s="146">
        <v>0.27</v>
      </c>
      <c r="L209" s="146">
        <v>123.20683522668183</v>
      </c>
      <c r="M209" s="146">
        <v>53.679326551043964</v>
      </c>
      <c r="N209" s="146">
        <v>3.1918476780559182</v>
      </c>
      <c r="O209" s="146"/>
      <c r="P209" s="146"/>
      <c r="Q209" s="146"/>
      <c r="R209" s="146"/>
      <c r="S209" s="146"/>
      <c r="T209" s="146"/>
      <c r="U209" s="146"/>
      <c r="V209" s="146"/>
      <c r="W209" s="146"/>
      <c r="X209" s="146"/>
      <c r="Y209" s="146"/>
      <c r="Z209" s="146">
        <v>0.17566715795388582</v>
      </c>
      <c r="AA209" s="146"/>
      <c r="AB209" s="146"/>
      <c r="AC209" s="146"/>
      <c r="AD209" s="146"/>
      <c r="AE209" s="146"/>
      <c r="AF209" s="146"/>
      <c r="AG209" s="146"/>
      <c r="AH209" s="146"/>
      <c r="AI209" s="146"/>
      <c r="AJ209" s="146"/>
      <c r="AK209" s="146"/>
      <c r="AL209" s="146">
        <v>1875.8827520280456</v>
      </c>
      <c r="AM209" s="146">
        <v>0.1352089245209652</v>
      </c>
      <c r="AN209" s="146">
        <v>0.26148725848921839</v>
      </c>
      <c r="AO209" s="146">
        <v>327.27751618483114</v>
      </c>
      <c r="AP209" s="146">
        <v>279.95891300008589</v>
      </c>
      <c r="AQ209" t="s">
        <v>327</v>
      </c>
      <c r="AR209">
        <f t="shared" si="14"/>
        <v>14.644015877877388</v>
      </c>
      <c r="AS209">
        <f t="shared" si="15"/>
        <v>3.9965468373646496</v>
      </c>
      <c r="AT209">
        <v>0.3</v>
      </c>
      <c r="AU209">
        <v>1</v>
      </c>
      <c r="AV209">
        <v>0.4</v>
      </c>
      <c r="AW209">
        <v>3</v>
      </c>
      <c r="AX209" s="146">
        <v>0.54783855993825326</v>
      </c>
      <c r="AY209">
        <v>0.27</v>
      </c>
      <c r="AZ209" s="209">
        <v>279.95891300008589</v>
      </c>
      <c r="BA209">
        <v>0.54783855993825326</v>
      </c>
      <c r="BB209" s="249">
        <v>38.343789957000794</v>
      </c>
      <c r="BC209" s="243">
        <v>205.9694846575583</v>
      </c>
      <c r="BD209" s="209">
        <v>96594.685021773563</v>
      </c>
      <c r="BE209" s="243">
        <v>47.120561372417797</v>
      </c>
      <c r="BF209">
        <v>333258.58247325075</v>
      </c>
      <c r="BG209" t="s">
        <v>387</v>
      </c>
      <c r="BH209">
        <v>7.3465914105454071E-6</v>
      </c>
      <c r="BI209">
        <v>2165946.8502177354</v>
      </c>
      <c r="BJ209">
        <f t="shared" si="13"/>
        <v>0.15386277019666914</v>
      </c>
    </row>
    <row r="210" spans="1:62" x14ac:dyDescent="0.3">
      <c r="A210">
        <v>-0.1</v>
      </c>
      <c r="B210" s="146">
        <v>1300</v>
      </c>
      <c r="C210" s="146">
        <v>25</v>
      </c>
      <c r="D210" s="146">
        <v>400</v>
      </c>
      <c r="E210" s="252">
        <v>21.549413411874596</v>
      </c>
      <c r="F210" s="146">
        <v>3.2411642481716956</v>
      </c>
      <c r="G210" s="146">
        <v>23.851501557092654</v>
      </c>
      <c r="H210" s="146">
        <v>20.778207896975772</v>
      </c>
      <c r="I210" s="146"/>
      <c r="J210" s="146">
        <v>0.64312576127637167</v>
      </c>
      <c r="K210" s="146">
        <v>0.27</v>
      </c>
      <c r="L210" s="146">
        <v>141.15368890401567</v>
      </c>
      <c r="M210" s="146">
        <v>61.49849516564997</v>
      </c>
      <c r="N210" s="146">
        <v>3.405318070739586</v>
      </c>
      <c r="O210" s="146"/>
      <c r="P210" s="146"/>
      <c r="Q210" s="146"/>
      <c r="R210" s="146"/>
      <c r="S210" s="146"/>
      <c r="T210" s="146"/>
      <c r="U210" s="146"/>
      <c r="V210" s="146"/>
      <c r="W210" s="146"/>
      <c r="X210" s="146"/>
      <c r="Y210" s="146"/>
      <c r="Z210" s="146">
        <v>0.16388892091291585</v>
      </c>
      <c r="AA210" s="146"/>
      <c r="AB210" s="146"/>
      <c r="AC210" s="146"/>
      <c r="AD210" s="146"/>
      <c r="AE210" s="146"/>
      <c r="AF210" s="146"/>
      <c r="AG210" s="146"/>
      <c r="AH210" s="146"/>
      <c r="AI210" s="146"/>
      <c r="AJ210" s="146"/>
      <c r="AK210" s="146"/>
      <c r="AL210" s="146">
        <v>1967.9458253763921</v>
      </c>
      <c r="AM210" s="146">
        <v>0.13588931667104537</v>
      </c>
      <c r="AN210" s="146">
        <v>0.26574494659342296</v>
      </c>
      <c r="AO210" s="146">
        <v>318.90941412765915</v>
      </c>
      <c r="AP210" s="146">
        <v>265.28679000659992</v>
      </c>
      <c r="AQ210" t="s">
        <v>327</v>
      </c>
      <c r="AR210">
        <f t="shared" si="14"/>
        <v>14.644015877877388</v>
      </c>
      <c r="AS210">
        <f t="shared" si="15"/>
        <v>3.9965468373646496</v>
      </c>
      <c r="AT210">
        <v>0.3</v>
      </c>
      <c r="AU210">
        <v>1</v>
      </c>
      <c r="AV210">
        <v>0.4</v>
      </c>
      <c r="AW210">
        <v>3</v>
      </c>
      <c r="AX210" s="146">
        <v>0.56552991197480229</v>
      </c>
      <c r="AY210">
        <v>0.27</v>
      </c>
      <c r="AZ210" s="209">
        <v>265.28679000659992</v>
      </c>
      <c r="BA210">
        <v>0.56552991197480229</v>
      </c>
      <c r="BB210" s="249">
        <v>43.142538123987926</v>
      </c>
      <c r="BC210" s="243">
        <v>220.88491853045758</v>
      </c>
      <c r="BD210" s="209">
        <v>106077.93640246238</v>
      </c>
      <c r="BE210" s="243">
        <v>51.717489922426296</v>
      </c>
      <c r="BF210">
        <v>413359.5340888286</v>
      </c>
      <c r="BG210" t="s">
        <v>387</v>
      </c>
      <c r="BH210">
        <v>7.7863137666607514E-6</v>
      </c>
      <c r="BI210">
        <v>2260779.3640246238</v>
      </c>
      <c r="BJ210">
        <f t="shared" si="13"/>
        <v>0.18283939630135726</v>
      </c>
    </row>
    <row r="211" spans="1:62" x14ac:dyDescent="0.3">
      <c r="A211">
        <v>-0.1</v>
      </c>
      <c r="B211" s="227">
        <v>1600</v>
      </c>
      <c r="C211" s="146">
        <v>25</v>
      </c>
      <c r="D211" s="146">
        <v>400</v>
      </c>
      <c r="E211" s="252">
        <v>23.392760631490379</v>
      </c>
      <c r="F211" s="146">
        <v>3.5549817311437066</v>
      </c>
      <c r="G211" s="146">
        <v>25.8836431886341</v>
      </c>
      <c r="H211" s="146">
        <v>22.585612099845829</v>
      </c>
      <c r="I211" s="146"/>
      <c r="J211" s="146">
        <v>0.64236365928093109</v>
      </c>
      <c r="K211" s="146">
        <v>0.27</v>
      </c>
      <c r="L211" s="146">
        <v>153.67088343852097</v>
      </c>
      <c r="M211" s="146">
        <v>66.952044651637777</v>
      </c>
      <c r="N211" s="146">
        <v>3.6080197651236645</v>
      </c>
      <c r="O211" s="146"/>
      <c r="P211" s="146"/>
      <c r="Q211" s="146"/>
      <c r="R211" s="146"/>
      <c r="S211" s="146"/>
      <c r="T211" s="146"/>
      <c r="U211" s="146"/>
      <c r="V211" s="146"/>
      <c r="W211" s="146"/>
      <c r="X211" s="146"/>
      <c r="Y211" s="146"/>
      <c r="Z211" s="146">
        <v>0.15974859344849429</v>
      </c>
      <c r="AA211" s="146"/>
      <c r="AB211" s="146"/>
      <c r="AC211" s="146"/>
      <c r="AD211" s="146"/>
      <c r="AE211" s="146"/>
      <c r="AF211" s="146"/>
      <c r="AG211" s="146"/>
      <c r="AH211" s="146"/>
      <c r="AI211" s="146"/>
      <c r="AJ211" s="146"/>
      <c r="AK211" s="146"/>
      <c r="AL211" s="146">
        <v>2057.9534786117802</v>
      </c>
      <c r="AM211" s="146">
        <v>0.1373447201862508</v>
      </c>
      <c r="AN211" s="146">
        <v>0.26629018029013457</v>
      </c>
      <c r="AO211" s="146">
        <v>312.15312331080719</v>
      </c>
      <c r="AP211" s="146">
        <v>253.9435960499475</v>
      </c>
      <c r="AQ211" t="s">
        <v>327</v>
      </c>
      <c r="AR211">
        <f t="shared" si="14"/>
        <v>14.644015877877388</v>
      </c>
      <c r="AS211">
        <f t="shared" si="15"/>
        <v>3.9965468373646496</v>
      </c>
      <c r="AT211">
        <v>0.3</v>
      </c>
      <c r="AU211">
        <v>1</v>
      </c>
      <c r="AV211">
        <v>0.4</v>
      </c>
      <c r="AW211">
        <v>3</v>
      </c>
      <c r="AX211" s="146">
        <v>0.566543380629563</v>
      </c>
      <c r="AY211">
        <v>0.27</v>
      </c>
      <c r="AZ211" s="209">
        <v>253.9435960499475</v>
      </c>
      <c r="BA211">
        <v>0.566543380629563</v>
      </c>
      <c r="BB211" s="249">
        <v>46.896940236891652</v>
      </c>
      <c r="BC211" s="243">
        <v>229.0401339283215</v>
      </c>
      <c r="BD211" s="209">
        <v>112724.54796829741</v>
      </c>
      <c r="BE211" s="243">
        <v>56.316542700425963</v>
      </c>
      <c r="BF211">
        <v>477338.83572937327</v>
      </c>
      <c r="BG211" t="s">
        <v>387</v>
      </c>
      <c r="BH211">
        <v>8.0614747507576404E-6</v>
      </c>
      <c r="BI211">
        <v>2327245.4796829741</v>
      </c>
      <c r="BJ211">
        <f t="shared" si="13"/>
        <v>0.20510893238232786</v>
      </c>
    </row>
    <row r="212" spans="1:62" s="140" customFormat="1" x14ac:dyDescent="0.3">
      <c r="A212" s="140">
        <v>-0.1</v>
      </c>
      <c r="B212" s="140">
        <v>1900</v>
      </c>
      <c r="C212" s="140">
        <v>25</v>
      </c>
      <c r="D212" s="140">
        <v>400</v>
      </c>
      <c r="E212" s="253">
        <v>24.718225779259988</v>
      </c>
      <c r="F212" s="140">
        <v>3.7989340228605872</v>
      </c>
      <c r="G212" s="140">
        <v>27.351965180965387</v>
      </c>
      <c r="H212" s="140">
        <v>23.883639231021505</v>
      </c>
      <c r="J212" s="140">
        <v>0.64330941613433412</v>
      </c>
      <c r="K212" s="140">
        <v>0.27</v>
      </c>
      <c r="L212" s="140">
        <v>162.70836434844574</v>
      </c>
      <c r="M212" s="140">
        <v>70.88953633438507</v>
      </c>
      <c r="N212" s="140">
        <v>3.7218152490522165</v>
      </c>
      <c r="Z212" s="140">
        <v>0.15583116178618622</v>
      </c>
      <c r="AL212" s="140">
        <v>2106.557220881502</v>
      </c>
      <c r="AM212" s="140">
        <v>0.13889071581241696</v>
      </c>
      <c r="AN212" s="140">
        <v>0.26623794159241848</v>
      </c>
      <c r="AO212" s="140">
        <v>307.15738849460865</v>
      </c>
      <c r="AP212" s="140">
        <v>245.64959635539148</v>
      </c>
      <c r="AQ212" t="s">
        <v>327</v>
      </c>
      <c r="AR212">
        <f t="shared" si="14"/>
        <v>14.644015877877388</v>
      </c>
      <c r="AS212">
        <f t="shared" si="15"/>
        <v>3.9965468373646496</v>
      </c>
      <c r="AT212">
        <v>0.3</v>
      </c>
      <c r="AU212" s="140">
        <v>1</v>
      </c>
      <c r="AV212">
        <v>0.4</v>
      </c>
      <c r="AW212">
        <v>3</v>
      </c>
      <c r="AX212" s="140">
        <v>0.5683330576932496</v>
      </c>
      <c r="AY212">
        <v>0.27</v>
      </c>
      <c r="AZ212" s="209">
        <v>245.64959635539148</v>
      </c>
      <c r="BA212" s="140">
        <v>0.5683330576932496</v>
      </c>
      <c r="BB212" s="253">
        <v>49.679123877666385</v>
      </c>
      <c r="BC212" s="245">
        <v>233.94694558778457</v>
      </c>
      <c r="BD212" s="210">
        <v>117157.91025507322</v>
      </c>
      <c r="BE212" s="245">
        <v>59.762010522257867</v>
      </c>
      <c r="BF212" s="140">
        <v>525788.34503975557</v>
      </c>
      <c r="BG212" t="s">
        <v>387</v>
      </c>
      <c r="BH212" s="140">
        <v>8.24658412424018E-6</v>
      </c>
      <c r="BI212" s="140">
        <v>2371579.102550732</v>
      </c>
      <c r="BJ212">
        <f t="shared" si="13"/>
        <v>0.22170390372990229</v>
      </c>
    </row>
    <row r="213" spans="1:62" x14ac:dyDescent="0.3">
      <c r="A213">
        <v>-0.1</v>
      </c>
      <c r="B213" s="146">
        <v>1000</v>
      </c>
      <c r="C213" s="146">
        <v>25</v>
      </c>
      <c r="D213" s="146">
        <v>200</v>
      </c>
      <c r="E213" s="252">
        <v>17.594298155173171</v>
      </c>
      <c r="F213" s="146">
        <v>4.6241680724572412</v>
      </c>
      <c r="G213" s="146">
        <v>20.586051868926358</v>
      </c>
      <c r="H213" s="146">
        <v>18.576778925913604</v>
      </c>
      <c r="I213" s="146"/>
      <c r="J213" s="146">
        <v>0.76847952851401635</v>
      </c>
      <c r="K213" s="146">
        <v>0.27</v>
      </c>
      <c r="L213" s="146">
        <v>127.57690260112858</v>
      </c>
      <c r="M213" s="146">
        <v>55.583297813769718</v>
      </c>
      <c r="N213" s="146">
        <v>1.8406328382993635</v>
      </c>
      <c r="O213" s="146"/>
      <c r="P213" s="146"/>
      <c r="Q213" s="146"/>
      <c r="R213" s="146"/>
      <c r="S213" s="146"/>
      <c r="T213" s="146"/>
      <c r="U213" s="146"/>
      <c r="V213" s="146"/>
      <c r="W213" s="146"/>
      <c r="X213" s="146"/>
      <c r="Y213" s="146"/>
      <c r="Z213" s="146">
        <v>9.9082453725698377E-2</v>
      </c>
      <c r="AA213" s="146"/>
      <c r="AB213" s="146"/>
      <c r="AC213" s="146"/>
      <c r="AD213" s="146"/>
      <c r="AE213" s="146"/>
      <c r="AF213" s="146"/>
      <c r="AG213" s="146"/>
      <c r="AH213" s="146"/>
      <c r="AI213" s="146"/>
      <c r="AJ213" s="146"/>
      <c r="AK213" s="146"/>
      <c r="AL213" s="146">
        <v>1003.4646057448115</v>
      </c>
      <c r="AM213" s="146">
        <v>0.22462627131709492</v>
      </c>
      <c r="AN213" s="146">
        <v>0.24078389370517217</v>
      </c>
      <c r="AO213" s="146">
        <v>126.92909029573005</v>
      </c>
      <c r="AP213" s="146">
        <v>83.148186595130042</v>
      </c>
      <c r="AQ213" t="s">
        <v>327</v>
      </c>
      <c r="AR213">
        <f t="shared" si="14"/>
        <v>14.644015877877388</v>
      </c>
      <c r="AS213">
        <f t="shared" si="15"/>
        <v>3.9965468373646496</v>
      </c>
      <c r="AT213">
        <v>0.3</v>
      </c>
      <c r="AU213">
        <v>1</v>
      </c>
      <c r="AV213">
        <v>0.4</v>
      </c>
      <c r="AW213">
        <v>3</v>
      </c>
      <c r="AX213" s="146">
        <v>0.6651773811008358</v>
      </c>
      <c r="AY213">
        <v>0.27</v>
      </c>
      <c r="AZ213" s="209">
        <v>83.148186595130042</v>
      </c>
      <c r="BA213">
        <v>0.6651773811008358</v>
      </c>
      <c r="BB213" s="249">
        <v>46.599895545019884</v>
      </c>
      <c r="BC213" s="243">
        <v>218.03338911134921</v>
      </c>
      <c r="BD213" s="209">
        <v>106241.34354492713</v>
      </c>
      <c r="BE213" s="243">
        <v>53.83448189847747</v>
      </c>
      <c r="BF213">
        <v>323358.04470251745</v>
      </c>
      <c r="BG213" t="s">
        <v>388</v>
      </c>
      <c r="BH213">
        <v>6.5459162065195497E-6</v>
      </c>
      <c r="BI213">
        <v>2262413.4354492715</v>
      </c>
      <c r="BJ213">
        <f t="shared" si="13"/>
        <v>0.1429261511781576</v>
      </c>
    </row>
    <row r="214" spans="1:62" x14ac:dyDescent="0.3">
      <c r="A214">
        <v>-0.1</v>
      </c>
      <c r="B214" s="146">
        <v>1000</v>
      </c>
      <c r="C214" s="146">
        <v>25</v>
      </c>
      <c r="D214" s="146">
        <v>300</v>
      </c>
      <c r="E214" s="252">
        <v>18.363719850894832</v>
      </c>
      <c r="F214" s="146">
        <v>3.4352802951086732</v>
      </c>
      <c r="G214" s="146">
        <v>20.728101186023867</v>
      </c>
      <c r="H214" s="146">
        <v>18.333278703521572</v>
      </c>
      <c r="I214" s="146"/>
      <c r="J214" s="146">
        <v>0.67015352983575038</v>
      </c>
      <c r="K214" s="146">
        <v>0.27</v>
      </c>
      <c r="L214" s="146">
        <v>124.6276800191538</v>
      </c>
      <c r="M214" s="146">
        <v>54.298366813324265</v>
      </c>
      <c r="N214" s="146">
        <v>2.6492962965041755</v>
      </c>
      <c r="O214" s="146"/>
      <c r="P214" s="146"/>
      <c r="Q214" s="146"/>
      <c r="R214" s="146"/>
      <c r="S214" s="146"/>
      <c r="T214" s="146"/>
      <c r="U214" s="146"/>
      <c r="V214" s="146"/>
      <c r="W214" s="146"/>
      <c r="X214" s="146"/>
      <c r="Y214" s="146"/>
      <c r="Z214" s="146">
        <v>0.14450750132300569</v>
      </c>
      <c r="AA214" s="146"/>
      <c r="AB214" s="146"/>
      <c r="AC214" s="146"/>
      <c r="AD214" s="146"/>
      <c r="AE214" s="146"/>
      <c r="AF214" s="146"/>
      <c r="AG214" s="146"/>
      <c r="AH214" s="146"/>
      <c r="AI214" s="146"/>
      <c r="AJ214" s="146"/>
      <c r="AK214" s="146"/>
      <c r="AL214" s="146">
        <v>1507.6026447298461</v>
      </c>
      <c r="AM214" s="146">
        <v>0.16573058305142518</v>
      </c>
      <c r="AN214" s="146">
        <v>0.25737516014656764</v>
      </c>
      <c r="AO214" s="146">
        <v>228.6499915514876</v>
      </c>
      <c r="AP214" s="146">
        <v>182.95449647775837</v>
      </c>
      <c r="AQ214" t="s">
        <v>327</v>
      </c>
      <c r="AR214">
        <f t="shared" si="14"/>
        <v>14.644015877877388</v>
      </c>
      <c r="AS214">
        <f t="shared" si="15"/>
        <v>3.9965468373646496</v>
      </c>
      <c r="AT214">
        <v>0.3</v>
      </c>
      <c r="AU214">
        <v>1</v>
      </c>
      <c r="AV214">
        <v>0.4</v>
      </c>
      <c r="AW214">
        <v>3</v>
      </c>
      <c r="AX214" s="146">
        <v>0.57745269624431639</v>
      </c>
      <c r="AY214">
        <v>0.27</v>
      </c>
      <c r="AZ214" s="209">
        <v>182.95449647775837</v>
      </c>
      <c r="BA214">
        <v>0.57745269624431639</v>
      </c>
      <c r="BB214" s="249">
        <v>41.096645798528705</v>
      </c>
      <c r="BC214" s="243">
        <v>209.81765885969477</v>
      </c>
      <c r="BD214" s="209">
        <v>99419.465537797558</v>
      </c>
      <c r="BE214" s="243">
        <v>48.878816170184805</v>
      </c>
      <c r="BF214">
        <v>325853.41574600292</v>
      </c>
      <c r="BG214" t="s">
        <v>388</v>
      </c>
      <c r="BH214">
        <v>7.0267093363119978E-6</v>
      </c>
      <c r="BI214">
        <v>2194194.6553779757</v>
      </c>
      <c r="BJ214">
        <f t="shared" si="13"/>
        <v>0.14850706838945921</v>
      </c>
    </row>
    <row r="215" spans="1:62" x14ac:dyDescent="0.3">
      <c r="A215">
        <v>-0.1</v>
      </c>
      <c r="B215" s="146">
        <v>1000</v>
      </c>
      <c r="C215" s="146">
        <v>25</v>
      </c>
      <c r="D215" s="146">
        <v>400</v>
      </c>
      <c r="E215" s="252">
        <v>19.015216668850236</v>
      </c>
      <c r="F215" s="146">
        <v>2.8487822457272687</v>
      </c>
      <c r="G215" s="146">
        <v>21.072281002258485</v>
      </c>
      <c r="H215" s="146">
        <v>18.168434826203391</v>
      </c>
      <c r="I215" s="146"/>
      <c r="J215" s="146">
        <v>0.62711208207895686</v>
      </c>
      <c r="K215" s="146">
        <v>0.27</v>
      </c>
      <c r="L215" s="146">
        <v>123.19728016572179</v>
      </c>
      <c r="M215" s="146">
        <v>53.67516355767961</v>
      </c>
      <c r="N215" s="146">
        <v>3.1944594914484483</v>
      </c>
      <c r="O215" s="146"/>
      <c r="P215" s="146"/>
      <c r="Q215" s="146"/>
      <c r="R215" s="146"/>
      <c r="S215" s="146"/>
      <c r="T215" s="146"/>
      <c r="U215" s="146"/>
      <c r="V215" s="146"/>
      <c r="W215" s="146"/>
      <c r="X215" s="146"/>
      <c r="Y215" s="146"/>
      <c r="Z215" s="146">
        <v>0.17582469387188185</v>
      </c>
      <c r="AA215" s="146"/>
      <c r="AB215" s="146"/>
      <c r="AC215" s="146"/>
      <c r="AD215" s="146"/>
      <c r="AE215" s="146"/>
      <c r="AF215" s="146"/>
      <c r="AG215" s="146"/>
      <c r="AH215" s="146"/>
      <c r="AI215" s="146"/>
      <c r="AJ215" s="146"/>
      <c r="AK215" s="146"/>
      <c r="AL215" s="146">
        <v>1877.1972835689489</v>
      </c>
      <c r="AM215" s="146">
        <v>0.13519097649760564</v>
      </c>
      <c r="AN215" s="146">
        <v>0.26150116118043071</v>
      </c>
      <c r="AO215" s="146">
        <v>327.28438916670774</v>
      </c>
      <c r="AP215" s="146">
        <v>279.96753784472673</v>
      </c>
      <c r="AQ215" t="s">
        <v>327</v>
      </c>
      <c r="AR215">
        <f t="shared" si="14"/>
        <v>14.644015877877388</v>
      </c>
      <c r="AS215">
        <f t="shared" si="15"/>
        <v>3.9965468373646496</v>
      </c>
      <c r="AT215">
        <v>0.3</v>
      </c>
      <c r="AU215">
        <v>1</v>
      </c>
      <c r="AV215">
        <v>0.4</v>
      </c>
      <c r="AW215">
        <v>3</v>
      </c>
      <c r="AX215" s="146">
        <v>0.54759791940136859</v>
      </c>
      <c r="AY215">
        <v>0.27</v>
      </c>
      <c r="AZ215" s="209">
        <v>279.96753784472673</v>
      </c>
      <c r="BA215">
        <v>0.54759791940136859</v>
      </c>
      <c r="BB215" s="249">
        <v>38.342058931522295</v>
      </c>
      <c r="BC215" s="243">
        <v>205.94383892802261</v>
      </c>
      <c r="BD215" s="209">
        <v>96587.124221390957</v>
      </c>
      <c r="BE215" s="243">
        <v>47.125445289822999</v>
      </c>
      <c r="BF215">
        <v>333224.4821289609</v>
      </c>
      <c r="BG215" t="s">
        <v>388</v>
      </c>
      <c r="BH215">
        <v>7.3466144521064674E-6</v>
      </c>
      <c r="BI215">
        <v>2165871.2422139095</v>
      </c>
      <c r="BJ215">
        <f t="shared" si="13"/>
        <v>0.15385239696351738</v>
      </c>
    </row>
    <row r="216" spans="1:62" x14ac:dyDescent="0.3">
      <c r="A216">
        <v>-0.1</v>
      </c>
      <c r="B216" s="146">
        <v>1000</v>
      </c>
      <c r="C216" s="146">
        <v>25</v>
      </c>
      <c r="D216" s="146">
        <v>500</v>
      </c>
      <c r="E216" s="252">
        <v>19.590690619282157</v>
      </c>
      <c r="F216" s="146">
        <v>2.4783346369163222</v>
      </c>
      <c r="G216" s="146">
        <v>21.455086641910938</v>
      </c>
      <c r="H216" s="146">
        <v>18.021834190695895</v>
      </c>
      <c r="I216" s="146"/>
      <c r="J216" s="146">
        <v>0.59410297783429711</v>
      </c>
      <c r="K216" s="146">
        <v>0.27</v>
      </c>
      <c r="L216" s="146">
        <v>122.06636296333888</v>
      </c>
      <c r="M216" s="146">
        <v>53.182440295230634</v>
      </c>
      <c r="N216" s="146">
        <v>3.6487390772324542</v>
      </c>
      <c r="O216" s="146"/>
      <c r="P216" s="146"/>
      <c r="Q216" s="146"/>
      <c r="R216" s="146"/>
      <c r="S216" s="146"/>
      <c r="T216" s="146"/>
      <c r="U216" s="146"/>
      <c r="V216" s="146"/>
      <c r="W216" s="146"/>
      <c r="X216" s="146"/>
      <c r="Y216" s="146"/>
      <c r="Z216" s="146">
        <v>0.20246213779484129</v>
      </c>
      <c r="AA216" s="146"/>
      <c r="AB216" s="146"/>
      <c r="AC216" s="146"/>
      <c r="AD216" s="146"/>
      <c r="AE216" s="146"/>
      <c r="AF216" s="146"/>
      <c r="AG216" s="146"/>
      <c r="AH216" s="146"/>
      <c r="AI216" s="146"/>
      <c r="AJ216" s="146"/>
      <c r="AK216" s="146"/>
      <c r="AL216" s="146">
        <v>2200.1764061750441</v>
      </c>
      <c r="AM216" s="146">
        <v>0.1155126836950207</v>
      </c>
      <c r="AN216" s="146">
        <v>0.25967018817882709</v>
      </c>
      <c r="AO216" s="146">
        <v>424.55548803395698</v>
      </c>
      <c r="AP216" s="146">
        <v>375.80686755881914</v>
      </c>
      <c r="AQ216" t="s">
        <v>327</v>
      </c>
      <c r="AR216">
        <f t="shared" si="14"/>
        <v>14.644015877877388</v>
      </c>
      <c r="AS216">
        <f t="shared" si="15"/>
        <v>3.9965468373646496</v>
      </c>
      <c r="AT216">
        <v>0.3</v>
      </c>
      <c r="AU216">
        <v>1</v>
      </c>
      <c r="AV216">
        <v>0.4</v>
      </c>
      <c r="AW216">
        <v>3</v>
      </c>
      <c r="AX216" s="146">
        <v>0.52437065218979861</v>
      </c>
      <c r="AY216">
        <v>0.27</v>
      </c>
      <c r="AZ216" s="209">
        <v>375.80686755881914</v>
      </c>
      <c r="BA216">
        <v>0.52437065218979861</v>
      </c>
      <c r="BB216" s="249">
        <v>36.710940433076445</v>
      </c>
      <c r="BC216" s="243">
        <v>202.92996869476022</v>
      </c>
      <c r="BD216" s="209">
        <v>95340.402678905142</v>
      </c>
      <c r="BE216" s="243">
        <v>47.161512973487859</v>
      </c>
      <c r="BF216">
        <v>342329.95779097854</v>
      </c>
      <c r="BG216" t="s">
        <v>388</v>
      </c>
      <c r="BH216">
        <v>7.5856601541006954E-6</v>
      </c>
      <c r="BI216">
        <v>2153404.0267890515</v>
      </c>
      <c r="BJ216">
        <f t="shared" si="13"/>
        <v>0.15897154158359589</v>
      </c>
    </row>
    <row r="217" spans="1:62" s="146" customFormat="1" x14ac:dyDescent="0.3">
      <c r="A217">
        <v>-0.1</v>
      </c>
      <c r="B217" s="146">
        <v>1000</v>
      </c>
      <c r="C217" s="146">
        <v>25</v>
      </c>
      <c r="D217" s="146">
        <v>600</v>
      </c>
      <c r="E217" s="252">
        <v>20.009360463993538</v>
      </c>
      <c r="F217" s="146">
        <v>2.191632192406507</v>
      </c>
      <c r="G217" s="146">
        <v>21.723945061315415</v>
      </c>
      <c r="H217" s="146">
        <v>17.917459886800572</v>
      </c>
      <c r="J217" s="146">
        <v>0.57549517454883647</v>
      </c>
      <c r="K217" s="146">
        <v>0.27</v>
      </c>
      <c r="L217" s="146">
        <v>121.28031802470107</v>
      </c>
      <c r="M217" s="146">
        <v>52.839972583375989</v>
      </c>
      <c r="N217" s="146">
        <v>3.9921525817295684</v>
      </c>
      <c r="Z217" s="146">
        <v>0.22280795419391486</v>
      </c>
      <c r="AL217" s="146">
        <v>2468.8383548608927</v>
      </c>
      <c r="AM217" s="146">
        <v>0.10088555215089466</v>
      </c>
      <c r="AN217" s="146">
        <v>0.25836026291259134</v>
      </c>
      <c r="AO217" s="146">
        <v>522.55248450972852</v>
      </c>
      <c r="AP217" s="146">
        <v>472.76206399611044</v>
      </c>
      <c r="AQ217" t="s">
        <v>327</v>
      </c>
      <c r="AR217">
        <f t="shared" si="14"/>
        <v>14.644015877877388</v>
      </c>
      <c r="AS217">
        <f t="shared" si="15"/>
        <v>3.9965468373646496</v>
      </c>
      <c r="AT217">
        <v>0.3</v>
      </c>
      <c r="AU217">
        <v>1</v>
      </c>
      <c r="AV217">
        <v>0.4</v>
      </c>
      <c r="AW217">
        <v>3</v>
      </c>
      <c r="AX217" s="146">
        <v>0.51274005813050194</v>
      </c>
      <c r="AY217">
        <v>0.27</v>
      </c>
      <c r="AZ217" s="209">
        <v>472.76206399611044</v>
      </c>
      <c r="BA217" s="146">
        <v>0.51274005813050194</v>
      </c>
      <c r="BB217" s="252">
        <v>35.325172195641912</v>
      </c>
      <c r="BC217" s="244">
        <v>200.8598941892009</v>
      </c>
      <c r="BD217" s="229">
        <v>94126.842454897909</v>
      </c>
      <c r="BE217" s="244">
        <v>46.64750625824874</v>
      </c>
      <c r="BF217" s="146">
        <v>348083.1061602144</v>
      </c>
      <c r="BG217" t="s">
        <v>388</v>
      </c>
      <c r="BH217" s="146">
        <v>7.7727276104972466E-6</v>
      </c>
      <c r="BI217" s="146">
        <v>2141268.4245489789</v>
      </c>
      <c r="BJ217">
        <f t="shared" si="13"/>
        <v>0.16255930464838012</v>
      </c>
    </row>
    <row r="218" spans="1:62" s="140" customFormat="1" x14ac:dyDescent="0.3">
      <c r="A218">
        <v>-0.1</v>
      </c>
      <c r="B218" s="146">
        <v>1000</v>
      </c>
      <c r="C218" s="146">
        <v>25</v>
      </c>
      <c r="D218" s="146">
        <v>700</v>
      </c>
      <c r="E218" s="252">
        <v>20.329289555785962</v>
      </c>
      <c r="F218" s="146">
        <v>1.9659174376177702</v>
      </c>
      <c r="G218" s="146">
        <v>21.925718941552944</v>
      </c>
      <c r="H218" s="146">
        <v>17.839281087578978</v>
      </c>
      <c r="I218" s="146"/>
      <c r="J218" s="146">
        <v>0.56291106315351824</v>
      </c>
      <c r="K218" s="146">
        <v>0.27</v>
      </c>
      <c r="L218" s="146">
        <v>120.69992612187013</v>
      </c>
      <c r="M218" s="146">
        <v>52.587104741893633</v>
      </c>
      <c r="N218" s="146">
        <v>4.2695709253627392</v>
      </c>
      <c r="O218" s="146"/>
      <c r="P218" s="146"/>
      <c r="Q218" s="146"/>
      <c r="R218" s="146"/>
      <c r="S218" s="146"/>
      <c r="T218" s="146"/>
      <c r="U218" s="146"/>
      <c r="V218" s="146"/>
      <c r="W218" s="146"/>
      <c r="X218" s="146"/>
      <c r="Y218" s="146"/>
      <c r="Z218" s="146">
        <v>0.23933536920024928</v>
      </c>
      <c r="AA218" s="146"/>
      <c r="AB218" s="146"/>
      <c r="AC218" s="146"/>
      <c r="AD218" s="146"/>
      <c r="AE218" s="146"/>
      <c r="AF218" s="146"/>
      <c r="AG218" s="146"/>
      <c r="AH218" s="146"/>
      <c r="AI218" s="146"/>
      <c r="AJ218" s="146"/>
      <c r="AK218" s="146"/>
      <c r="AL218" s="146">
        <v>2705.2021397051612</v>
      </c>
      <c r="AM218" s="146">
        <v>8.9662621456486166E-2</v>
      </c>
      <c r="AN218" s="146">
        <v>0.25734319151833052</v>
      </c>
      <c r="AO218" s="146">
        <v>621.00319640926693</v>
      </c>
      <c r="AP218" s="146">
        <v>570.41667702379266</v>
      </c>
      <c r="AQ218" t="s">
        <v>327</v>
      </c>
      <c r="AR218">
        <f t="shared" si="14"/>
        <v>14.644015877877388</v>
      </c>
      <c r="AS218">
        <f t="shared" si="15"/>
        <v>3.9965468373646496</v>
      </c>
      <c r="AT218">
        <v>0.3</v>
      </c>
      <c r="AU218">
        <v>1</v>
      </c>
      <c r="AV218">
        <v>0.4</v>
      </c>
      <c r="AW218">
        <v>3</v>
      </c>
      <c r="AX218" s="146">
        <v>0.50543862332252865</v>
      </c>
      <c r="AY218">
        <v>0.27</v>
      </c>
      <c r="AZ218" s="209">
        <v>570.41667702379266</v>
      </c>
      <c r="BA218" s="140">
        <v>0.50543862332252865</v>
      </c>
      <c r="BB218" s="253">
        <v>34.187966864285521</v>
      </c>
      <c r="BC218" s="245">
        <v>199.3441525442131</v>
      </c>
      <c r="BD218" s="210">
        <v>93088.933106355995</v>
      </c>
      <c r="BE218" s="245">
        <v>46.044114239026158</v>
      </c>
      <c r="BF218" s="140">
        <v>352097.53083535947</v>
      </c>
      <c r="BG218" t="s">
        <v>388</v>
      </c>
      <c r="BH218" s="140">
        <v>7.9212581847122003E-6</v>
      </c>
      <c r="BI218" s="140">
        <v>2130889.3310635602</v>
      </c>
      <c r="BJ218">
        <f t="shared" si="13"/>
        <v>0.16523501511907335</v>
      </c>
    </row>
    <row r="219" spans="1:62" x14ac:dyDescent="0.3">
      <c r="A219">
        <v>-0.1</v>
      </c>
      <c r="B219" s="146">
        <v>1000</v>
      </c>
      <c r="C219" s="146">
        <v>25</v>
      </c>
      <c r="D219" s="146">
        <v>800</v>
      </c>
      <c r="E219" s="252">
        <v>20.581828961262421</v>
      </c>
      <c r="F219" s="146">
        <v>1.7840692681516559</v>
      </c>
      <c r="G219" s="146">
        <v>22.082967409651555</v>
      </c>
      <c r="H219" s="146">
        <v>17.777960753985315</v>
      </c>
      <c r="I219" s="146"/>
      <c r="J219" s="146">
        <v>0.55329165401634495</v>
      </c>
      <c r="K219" s="146">
        <v>0.27</v>
      </c>
      <c r="L219" s="146">
        <v>120.2493316440291</v>
      </c>
      <c r="M219" s="146">
        <v>52.390787645738818</v>
      </c>
      <c r="N219" s="146">
        <v>4.5045068843057212</v>
      </c>
      <c r="O219" s="146"/>
      <c r="P219" s="146"/>
      <c r="Q219" s="146"/>
      <c r="R219" s="146"/>
      <c r="S219" s="146"/>
      <c r="T219" s="146"/>
      <c r="U219" s="146"/>
      <c r="V219" s="146"/>
      <c r="W219" s="146"/>
      <c r="X219" s="146"/>
      <c r="Y219" s="146"/>
      <c r="Z219" s="146">
        <v>0.25337590439308055</v>
      </c>
      <c r="AA219" s="146"/>
      <c r="AB219" s="146"/>
      <c r="AC219" s="146"/>
      <c r="AD219" s="146"/>
      <c r="AE219" s="146"/>
      <c r="AF219" s="146"/>
      <c r="AG219" s="146"/>
      <c r="AH219" s="146"/>
      <c r="AI219" s="146"/>
      <c r="AJ219" s="146"/>
      <c r="AK219" s="146"/>
      <c r="AL219" s="146">
        <v>2920.8071855382254</v>
      </c>
      <c r="AM219" s="146">
        <v>8.0789381021859979E-2</v>
      </c>
      <c r="AN219" s="146">
        <v>0.25653131655143602</v>
      </c>
      <c r="AO219" s="146">
        <v>719.76874699765699</v>
      </c>
      <c r="AP219" s="146">
        <v>668.55374338536421</v>
      </c>
      <c r="AQ219" t="s">
        <v>327</v>
      </c>
      <c r="AR219">
        <f t="shared" si="14"/>
        <v>14.644015877877388</v>
      </c>
      <c r="AS219">
        <f t="shared" si="15"/>
        <v>3.9965468373646496</v>
      </c>
      <c r="AT219">
        <v>0.3</v>
      </c>
      <c r="AU219">
        <v>1</v>
      </c>
      <c r="AV219">
        <v>0.4</v>
      </c>
      <c r="AW219">
        <v>3</v>
      </c>
      <c r="AX219" s="146">
        <v>0.50003025383345168</v>
      </c>
      <c r="AY219">
        <v>0.27</v>
      </c>
      <c r="AZ219" s="209">
        <v>668.55374338536421</v>
      </c>
      <c r="BA219">
        <v>0.50003025383345168</v>
      </c>
      <c r="BB219" s="249">
        <v>33.250086034748819</v>
      </c>
      <c r="BC219" s="243">
        <v>198.17473719066422</v>
      </c>
      <c r="BD219" s="209">
        <v>92215.23424035222</v>
      </c>
      <c r="BE219" s="243">
        <v>45.46678853465886</v>
      </c>
      <c r="BF219">
        <v>355051.01055142208</v>
      </c>
      <c r="BG219" t="s">
        <v>388</v>
      </c>
      <c r="BH219">
        <v>8.0416078055595496E-6</v>
      </c>
      <c r="BI219">
        <v>2122152.3424035222</v>
      </c>
      <c r="BJ219">
        <f t="shared" si="13"/>
        <v>0.16730703232610336</v>
      </c>
    </row>
    <row r="220" spans="1:62" x14ac:dyDescent="0.3">
      <c r="A220">
        <v>-0.1</v>
      </c>
      <c r="B220" s="146">
        <v>1000</v>
      </c>
      <c r="C220" s="146">
        <v>25</v>
      </c>
      <c r="D220" s="146">
        <v>900</v>
      </c>
      <c r="E220" s="252">
        <v>20.786492437460243</v>
      </c>
      <c r="F220" s="146">
        <v>1.6345288809170229</v>
      </c>
      <c r="G220" s="146">
        <v>22.209221427500502</v>
      </c>
      <c r="H220" s="146">
        <v>17.728426530256652</v>
      </c>
      <c r="I220" s="146"/>
      <c r="J220" s="146">
        <v>0.54536214249970294</v>
      </c>
      <c r="K220" s="146">
        <v>0.27</v>
      </c>
      <c r="L220" s="146">
        <v>119.88804388177999</v>
      </c>
      <c r="M220" s="146">
        <v>52.23338011446846</v>
      </c>
      <c r="N220" s="146">
        <v>4.7094256253185733</v>
      </c>
      <c r="O220" s="146"/>
      <c r="P220" s="146"/>
      <c r="Q220" s="146"/>
      <c r="R220" s="146"/>
      <c r="S220" s="146"/>
      <c r="T220" s="146"/>
      <c r="U220" s="146"/>
      <c r="V220" s="146"/>
      <c r="W220" s="146"/>
      <c r="X220" s="146"/>
      <c r="Y220" s="146"/>
      <c r="Z220" s="146">
        <v>0.26564261736827671</v>
      </c>
      <c r="AA220" s="146"/>
      <c r="AB220" s="146"/>
      <c r="AC220" s="146"/>
      <c r="AD220" s="146"/>
      <c r="AE220" s="146"/>
      <c r="AF220" s="146"/>
      <c r="AG220" s="146"/>
      <c r="AH220" s="146"/>
      <c r="AI220" s="146"/>
      <c r="AJ220" s="146"/>
      <c r="AK220" s="146"/>
      <c r="AL220" s="146">
        <v>3121.7496070391148</v>
      </c>
      <c r="AM220" s="146">
        <v>7.3596856434285998E-2</v>
      </c>
      <c r="AN220" s="146">
        <v>0.25586839230704544</v>
      </c>
      <c r="AO220" s="146">
        <v>818.76099955122174</v>
      </c>
      <c r="AP220" s="146">
        <v>767.03679437982737</v>
      </c>
      <c r="AQ220" t="s">
        <v>327</v>
      </c>
      <c r="AR220">
        <f t="shared" si="14"/>
        <v>14.644015877877388</v>
      </c>
      <c r="AS220">
        <f t="shared" si="15"/>
        <v>3.9965468373646496</v>
      </c>
      <c r="AT220">
        <v>0.3</v>
      </c>
      <c r="AU220">
        <v>1</v>
      </c>
      <c r="AV220">
        <v>0.4</v>
      </c>
      <c r="AW220">
        <v>3</v>
      </c>
      <c r="AX220" s="146">
        <v>0.49557880740837706</v>
      </c>
      <c r="AY220">
        <v>0.27</v>
      </c>
      <c r="AZ220" s="209">
        <v>767.03679437982737</v>
      </c>
      <c r="BA220">
        <v>0.49557880740837706</v>
      </c>
      <c r="BB220" s="249">
        <v>32.467261998931569</v>
      </c>
      <c r="BC220" s="243">
        <v>197.24168411437421</v>
      </c>
      <c r="BD220" s="209">
        <v>91477.972846474178</v>
      </c>
      <c r="BE220" s="243">
        <v>44.944135718325143</v>
      </c>
      <c r="BF220">
        <v>357314.1533662721</v>
      </c>
      <c r="BG220" t="s">
        <v>388</v>
      </c>
      <c r="BH220">
        <v>8.1410043542858855E-6</v>
      </c>
      <c r="BI220">
        <v>2114779.7284647417</v>
      </c>
      <c r="BJ220">
        <f t="shared" si="13"/>
        <v>0.16896045888697356</v>
      </c>
    </row>
    <row r="221" spans="1:62" x14ac:dyDescent="0.3">
      <c r="A221">
        <v>-0.1</v>
      </c>
      <c r="B221" s="146">
        <v>1000</v>
      </c>
      <c r="C221" s="146">
        <v>25</v>
      </c>
      <c r="D221" s="146">
        <v>1000</v>
      </c>
      <c r="E221" s="252">
        <v>20.956656285851643</v>
      </c>
      <c r="F221" s="146">
        <v>1.5094757944823161</v>
      </c>
      <c r="G221" s="146">
        <v>22.313814948339537</v>
      </c>
      <c r="H221" s="146">
        <v>17.68789507250429</v>
      </c>
      <c r="I221" s="146"/>
      <c r="J221" s="146">
        <v>0.53853790116602585</v>
      </c>
      <c r="K221" s="146">
        <v>0.27</v>
      </c>
      <c r="L221" s="146">
        <v>119.5938648434813</v>
      </c>
      <c r="M221" s="146">
        <v>52.105210823923393</v>
      </c>
      <c r="N221" s="146">
        <v>4.8911485892323441</v>
      </c>
      <c r="O221" s="146"/>
      <c r="P221" s="146"/>
      <c r="Q221" s="146"/>
      <c r="R221" s="146"/>
      <c r="S221" s="146"/>
      <c r="T221" s="146"/>
      <c r="U221" s="146"/>
      <c r="V221" s="146"/>
      <c r="W221" s="146"/>
      <c r="X221" s="146"/>
      <c r="Y221" s="146"/>
      <c r="Z221" s="146">
        <v>0.27652519246541668</v>
      </c>
      <c r="AA221" s="146"/>
      <c r="AB221" s="146"/>
      <c r="AC221" s="146"/>
      <c r="AD221" s="146"/>
      <c r="AE221" s="146"/>
      <c r="AF221" s="146"/>
      <c r="AG221" s="146"/>
      <c r="AH221" s="146"/>
      <c r="AI221" s="146"/>
      <c r="AJ221" s="146"/>
      <c r="AK221" s="146"/>
      <c r="AL221" s="146">
        <v>3311.3413302391709</v>
      </c>
      <c r="AM221" s="146">
        <v>6.7647589530388325E-2</v>
      </c>
      <c r="AN221" s="146">
        <v>0.25530340820393949</v>
      </c>
      <c r="AO221" s="146">
        <v>917.91470222320254</v>
      </c>
      <c r="AP221" s="146">
        <v>865.76703562299951</v>
      </c>
      <c r="AQ221" t="s">
        <v>327</v>
      </c>
      <c r="AR221">
        <f t="shared" si="14"/>
        <v>14.644015877877388</v>
      </c>
      <c r="AS221">
        <f t="shared" si="15"/>
        <v>3.9965468373646496</v>
      </c>
      <c r="AT221">
        <v>0.3</v>
      </c>
      <c r="AU221">
        <v>1</v>
      </c>
      <c r="AV221">
        <v>0.4</v>
      </c>
      <c r="AW221">
        <v>3</v>
      </c>
      <c r="AX221" s="146">
        <v>0.49169675562238657</v>
      </c>
      <c r="AY221">
        <v>0.27</v>
      </c>
      <c r="AZ221" s="209">
        <v>865.76703562299951</v>
      </c>
      <c r="BA221">
        <v>0.49169675562238657</v>
      </c>
      <c r="BB221" s="249">
        <v>31.806594779351158</v>
      </c>
      <c r="BC221" s="243">
        <v>196.4849322869789</v>
      </c>
      <c r="BD221" s="209">
        <v>90856.31182569309</v>
      </c>
      <c r="BE221" s="243">
        <v>44.483373811716504</v>
      </c>
      <c r="BF221">
        <v>359134.30441659578</v>
      </c>
      <c r="BG221" t="s">
        <v>388</v>
      </c>
      <c r="BH221">
        <v>8.2244770392477182E-6</v>
      </c>
      <c r="BI221">
        <v>2108563.1182569312</v>
      </c>
      <c r="BJ221">
        <f t="shared" si="13"/>
        <v>0.17032181835442442</v>
      </c>
    </row>
    <row r="222" spans="1:62" s="140" customFormat="1" x14ac:dyDescent="0.3">
      <c r="A222" s="140">
        <v>-0.1</v>
      </c>
      <c r="B222" s="140">
        <v>1000</v>
      </c>
      <c r="C222" s="140">
        <v>25</v>
      </c>
      <c r="D222" s="140">
        <v>1100</v>
      </c>
      <c r="E222" s="253">
        <v>21.100090314283705</v>
      </c>
      <c r="F222" s="140">
        <v>1.4031972215131212</v>
      </c>
      <c r="G222" s="140">
        <v>22.40151085492068</v>
      </c>
      <c r="H222" s="140">
        <v>17.653809090085993</v>
      </c>
      <c r="J222" s="140">
        <v>0.53244124481504984</v>
      </c>
      <c r="K222" s="140">
        <v>0.27</v>
      </c>
      <c r="L222" s="140">
        <v>119.34756331112037</v>
      </c>
      <c r="M222" s="140">
        <v>51.997901027666551</v>
      </c>
      <c r="N222" s="140">
        <v>5.0553710843872874</v>
      </c>
      <c r="Z222" s="140">
        <v>0.28636149051970189</v>
      </c>
      <c r="AL222" s="140">
        <v>3492.3785009423777</v>
      </c>
      <c r="AM222" s="140">
        <v>6.2638508206016699E-2</v>
      </c>
      <c r="AN222" s="140">
        <v>0.25482433099191837</v>
      </c>
      <c r="AO222" s="140">
        <v>1017.1975053082632</v>
      </c>
      <c r="AP222" s="140">
        <v>964.69295874873558</v>
      </c>
      <c r="AQ222" t="s">
        <v>327</v>
      </c>
      <c r="AR222">
        <f t="shared" si="14"/>
        <v>14.644015877877388</v>
      </c>
      <c r="AS222">
        <f t="shared" si="15"/>
        <v>3.9965468373646496</v>
      </c>
      <c r="AT222">
        <v>0.3</v>
      </c>
      <c r="AU222" s="140">
        <v>1</v>
      </c>
      <c r="AV222">
        <v>0.4</v>
      </c>
      <c r="AW222">
        <v>3</v>
      </c>
      <c r="AX222" s="140">
        <v>0.48814346088951327</v>
      </c>
      <c r="AY222">
        <v>0.27</v>
      </c>
      <c r="AZ222" s="209">
        <v>964.69295874873558</v>
      </c>
      <c r="BA222" s="140">
        <v>0.48814346088951327</v>
      </c>
      <c r="BB222" s="253">
        <v>31.240964980570268</v>
      </c>
      <c r="BC222" s="245">
        <v>195.85338889785481</v>
      </c>
      <c r="BD222" s="210">
        <v>90322.513120253774</v>
      </c>
      <c r="BE222" s="245">
        <v>44.075383054309967</v>
      </c>
      <c r="BF222" s="140">
        <v>360613.79316842614</v>
      </c>
      <c r="BG222" t="s">
        <v>388</v>
      </c>
      <c r="BH222" s="140">
        <v>8.2956056463049083E-6</v>
      </c>
      <c r="BI222" s="140">
        <v>2103225.1312025376</v>
      </c>
      <c r="BJ222">
        <f t="shared" si="13"/>
        <v>0.1714575333940794</v>
      </c>
    </row>
    <row r="223" spans="1:62" x14ac:dyDescent="0.3">
      <c r="A223">
        <v>-0.1</v>
      </c>
      <c r="B223" s="146">
        <v>1000</v>
      </c>
      <c r="C223" s="146">
        <v>25</v>
      </c>
      <c r="D223" s="146">
        <v>400</v>
      </c>
      <c r="E223" s="252">
        <v>19.015655467619943</v>
      </c>
      <c r="F223" s="146">
        <v>2.849074831236349</v>
      </c>
      <c r="G223" s="146">
        <v>21.072894959286796</v>
      </c>
      <c r="H223" s="146">
        <v>18.169225986120559</v>
      </c>
      <c r="I223" s="146"/>
      <c r="J223" s="146">
        <v>0.62726755132123446</v>
      </c>
      <c r="K223" s="146">
        <v>0.27</v>
      </c>
      <c r="L223" s="146">
        <v>123.20258412879039</v>
      </c>
      <c r="M223" s="146">
        <v>53.677474412958468</v>
      </c>
      <c r="N223" s="146">
        <v>3.1930109380482357</v>
      </c>
      <c r="O223" s="146"/>
      <c r="P223" s="146"/>
      <c r="Q223" s="146"/>
      <c r="R223" s="146"/>
      <c r="S223" s="146"/>
      <c r="T223" s="146"/>
      <c r="U223" s="146"/>
      <c r="V223" s="146"/>
      <c r="W223" s="146"/>
      <c r="X223" s="146"/>
      <c r="Y223" s="146"/>
      <c r="Z223" s="146">
        <v>0.17573731211705834</v>
      </c>
      <c r="AA223" s="146"/>
      <c r="AB223" s="146"/>
      <c r="AC223" s="146"/>
      <c r="AD223" s="146"/>
      <c r="AE223" s="146"/>
      <c r="AF223" s="146"/>
      <c r="AG223" s="146"/>
      <c r="AH223" s="146"/>
      <c r="AI223" s="146"/>
      <c r="AJ223" s="146"/>
      <c r="AK223" s="146"/>
      <c r="AL223" s="146">
        <v>1876.4682753683637</v>
      </c>
      <c r="AM223" s="146">
        <v>0.13520092216759072</v>
      </c>
      <c r="AN223" s="146">
        <v>0.26149340650235781</v>
      </c>
      <c r="AO223" s="146">
        <v>327.28055471085662</v>
      </c>
      <c r="AP223" s="146">
        <v>279.96280634424579</v>
      </c>
      <c r="AQ223" t="s">
        <v>327</v>
      </c>
      <c r="AR223">
        <f t="shared" si="14"/>
        <v>14.644015877877388</v>
      </c>
      <c r="AS223">
        <f t="shared" si="15"/>
        <v>3.9965468373646496</v>
      </c>
      <c r="AT223">
        <v>0.3</v>
      </c>
      <c r="AU223">
        <v>1</v>
      </c>
      <c r="AV223">
        <v>0.4</v>
      </c>
      <c r="AW223" s="146">
        <v>3</v>
      </c>
      <c r="AX223" s="146">
        <v>0.54773129951118171</v>
      </c>
      <c r="AY223">
        <v>0.27</v>
      </c>
      <c r="AZ223" s="209">
        <v>279.96280634424579</v>
      </c>
      <c r="BA223">
        <v>0.54773129951118171</v>
      </c>
      <c r="BB223" s="249">
        <v>38.34302370189905</v>
      </c>
      <c r="BC223" s="243">
        <v>205.95807435529349</v>
      </c>
      <c r="BD223" s="209">
        <v>96591.335583965018</v>
      </c>
      <c r="BE223" s="243">
        <v>47.122756064176919</v>
      </c>
      <c r="BF223">
        <v>333243.49377916491</v>
      </c>
      <c r="BG223" t="s">
        <v>389</v>
      </c>
      <c r="BH223">
        <v>7.3466019029843281E-6</v>
      </c>
      <c r="BI223">
        <v>2165913.3558396501</v>
      </c>
      <c r="BJ223">
        <f t="shared" si="13"/>
        <v>0.15385818314508609</v>
      </c>
    </row>
    <row r="224" spans="1:62" x14ac:dyDescent="0.3">
      <c r="A224">
        <v>-0.1</v>
      </c>
      <c r="B224" s="146">
        <v>1000</v>
      </c>
      <c r="C224" s="146">
        <v>25</v>
      </c>
      <c r="D224" s="146">
        <v>400</v>
      </c>
      <c r="E224" s="252">
        <v>18.352690734332384</v>
      </c>
      <c r="F224" s="146">
        <v>2.7340487432636991</v>
      </c>
      <c r="G224" s="146">
        <v>20.319806396449188</v>
      </c>
      <c r="H224" s="146">
        <v>17.555026057617958</v>
      </c>
      <c r="I224" s="146"/>
      <c r="J224" s="146">
        <v>0.63131716834124563</v>
      </c>
      <c r="K224" s="146">
        <v>0.27</v>
      </c>
      <c r="L224" s="146">
        <v>119.08088601373633</v>
      </c>
      <c r="M224" s="146">
        <v>51.881713823412092</v>
      </c>
      <c r="N224" s="146">
        <v>3.0977115290346049</v>
      </c>
      <c r="O224" s="146"/>
      <c r="P224" s="146"/>
      <c r="Q224" s="146"/>
      <c r="R224" s="146"/>
      <c r="S224" s="146"/>
      <c r="T224" s="146"/>
      <c r="U224" s="146"/>
      <c r="V224" s="146"/>
      <c r="W224" s="146"/>
      <c r="X224" s="146"/>
      <c r="Y224" s="146"/>
      <c r="Z224" s="146">
        <v>0.17645724471541646</v>
      </c>
      <c r="AA224" s="146"/>
      <c r="AB224" s="146"/>
      <c r="AC224" s="146"/>
      <c r="AD224" s="146"/>
      <c r="AE224" s="146"/>
      <c r="AF224" s="146"/>
      <c r="AG224" s="146"/>
      <c r="AH224" s="146"/>
      <c r="AI224" s="146"/>
      <c r="AJ224" s="146"/>
      <c r="AK224" s="146"/>
      <c r="AL224" s="146">
        <v>1833.4224788903505</v>
      </c>
      <c r="AM224" s="146">
        <v>0.13455092484254497</v>
      </c>
      <c r="AN224" s="146">
        <v>0.2630636639203125</v>
      </c>
      <c r="AO224" s="146">
        <v>330.23479388665476</v>
      </c>
      <c r="AP224" s="146">
        <v>284.56671437304738</v>
      </c>
      <c r="AQ224" t="s">
        <v>327</v>
      </c>
      <c r="AR224">
        <f t="shared" si="14"/>
        <v>14.644015877877388</v>
      </c>
      <c r="AS224">
        <f t="shared" si="15"/>
        <v>3.9965468373646496</v>
      </c>
      <c r="AT224">
        <v>0.3</v>
      </c>
      <c r="AU224">
        <v>1</v>
      </c>
      <c r="AV224">
        <v>0.4</v>
      </c>
      <c r="AW224" s="146">
        <v>2.5</v>
      </c>
      <c r="AX224" s="146">
        <v>0.5512943094749756</v>
      </c>
      <c r="AY224">
        <v>0.27</v>
      </c>
      <c r="AZ224" s="209">
        <v>284.56671437304738</v>
      </c>
      <c r="BA224">
        <v>0.5512943094749756</v>
      </c>
      <c r="BB224" s="249">
        <v>36.911617225765276</v>
      </c>
      <c r="BC224" s="243">
        <v>195.1716899036451</v>
      </c>
      <c r="BD224" s="209">
        <v>90559.848176296116</v>
      </c>
      <c r="BE224" s="243">
        <v>44.864826290337284</v>
      </c>
      <c r="BF224">
        <v>378758.78178680199</v>
      </c>
      <c r="BG224" t="s">
        <v>389</v>
      </c>
      <c r="BH224">
        <v>7.1161525127004508E-6</v>
      </c>
      <c r="BI224">
        <v>2105598.481762961</v>
      </c>
      <c r="BJ224">
        <f t="shared" si="13"/>
        <v>0.17988176998953639</v>
      </c>
    </row>
    <row r="225" spans="1:62" x14ac:dyDescent="0.3">
      <c r="A225">
        <v>-0.1</v>
      </c>
      <c r="B225" s="146">
        <v>1000</v>
      </c>
      <c r="C225" s="146">
        <v>25</v>
      </c>
      <c r="D225" s="146">
        <v>400</v>
      </c>
      <c r="E225" s="252">
        <v>16.047686912842234</v>
      </c>
      <c r="F225" s="146">
        <v>2.3691477950578159</v>
      </c>
      <c r="G225" s="146">
        <v>17.728866736193684</v>
      </c>
      <c r="H225" s="146">
        <v>15.352311417719315</v>
      </c>
      <c r="I225" s="146"/>
      <c r="J225" s="146">
        <v>0.63941148501665956</v>
      </c>
      <c r="K225" s="146">
        <v>0.27</v>
      </c>
      <c r="L225" s="146">
        <v>104.26909773291472</v>
      </c>
      <c r="M225" s="146">
        <v>45.428445070357029</v>
      </c>
      <c r="N225" s="146">
        <v>2.7693943375407404</v>
      </c>
      <c r="O225" s="146"/>
      <c r="P225" s="146"/>
      <c r="Q225" s="146"/>
      <c r="R225" s="146"/>
      <c r="S225" s="146"/>
      <c r="T225" s="146"/>
      <c r="U225" s="146"/>
      <c r="V225" s="146"/>
      <c r="W225" s="146"/>
      <c r="X225" s="146"/>
      <c r="Y225" s="146"/>
      <c r="Z225" s="146">
        <v>0.18038940601116021</v>
      </c>
      <c r="AA225" s="146"/>
      <c r="AB225" s="146"/>
      <c r="AC225" s="146"/>
      <c r="AD225" s="146"/>
      <c r="AE225" s="146"/>
      <c r="AF225" s="146"/>
      <c r="AG225" s="146"/>
      <c r="AH225" s="146"/>
      <c r="AI225" s="146"/>
      <c r="AJ225" s="146"/>
      <c r="AK225" s="146"/>
      <c r="AL225" s="146">
        <v>1684.3736904027987</v>
      </c>
      <c r="AM225" s="146">
        <v>0.13363221859077848</v>
      </c>
      <c r="AN225" s="146">
        <v>0.26572930778651166</v>
      </c>
      <c r="AO225" s="146">
        <v>339.60889355217444</v>
      </c>
      <c r="AP225" s="146">
        <v>299.67652163242707</v>
      </c>
      <c r="AQ225" t="s">
        <v>327</v>
      </c>
      <c r="AR225">
        <f t="shared" si="14"/>
        <v>14.644015877877388</v>
      </c>
      <c r="AS225">
        <f t="shared" si="15"/>
        <v>3.9965468373646496</v>
      </c>
      <c r="AT225">
        <v>0.3</v>
      </c>
      <c r="AU225">
        <v>1</v>
      </c>
      <c r="AV225">
        <v>0.4</v>
      </c>
      <c r="AW225" s="146">
        <v>1.5</v>
      </c>
      <c r="AX225" s="146">
        <v>0.55739529864706627</v>
      </c>
      <c r="AY225">
        <v>0.27</v>
      </c>
      <c r="AZ225" s="209">
        <v>299.67652163242707</v>
      </c>
      <c r="BA225">
        <v>0.55739529864706627</v>
      </c>
      <c r="BB225" s="249">
        <v>32.214175457404671</v>
      </c>
      <c r="BC225" s="243">
        <v>160.33756504887458</v>
      </c>
      <c r="BD225" s="209">
        <v>72035.319200143786</v>
      </c>
      <c r="BE225" s="243">
        <v>38.304805280142297</v>
      </c>
      <c r="BF225">
        <v>501271.30248729262</v>
      </c>
      <c r="BG225" t="s">
        <v>389</v>
      </c>
      <c r="BH225">
        <v>6.3302280931683166E-6</v>
      </c>
      <c r="BI225">
        <v>1920353.1920014378</v>
      </c>
      <c r="BJ225">
        <f t="shared" si="13"/>
        <v>0.26103078567794902</v>
      </c>
    </row>
    <row r="226" spans="1:62" x14ac:dyDescent="0.3">
      <c r="A226">
        <v>-0.1</v>
      </c>
      <c r="B226" s="146">
        <v>1000</v>
      </c>
      <c r="C226" s="146">
        <v>25</v>
      </c>
      <c r="D226" s="146">
        <v>400</v>
      </c>
      <c r="E226" s="252">
        <v>13.920295958727795</v>
      </c>
      <c r="F226" s="146">
        <v>2.0542117877178896</v>
      </c>
      <c r="G226" s="146">
        <v>15.359855119886923</v>
      </c>
      <c r="H226" s="146">
        <v>13.268020180429433</v>
      </c>
      <c r="I226" s="146"/>
      <c r="J226" s="146">
        <v>0.63638826608673082</v>
      </c>
      <c r="K226" s="146">
        <v>0.27</v>
      </c>
      <c r="L226" s="146">
        <v>90.21186144874828</v>
      </c>
      <c r="M226" s="146">
        <v>39.303923037836391</v>
      </c>
      <c r="N226" s="146">
        <v>2.5056614456053499</v>
      </c>
      <c r="O226" s="146"/>
      <c r="P226" s="146"/>
      <c r="Q226" s="146"/>
      <c r="R226" s="146"/>
      <c r="S226" s="146"/>
      <c r="T226" s="146"/>
      <c r="U226" s="146"/>
      <c r="V226" s="146"/>
      <c r="W226" s="146"/>
      <c r="X226" s="146"/>
      <c r="Y226" s="146"/>
      <c r="Z226" s="146">
        <v>0.18884968605197369</v>
      </c>
      <c r="AA226" s="146"/>
      <c r="AB226" s="146"/>
      <c r="AC226" s="146"/>
      <c r="AD226" s="146"/>
      <c r="AE226" s="146"/>
      <c r="AF226" s="146"/>
      <c r="AG226" s="146"/>
      <c r="AH226" s="146"/>
      <c r="AI226" s="146"/>
      <c r="AJ226" s="146"/>
      <c r="AK226" s="146"/>
      <c r="AL226" s="146">
        <v>1565.8653356711548</v>
      </c>
      <c r="AM226" s="146">
        <v>0.13373900806253258</v>
      </c>
      <c r="AN226" s="146">
        <v>0.26602648584284977</v>
      </c>
      <c r="AO226" s="146">
        <v>347.67327052182708</v>
      </c>
      <c r="AP226" s="146">
        <v>313.03461286848068</v>
      </c>
      <c r="AQ226" t="s">
        <v>327</v>
      </c>
      <c r="AR226">
        <f t="shared" si="14"/>
        <v>14.644015877877388</v>
      </c>
      <c r="AS226">
        <f t="shared" si="15"/>
        <v>3.9965468373646496</v>
      </c>
      <c r="AT226">
        <v>0.3</v>
      </c>
      <c r="AU226">
        <v>1</v>
      </c>
      <c r="AV226">
        <v>0.4</v>
      </c>
      <c r="AW226" s="146">
        <v>1</v>
      </c>
      <c r="AX226" s="146">
        <v>0.55271801197795523</v>
      </c>
      <c r="AY226">
        <v>0.27</v>
      </c>
      <c r="AZ226" s="209">
        <v>313.03461286848068</v>
      </c>
      <c r="BA226">
        <v>0.55271801197795523</v>
      </c>
      <c r="BB226" s="249">
        <v>28.078451857660319</v>
      </c>
      <c r="BC226" s="243">
        <v>131.71568252709199</v>
      </c>
      <c r="BD226" s="209">
        <v>57625.13011744582</v>
      </c>
      <c r="BE226" s="243">
        <v>33.265624392980961</v>
      </c>
      <c r="BF226">
        <v>576054.77017687878</v>
      </c>
      <c r="BG226" t="s">
        <v>389</v>
      </c>
      <c r="BH226">
        <v>5.6034413827234296E-6</v>
      </c>
      <c r="BI226">
        <v>1776251.3011744581</v>
      </c>
      <c r="BJ226">
        <f t="shared" si="13"/>
        <v>0.32430927414155369</v>
      </c>
    </row>
    <row r="227" spans="1:62" x14ac:dyDescent="0.3">
      <c r="A227">
        <v>-0.1</v>
      </c>
      <c r="B227" s="146">
        <v>1000</v>
      </c>
      <c r="C227" s="146">
        <v>25</v>
      </c>
      <c r="D227" s="146">
        <v>400</v>
      </c>
      <c r="E227" s="252">
        <v>12.72569405656928</v>
      </c>
      <c r="F227" s="146">
        <v>1.8786101970930256</v>
      </c>
      <c r="G227" s="146">
        <v>14.03421446157318</v>
      </c>
      <c r="H227" s="146">
        <v>12.113030161396091</v>
      </c>
      <c r="I227" s="146"/>
      <c r="J227" s="146">
        <v>0.63341683760180556</v>
      </c>
      <c r="K227" s="146">
        <v>0.27</v>
      </c>
      <c r="L227" s="146">
        <v>82.405510927837796</v>
      </c>
      <c r="M227" s="146">
        <v>35.902815964410657</v>
      </c>
      <c r="N227" s="146">
        <v>2.3656847898922315</v>
      </c>
      <c r="O227" s="146"/>
      <c r="P227" s="146"/>
      <c r="Q227" s="146"/>
      <c r="R227" s="146"/>
      <c r="S227" s="146"/>
      <c r="T227" s="146"/>
      <c r="U227" s="146"/>
      <c r="V227" s="146"/>
      <c r="W227" s="146"/>
      <c r="X227" s="146"/>
      <c r="Y227" s="146"/>
      <c r="Z227" s="146">
        <v>0.19530082550538069</v>
      </c>
      <c r="AA227" s="146"/>
      <c r="AB227" s="146"/>
      <c r="AC227" s="146"/>
      <c r="AD227" s="146"/>
      <c r="AE227" s="146"/>
      <c r="AF227" s="146"/>
      <c r="AG227" s="146"/>
      <c r="AH227" s="146"/>
      <c r="AI227" s="146"/>
      <c r="AJ227" s="146"/>
      <c r="AK227" s="146"/>
      <c r="AL227" s="146">
        <v>1503.4283075010692</v>
      </c>
      <c r="AM227" s="146">
        <v>0.13385930521703321</v>
      </c>
      <c r="AN227" s="146">
        <v>0.26651773423755826</v>
      </c>
      <c r="AO227" s="146">
        <v>352.25198018070216</v>
      </c>
      <c r="AP227" s="146">
        <v>320.58591255495378</v>
      </c>
      <c r="AQ227" t="s">
        <v>327</v>
      </c>
      <c r="AR227">
        <f t="shared" si="14"/>
        <v>14.644015877877388</v>
      </c>
      <c r="AS227">
        <f t="shared" si="15"/>
        <v>3.9965468373646496</v>
      </c>
      <c r="AT227">
        <v>0.3</v>
      </c>
      <c r="AU227">
        <v>1</v>
      </c>
      <c r="AV227">
        <v>0.4</v>
      </c>
      <c r="AW227" s="146">
        <v>0.8</v>
      </c>
      <c r="AX227" s="146">
        <v>0.54888203796386192</v>
      </c>
      <c r="AY227">
        <v>0.27</v>
      </c>
      <c r="AZ227" s="209">
        <v>320.58591255495378</v>
      </c>
      <c r="BA227">
        <v>0.54888203796386192</v>
      </c>
      <c r="BB227" s="249">
        <v>25.759117047323734</v>
      </c>
      <c r="BC227" s="243">
        <v>117.2550432606678</v>
      </c>
      <c r="BD227" s="209">
        <v>50447.280633009417</v>
      </c>
      <c r="BE227" s="243">
        <v>30.431079322287104</v>
      </c>
      <c r="BF227">
        <v>605600.16445984168</v>
      </c>
      <c r="BG227" t="s">
        <v>389</v>
      </c>
      <c r="BH227">
        <v>5.1864448456072252E-6</v>
      </c>
      <c r="BI227">
        <v>1704472.8063300941</v>
      </c>
      <c r="BJ227">
        <f t="shared" si="13"/>
        <v>0.3553005728285929</v>
      </c>
    </row>
    <row r="228" spans="1:62" x14ac:dyDescent="0.3">
      <c r="A228">
        <v>-0.1</v>
      </c>
      <c r="B228" s="146">
        <v>1000</v>
      </c>
      <c r="C228" s="146">
        <v>25</v>
      </c>
      <c r="D228" s="146">
        <v>400</v>
      </c>
      <c r="E228" s="252">
        <v>11.230155035307703</v>
      </c>
      <c r="F228" s="146">
        <v>1.6677896824220859</v>
      </c>
      <c r="G228" s="146">
        <v>12.382368017896999</v>
      </c>
      <c r="H228" s="146">
        <v>10.674318103003801</v>
      </c>
      <c r="I228" s="146"/>
      <c r="J228" s="146">
        <v>0.63218161489897273</v>
      </c>
      <c r="K228" s="146">
        <v>0.27</v>
      </c>
      <c r="L228" s="146">
        <v>72.666663620029794</v>
      </c>
      <c r="M228" s="146">
        <v>31.659749709971486</v>
      </c>
      <c r="N228" s="146">
        <v>2.1607030507347194</v>
      </c>
      <c r="O228" s="146"/>
      <c r="P228" s="146"/>
      <c r="Q228" s="146"/>
      <c r="R228" s="146"/>
      <c r="S228" s="146"/>
      <c r="T228" s="146"/>
      <c r="U228" s="146"/>
      <c r="V228" s="146"/>
      <c r="W228" s="146"/>
      <c r="X228" s="146"/>
      <c r="Y228" s="146"/>
      <c r="Z228" s="146">
        <v>0.20242071014603621</v>
      </c>
      <c r="AA228" s="146"/>
      <c r="AB228" s="146"/>
      <c r="AC228" s="146"/>
      <c r="AD228" s="146"/>
      <c r="AE228" s="146"/>
      <c r="AF228" s="146"/>
      <c r="AG228" s="146"/>
      <c r="AH228" s="146"/>
      <c r="AI228" s="146"/>
      <c r="AJ228" s="146"/>
      <c r="AK228" s="146"/>
      <c r="AL228" s="146">
        <v>1410.2792143457555</v>
      </c>
      <c r="AM228" s="146">
        <v>0.13469068921320435</v>
      </c>
      <c r="AN228" s="146">
        <v>0.26657477013685749</v>
      </c>
      <c r="AO228" s="146">
        <v>357.87240094198626</v>
      </c>
      <c r="AP228" s="146">
        <v>329.92768897839591</v>
      </c>
      <c r="AQ228" t="s">
        <v>327</v>
      </c>
      <c r="AR228">
        <f t="shared" si="14"/>
        <v>14.644015877877388</v>
      </c>
      <c r="AS228">
        <f t="shared" si="15"/>
        <v>3.9965468373646496</v>
      </c>
      <c r="AT228">
        <v>0.3</v>
      </c>
      <c r="AU228">
        <v>1</v>
      </c>
      <c r="AV228">
        <v>0.4</v>
      </c>
      <c r="AW228" s="146">
        <v>0.6</v>
      </c>
      <c r="AX228" s="146">
        <v>0.54589661649726362</v>
      </c>
      <c r="AY228">
        <v>0.27</v>
      </c>
      <c r="AZ228" s="209">
        <v>329.92768897839591</v>
      </c>
      <c r="BA228">
        <v>0.54589661649726362</v>
      </c>
      <c r="BB228" s="249">
        <v>22.890435631633316</v>
      </c>
      <c r="BC228" s="243">
        <v>100.38005428049664</v>
      </c>
      <c r="BD228" s="209">
        <v>42230.378285004757</v>
      </c>
      <c r="BE228" s="243">
        <v>26.947202270804176</v>
      </c>
      <c r="BF228">
        <v>632530.04713277624</v>
      </c>
      <c r="BG228" t="s">
        <v>389</v>
      </c>
      <c r="BH228">
        <v>4.6495699333768827E-6</v>
      </c>
      <c r="BI228">
        <v>1622303.7828500476</v>
      </c>
      <c r="BJ228">
        <f t="shared" si="13"/>
        <v>0.38989617963015138</v>
      </c>
    </row>
    <row r="229" spans="1:62" x14ac:dyDescent="0.3">
      <c r="A229">
        <v>-0.1</v>
      </c>
      <c r="B229" s="146">
        <v>1000</v>
      </c>
      <c r="C229" s="146">
        <v>25</v>
      </c>
      <c r="D229" s="146">
        <v>400</v>
      </c>
      <c r="E229" s="252">
        <v>9.3084732907993608</v>
      </c>
      <c r="F229" s="146">
        <v>1.4009238930864947</v>
      </c>
      <c r="G229" s="146">
        <v>10.266215496407792</v>
      </c>
      <c r="H229" s="146">
        <v>8.8416437889776507</v>
      </c>
      <c r="I229" s="146"/>
      <c r="J229" s="146">
        <v>0.63017393694898227</v>
      </c>
      <c r="K229" s="146">
        <v>0.27</v>
      </c>
      <c r="L229" s="146">
        <v>60.238780722934976</v>
      </c>
      <c r="M229" s="146">
        <v>26.245111933228934</v>
      </c>
      <c r="N229" s="146">
        <v>1.8899766883914273</v>
      </c>
      <c r="O229" s="146"/>
      <c r="P229" s="146"/>
      <c r="Q229" s="146"/>
      <c r="R229" s="146"/>
      <c r="S229" s="146"/>
      <c r="T229" s="146"/>
      <c r="U229" s="146"/>
      <c r="V229" s="146"/>
      <c r="W229" s="146"/>
      <c r="X229" s="146"/>
      <c r="Y229" s="146"/>
      <c r="Z229" s="146">
        <v>0.21375851973900467</v>
      </c>
      <c r="AA229" s="146"/>
      <c r="AB229" s="146"/>
      <c r="AC229" s="146"/>
      <c r="AD229" s="146"/>
      <c r="AE229" s="146"/>
      <c r="AF229" s="146"/>
      <c r="AG229" s="146"/>
      <c r="AH229" s="146"/>
      <c r="AI229" s="146"/>
      <c r="AJ229" s="146"/>
      <c r="AK229" s="146"/>
      <c r="AL229" s="146">
        <v>1286.9196373144678</v>
      </c>
      <c r="AM229" s="146">
        <v>0.1364596226892652</v>
      </c>
      <c r="AN229" s="146">
        <v>0.26667330881786333</v>
      </c>
      <c r="AO229" s="146">
        <v>365.09409459813241</v>
      </c>
      <c r="AP229" s="146">
        <v>341.93129311875384</v>
      </c>
      <c r="AQ229" t="s">
        <v>327</v>
      </c>
      <c r="AR229">
        <f t="shared" si="14"/>
        <v>14.644015877877388</v>
      </c>
      <c r="AS229">
        <f t="shared" si="15"/>
        <v>3.9965468373646496</v>
      </c>
      <c r="AT229">
        <v>0.3</v>
      </c>
      <c r="AU229">
        <v>1</v>
      </c>
      <c r="AV229">
        <v>0.4</v>
      </c>
      <c r="AW229" s="146">
        <v>0.4</v>
      </c>
      <c r="AX229" s="146">
        <v>0.54129267327926589</v>
      </c>
      <c r="AY229">
        <v>0.27</v>
      </c>
      <c r="AZ229" s="209">
        <v>341.93129311875384</v>
      </c>
      <c r="BA229">
        <v>0.54129267327926589</v>
      </c>
      <c r="BB229" s="249">
        <v>19.210776978067635</v>
      </c>
      <c r="BC229" s="243">
        <v>80.41248221237548</v>
      </c>
      <c r="BD229" s="209">
        <v>32775.601969297772</v>
      </c>
      <c r="BE229" s="243">
        <v>22.499621413697778</v>
      </c>
      <c r="BF229">
        <v>657357.04506259202</v>
      </c>
      <c r="BG229" t="s">
        <v>389</v>
      </c>
      <c r="BH229">
        <v>3.9195610492480834E-6</v>
      </c>
      <c r="BI229">
        <v>1527756.0196929777</v>
      </c>
      <c r="BJ229">
        <f t="shared" si="13"/>
        <v>0.43027619370447412</v>
      </c>
    </row>
    <row r="230" spans="1:62" x14ac:dyDescent="0.3">
      <c r="A230">
        <v>-0.1</v>
      </c>
      <c r="B230" s="146">
        <v>1000</v>
      </c>
      <c r="C230" s="146">
        <v>25</v>
      </c>
      <c r="D230" s="146">
        <v>400</v>
      </c>
      <c r="E230" s="252">
        <v>8.0545247095989456</v>
      </c>
      <c r="F230" s="146">
        <v>1.2316304550208899</v>
      </c>
      <c r="G230" s="146">
        <v>8.8899699008236972</v>
      </c>
      <c r="H230" s="146">
        <v>7.6502752822237188</v>
      </c>
      <c r="I230" s="146"/>
      <c r="J230" s="146">
        <v>0.63099987039895422</v>
      </c>
      <c r="K230" s="146">
        <v>0.27</v>
      </c>
      <c r="L230" s="146">
        <v>52.147584238137462</v>
      </c>
      <c r="M230" s="146">
        <v>22.719901846491421</v>
      </c>
      <c r="N230" s="146">
        <v>1.6899802788567895</v>
      </c>
      <c r="O230" s="146"/>
      <c r="P230" s="146"/>
      <c r="Q230" s="146"/>
      <c r="R230" s="146"/>
      <c r="S230" s="146"/>
      <c r="T230" s="146"/>
      <c r="U230" s="146"/>
      <c r="V230" s="146"/>
      <c r="W230" s="146"/>
      <c r="X230" s="146"/>
      <c r="Y230" s="146"/>
      <c r="Z230" s="146">
        <v>0.22090450559127592</v>
      </c>
      <c r="AA230" s="146"/>
      <c r="AB230" s="146"/>
      <c r="AC230" s="146"/>
      <c r="AD230" s="146"/>
      <c r="AE230" s="146"/>
      <c r="AF230" s="146"/>
      <c r="AG230" s="146"/>
      <c r="AH230" s="146"/>
      <c r="AI230" s="146"/>
      <c r="AJ230" s="146"/>
      <c r="AK230" s="146"/>
      <c r="AL230" s="146">
        <v>1194.682305144011</v>
      </c>
      <c r="AM230" s="146">
        <v>0.13854157761622721</v>
      </c>
      <c r="AN230" s="146">
        <v>0.26613061944367195</v>
      </c>
      <c r="AO230" s="146">
        <v>369.73469371379969</v>
      </c>
      <c r="AP230" s="146">
        <v>349.69216571561657</v>
      </c>
      <c r="AQ230" t="s">
        <v>327</v>
      </c>
      <c r="AR230">
        <f t="shared" si="14"/>
        <v>14.644015877877388</v>
      </c>
      <c r="AS230">
        <f t="shared" si="15"/>
        <v>3.9965468373646496</v>
      </c>
      <c r="AT230">
        <v>0.3</v>
      </c>
      <c r="AU230">
        <v>1</v>
      </c>
      <c r="AV230">
        <v>0.4</v>
      </c>
      <c r="AW230" s="146">
        <v>0.3</v>
      </c>
      <c r="AX230" s="146">
        <v>0.53977948856626445</v>
      </c>
      <c r="AY230">
        <v>0.27</v>
      </c>
      <c r="AZ230" s="209">
        <v>349.69216571561657</v>
      </c>
      <c r="BA230">
        <v>0.53977948856626445</v>
      </c>
      <c r="BB230" s="249">
        <v>16.822435138728263</v>
      </c>
      <c r="BC230" s="243">
        <v>68.205267928962115</v>
      </c>
      <c r="BD230" s="209">
        <v>27203.590872170942</v>
      </c>
      <c r="BE230" s="243">
        <v>19.646717556759974</v>
      </c>
      <c r="BF230">
        <v>659474.06818518625</v>
      </c>
      <c r="BG230" t="s">
        <v>389</v>
      </c>
      <c r="BH230">
        <v>3.4344048249248412E-6</v>
      </c>
      <c r="BI230">
        <v>1472035.9087217094</v>
      </c>
      <c r="BJ230">
        <f t="shared" si="13"/>
        <v>0.44800134580810747</v>
      </c>
    </row>
    <row r="231" spans="1:62" x14ac:dyDescent="0.3">
      <c r="A231">
        <v>-0.1</v>
      </c>
      <c r="B231" s="146">
        <v>1000</v>
      </c>
      <c r="C231" s="146">
        <v>25</v>
      </c>
      <c r="D231" s="146">
        <v>400</v>
      </c>
      <c r="E231" s="252">
        <v>6.5114280360258707</v>
      </c>
      <c r="F231" s="146">
        <v>1.0198581418075496</v>
      </c>
      <c r="G231" s="146">
        <v>7.1965982218224944</v>
      </c>
      <c r="H231" s="146">
        <v>6.1983381127578872</v>
      </c>
      <c r="I231" s="146"/>
      <c r="J231" s="146">
        <v>0.63000768366191218</v>
      </c>
      <c r="K231" s="146">
        <v>0.27</v>
      </c>
      <c r="L231" s="146">
        <v>42.274583800927786</v>
      </c>
      <c r="M231" s="146">
        <v>18.418387133184307</v>
      </c>
      <c r="N231" s="146">
        <v>1.4510562274744423</v>
      </c>
      <c r="O231" s="146"/>
      <c r="P231" s="146"/>
      <c r="Q231" s="146"/>
      <c r="R231" s="146"/>
      <c r="S231" s="146"/>
      <c r="T231" s="146"/>
      <c r="U231" s="146"/>
      <c r="V231" s="146"/>
      <c r="W231" s="146"/>
      <c r="X231" s="146"/>
      <c r="Y231" s="146"/>
      <c r="Z231" s="146">
        <v>0.23410407775073916</v>
      </c>
      <c r="AA231" s="146"/>
      <c r="AB231" s="146"/>
      <c r="AC231" s="146"/>
      <c r="AD231" s="146"/>
      <c r="AE231" s="146"/>
      <c r="AF231" s="146"/>
      <c r="AG231" s="146"/>
      <c r="AH231" s="146"/>
      <c r="AI231" s="146"/>
      <c r="AJ231" s="146"/>
      <c r="AK231" s="146"/>
      <c r="AL231" s="146">
        <v>1084.873256930905</v>
      </c>
      <c r="AM231" s="146">
        <v>0.14171391960093013</v>
      </c>
      <c r="AN231" s="146">
        <v>0.26629550083981574</v>
      </c>
      <c r="AO231" s="146">
        <v>375.54811096886431</v>
      </c>
      <c r="AP231" s="146">
        <v>359.34514319368407</v>
      </c>
      <c r="AQ231" t="s">
        <v>327</v>
      </c>
      <c r="AR231">
        <f t="shared" si="14"/>
        <v>14.644015877877388</v>
      </c>
      <c r="AS231">
        <f t="shared" si="15"/>
        <v>3.9965468373646496</v>
      </c>
      <c r="AT231">
        <v>0.3</v>
      </c>
      <c r="AU231">
        <v>1</v>
      </c>
      <c r="AV231">
        <v>0.4</v>
      </c>
      <c r="AW231" s="146">
        <v>0.2</v>
      </c>
      <c r="AX231" s="146">
        <v>0.53601996635711391</v>
      </c>
      <c r="AY231">
        <v>0.27</v>
      </c>
      <c r="AZ231" s="209">
        <v>359.34514319368407</v>
      </c>
      <c r="BA231">
        <v>0.53601996635711391</v>
      </c>
      <c r="BB231" s="249">
        <v>13.84601857086956</v>
      </c>
      <c r="BC231" s="243">
        <v>54.026948478672104</v>
      </c>
      <c r="BD231" s="209">
        <v>20910.596328759668</v>
      </c>
      <c r="BE231" s="243">
        <v>16.069497478467376</v>
      </c>
      <c r="BF231">
        <v>652761.54683498747</v>
      </c>
      <c r="BG231" t="s">
        <v>389</v>
      </c>
      <c r="BH231">
        <v>2.8102836144244771E-6</v>
      </c>
      <c r="BI231">
        <v>1409105.9632875966</v>
      </c>
      <c r="BJ231">
        <f t="shared" si="13"/>
        <v>0.46324518087484651</v>
      </c>
    </row>
    <row r="232" spans="1:62" s="140" customFormat="1" x14ac:dyDescent="0.3">
      <c r="A232" s="140">
        <v>-0.1</v>
      </c>
      <c r="B232" s="140">
        <v>1000</v>
      </c>
      <c r="C232" s="140">
        <v>25</v>
      </c>
      <c r="D232" s="140">
        <v>400</v>
      </c>
      <c r="E232" s="253">
        <v>4.4284246782205994</v>
      </c>
      <c r="F232" s="140">
        <v>0.73293260384020165</v>
      </c>
      <c r="G232" s="140">
        <v>4.9129508840433864</v>
      </c>
      <c r="H232" s="140">
        <v>4.2432799984849217</v>
      </c>
      <c r="J232" s="140">
        <v>0.63138733522392199</v>
      </c>
      <c r="K232" s="140">
        <v>0.27</v>
      </c>
      <c r="L232" s="140">
        <v>28.961322842678431</v>
      </c>
      <c r="M232" s="140">
        <v>12.618003728137907</v>
      </c>
      <c r="N232" s="140">
        <v>1.0889244434072052</v>
      </c>
      <c r="Z232" s="140">
        <v>0.25662328288399766</v>
      </c>
      <c r="AL232" s="140">
        <v>916.79192262802621</v>
      </c>
      <c r="AM232" s="140">
        <v>0.14918378407174182</v>
      </c>
      <c r="AN232" s="140">
        <v>0.26595884935617847</v>
      </c>
      <c r="AO232" s="140">
        <v>383.34921101914551</v>
      </c>
      <c r="AP232" s="140">
        <v>372.32970092442332</v>
      </c>
      <c r="AQ232" t="s">
        <v>327</v>
      </c>
      <c r="AR232">
        <f t="shared" si="14"/>
        <v>14.644015877877388</v>
      </c>
      <c r="AS232">
        <f t="shared" si="15"/>
        <v>3.9965468373646496</v>
      </c>
      <c r="AT232">
        <v>0.3</v>
      </c>
      <c r="AU232" s="140">
        <v>1</v>
      </c>
      <c r="AV232">
        <v>0.4</v>
      </c>
      <c r="AW232" s="146">
        <v>0.1</v>
      </c>
      <c r="AX232" s="140">
        <v>0.53303527284274121</v>
      </c>
      <c r="AY232">
        <v>0.27</v>
      </c>
      <c r="AZ232" s="209">
        <v>372.32970092442332</v>
      </c>
      <c r="BA232" s="140">
        <v>0.53303527284274121</v>
      </c>
      <c r="BB232" s="253">
        <v>9.7776592139716563</v>
      </c>
      <c r="BC232" s="245">
        <v>35.971860145308725</v>
      </c>
      <c r="BD232" s="210">
        <v>13338.484213584401</v>
      </c>
      <c r="BE232" s="245">
        <v>11.252101415765832</v>
      </c>
      <c r="BF232" s="140">
        <v>620688.48122423049</v>
      </c>
      <c r="BG232" t="s">
        <v>389</v>
      </c>
      <c r="BH232" s="140">
        <v>1.9180218798200367E-6</v>
      </c>
      <c r="BI232" s="140">
        <v>1333384.8421358441</v>
      </c>
      <c r="BJ232">
        <f t="shared" si="13"/>
        <v>0.46549837797015792</v>
      </c>
    </row>
    <row r="233" spans="1:62" x14ac:dyDescent="0.3">
      <c r="A233">
        <v>-0.1</v>
      </c>
      <c r="B233" s="146">
        <v>1000</v>
      </c>
      <c r="C233" s="146">
        <v>25</v>
      </c>
      <c r="D233" s="146">
        <v>400</v>
      </c>
      <c r="E233" s="252">
        <v>19.015061281440008</v>
      </c>
      <c r="F233" s="146">
        <v>2.8486783460120915</v>
      </c>
      <c r="G233" s="146">
        <v>21.072063393174993</v>
      </c>
      <c r="H233" s="146">
        <v>18.168154731887356</v>
      </c>
      <c r="I233" s="146"/>
      <c r="J233" s="146">
        <v>0.62705750425320927</v>
      </c>
      <c r="K233" s="146">
        <v>0.27</v>
      </c>
      <c r="L233" s="146">
        <v>123.1954019855379</v>
      </c>
      <c r="M233" s="146">
        <v>53.674345263408625</v>
      </c>
      <c r="N233" s="146">
        <v>3.1949682932853989</v>
      </c>
      <c r="O233" s="146"/>
      <c r="P233" s="146"/>
      <c r="Q233" s="146"/>
      <c r="R233" s="146"/>
      <c r="S233" s="146"/>
      <c r="T233" s="146"/>
      <c r="U233" s="146"/>
      <c r="V233" s="146"/>
      <c r="W233" s="146"/>
      <c r="X233" s="146"/>
      <c r="Y233" s="146"/>
      <c r="Z233" s="146">
        <v>0.17585540966787536</v>
      </c>
      <c r="AA233" s="146"/>
      <c r="AB233" s="146"/>
      <c r="AC233" s="146"/>
      <c r="AD233" s="146"/>
      <c r="AE233" s="146"/>
      <c r="AF233" s="146"/>
      <c r="AG233" s="146"/>
      <c r="AH233" s="146"/>
      <c r="AI233" s="146"/>
      <c r="AJ233" s="146"/>
      <c r="AK233" s="146"/>
      <c r="AL233" s="146">
        <v>1877.4535548671186</v>
      </c>
      <c r="AM233" s="146">
        <v>0.13518744191585655</v>
      </c>
      <c r="AN233" s="146">
        <v>0.26150389023164677</v>
      </c>
      <c r="AO233" s="146">
        <v>327.28574223275996</v>
      </c>
      <c r="AP233" s="146">
        <v>279.96940822441934</v>
      </c>
      <c r="AQ233" t="s">
        <v>327</v>
      </c>
      <c r="AR233">
        <f t="shared" si="14"/>
        <v>14.644015877877388</v>
      </c>
      <c r="AS233">
        <f t="shared" si="15"/>
        <v>3.9965468373646496</v>
      </c>
      <c r="AT233">
        <v>0.3</v>
      </c>
      <c r="AU233">
        <v>1</v>
      </c>
      <c r="AV233">
        <v>0.4</v>
      </c>
      <c r="AW233" s="146">
        <v>3</v>
      </c>
      <c r="AX233" s="146">
        <v>0.54755111277368762</v>
      </c>
      <c r="AY233">
        <v>0.27</v>
      </c>
      <c r="AZ233" s="209">
        <v>279.96940822441934</v>
      </c>
      <c r="BA233">
        <v>0.54755111277368762</v>
      </c>
      <c r="BB233" s="249">
        <v>38.341711045243336</v>
      </c>
      <c r="BC233" s="243">
        <v>205.93879826452215</v>
      </c>
      <c r="BD233" s="209">
        <v>96585.619451025006</v>
      </c>
      <c r="BE233" s="243">
        <v>47.126377227052615</v>
      </c>
      <c r="BF233">
        <v>333217.71854707669</v>
      </c>
      <c r="BG233" t="s">
        <v>390</v>
      </c>
      <c r="BH233">
        <v>7.3466194020563751E-6</v>
      </c>
      <c r="BI233">
        <v>2165856.1945102504</v>
      </c>
      <c r="BJ233">
        <f t="shared" si="13"/>
        <v>0.15385034306140757</v>
      </c>
    </row>
    <row r="234" spans="1:62" s="140" customFormat="1" x14ac:dyDescent="0.3">
      <c r="A234">
        <v>-0.2</v>
      </c>
      <c r="B234" s="146">
        <v>1000</v>
      </c>
      <c r="C234" s="146">
        <v>25</v>
      </c>
      <c r="D234" s="146">
        <v>400</v>
      </c>
      <c r="E234" s="252">
        <v>18.951497836663741</v>
      </c>
      <c r="F234" s="146">
        <v>2.886744282730481</v>
      </c>
      <c r="G234" s="146">
        <v>21.028175435346824</v>
      </c>
      <c r="H234" s="146">
        <v>18.183374221910654</v>
      </c>
      <c r="I234" s="146"/>
      <c r="J234" s="146">
        <v>0.63120283386377429</v>
      </c>
      <c r="K234" s="146">
        <v>0.27</v>
      </c>
      <c r="L234" s="146">
        <v>123.31618126459171</v>
      </c>
      <c r="M234" s="146">
        <v>53.726966941004683</v>
      </c>
      <c r="N234" s="146">
        <v>3.1477227725261976</v>
      </c>
      <c r="O234" s="146"/>
      <c r="P234" s="146"/>
      <c r="Q234" s="146"/>
      <c r="R234" s="146"/>
      <c r="S234" s="146"/>
      <c r="T234" s="146"/>
      <c r="U234" s="146"/>
      <c r="V234" s="146"/>
      <c r="W234" s="146"/>
      <c r="X234" s="146"/>
      <c r="Y234" s="146"/>
      <c r="Z234" s="146">
        <v>0.17310993735877941</v>
      </c>
      <c r="AA234" s="146"/>
      <c r="AB234" s="146"/>
      <c r="AC234" s="146"/>
      <c r="AD234" s="146"/>
      <c r="AE234" s="146"/>
      <c r="AF234" s="146"/>
      <c r="AG234" s="146"/>
      <c r="AH234" s="146"/>
      <c r="AI234" s="146"/>
      <c r="AJ234" s="146"/>
      <c r="AK234" s="146"/>
      <c r="AL234" s="146">
        <v>1845.2407956235147</v>
      </c>
      <c r="AM234" s="146">
        <v>0.13727982684974538</v>
      </c>
      <c r="AN234" s="146">
        <v>0.23264075189176872</v>
      </c>
      <c r="AO234" s="146">
        <v>318.53749748246804</v>
      </c>
      <c r="AP234" s="146">
        <v>271.37940936041429</v>
      </c>
      <c r="AQ234" t="s">
        <v>327</v>
      </c>
      <c r="AR234">
        <f t="shared" si="14"/>
        <v>14.644015877877388</v>
      </c>
      <c r="AS234">
        <f t="shared" si="15"/>
        <v>3.9965468373646496</v>
      </c>
      <c r="AT234">
        <v>0.3</v>
      </c>
      <c r="AU234">
        <v>1</v>
      </c>
      <c r="AV234">
        <v>0.4</v>
      </c>
      <c r="AW234" s="146">
        <v>3</v>
      </c>
      <c r="AX234" s="146">
        <v>0.55065474390616931</v>
      </c>
      <c r="AY234">
        <v>0.27</v>
      </c>
      <c r="AZ234" s="209">
        <v>271.37940936041429</v>
      </c>
      <c r="BA234" s="140">
        <v>0.55065474390616931</v>
      </c>
      <c r="BB234" s="253">
        <v>38.494590006325119</v>
      </c>
      <c r="BC234" s="245">
        <v>206.26318789143804</v>
      </c>
      <c r="BD234" s="210">
        <v>96677.514865580291</v>
      </c>
      <c r="BE234" s="245">
        <v>47.058995035699013</v>
      </c>
      <c r="BF234" s="140">
        <v>332097.05324023025</v>
      </c>
      <c r="BG234" t="s">
        <v>390</v>
      </c>
      <c r="BH234" s="140">
        <v>7.3220010041155101E-6</v>
      </c>
      <c r="BI234" s="140">
        <v>2166775.1486558029</v>
      </c>
      <c r="BJ234">
        <f t="shared" si="13"/>
        <v>0.15326788912372957</v>
      </c>
    </row>
    <row r="235" spans="1:62" x14ac:dyDescent="0.3">
      <c r="A235">
        <v>-0.3</v>
      </c>
      <c r="B235" s="146">
        <v>1000</v>
      </c>
      <c r="C235" s="146">
        <v>25</v>
      </c>
      <c r="D235" s="146">
        <v>400</v>
      </c>
      <c r="E235" s="252">
        <v>18.867496071559241</v>
      </c>
      <c r="F235" s="146">
        <v>2.9364716130685444</v>
      </c>
      <c r="G235" s="146">
        <v>20.969847617506872</v>
      </c>
      <c r="H235" s="146">
        <v>18.203683582283276</v>
      </c>
      <c r="I235" s="146"/>
      <c r="J235" s="146">
        <v>0.63696322775236613</v>
      </c>
      <c r="K235" s="146">
        <v>0.27</v>
      </c>
      <c r="L235" s="146">
        <v>123.47806390628119</v>
      </c>
      <c r="M235" s="146">
        <v>53.797496722653634</v>
      </c>
      <c r="N235" s="146">
        <v>3.0851375197775397</v>
      </c>
      <c r="O235" s="146"/>
      <c r="P235" s="146"/>
      <c r="Q235" s="146"/>
      <c r="R235" s="146"/>
      <c r="S235" s="146"/>
      <c r="T235" s="146"/>
      <c r="U235" s="146"/>
      <c r="V235" s="146"/>
      <c r="W235" s="146"/>
      <c r="X235" s="146"/>
      <c r="Y235" s="146"/>
      <c r="Z235" s="146">
        <v>0.1694787489483803</v>
      </c>
      <c r="AA235" s="146"/>
      <c r="AB235" s="146"/>
      <c r="AC235" s="146"/>
      <c r="AD235" s="146"/>
      <c r="AE235" s="146"/>
      <c r="AF235" s="146"/>
      <c r="AG235" s="146"/>
      <c r="AH235" s="146"/>
      <c r="AI235" s="146"/>
      <c r="AJ235" s="146"/>
      <c r="AK235" s="146"/>
      <c r="AL235" s="146">
        <v>1803.0341766664853</v>
      </c>
      <c r="AM235" s="146">
        <v>0.14003304490477098</v>
      </c>
      <c r="AN235" s="146">
        <v>0.20378450423781161</v>
      </c>
      <c r="AO235" s="146">
        <v>307.41447127137144</v>
      </c>
      <c r="AP235" s="146">
        <v>260.46541677771523</v>
      </c>
      <c r="AQ235" t="s">
        <v>327</v>
      </c>
      <c r="AR235">
        <f t="shared" ref="AR235:AR242" si="16">0.45*Jsat_t</f>
        <v>14.644015877877388</v>
      </c>
      <c r="AS235">
        <f t="shared" ref="AS235:AS242" si="17">0.15*Jatp</f>
        <v>3.9965468373646496</v>
      </c>
      <c r="AT235">
        <v>0.3</v>
      </c>
      <c r="AU235">
        <v>1</v>
      </c>
      <c r="AV235">
        <v>0.4</v>
      </c>
      <c r="AW235" s="146">
        <v>3</v>
      </c>
      <c r="AX235" s="146">
        <v>0.55504170844321488</v>
      </c>
      <c r="AY235">
        <v>0.27</v>
      </c>
      <c r="AZ235" s="209">
        <v>260.46541677771523</v>
      </c>
      <c r="BA235">
        <v>0.55504170844321488</v>
      </c>
      <c r="BB235" s="249">
        <v>38.689038402031329</v>
      </c>
      <c r="BC235" s="243">
        <v>206.69874599227111</v>
      </c>
      <c r="BD235" s="209">
        <v>96786.906103704983</v>
      </c>
      <c r="BE235" s="243">
        <v>46.947549773072168</v>
      </c>
      <c r="BF235">
        <v>330587.42982168292</v>
      </c>
      <c r="BG235" t="s">
        <v>390</v>
      </c>
      <c r="BH235">
        <v>7.2899130747762676E-6</v>
      </c>
      <c r="BI235">
        <v>2167869.0610370496</v>
      </c>
      <c r="BJ235">
        <f t="shared" si="13"/>
        <v>0.1524941869245271</v>
      </c>
    </row>
    <row r="236" spans="1:62" x14ac:dyDescent="0.3">
      <c r="A236">
        <v>-0.4</v>
      </c>
      <c r="B236" s="146">
        <v>1000</v>
      </c>
      <c r="C236" s="146">
        <v>25</v>
      </c>
      <c r="D236" s="146">
        <v>400</v>
      </c>
      <c r="E236" s="252">
        <v>18.753589474274833</v>
      </c>
      <c r="F236" s="146">
        <v>3.0065961484212025</v>
      </c>
      <c r="G236" s="146">
        <v>20.892246020426427</v>
      </c>
      <c r="H236" s="146">
        <v>18.239262984137511</v>
      </c>
      <c r="I236" s="146"/>
      <c r="J236" s="146">
        <v>0.64717033163765514</v>
      </c>
      <c r="K236" s="146">
        <v>0.27</v>
      </c>
      <c r="L236" s="146">
        <v>123.75405492438423</v>
      </c>
      <c r="M236" s="146">
        <v>53.917741772034617</v>
      </c>
      <c r="N236" s="146">
        <v>2.9846733759973887</v>
      </c>
      <c r="O236" s="146"/>
      <c r="P236" s="146"/>
      <c r="Q236" s="146"/>
      <c r="R236" s="146"/>
      <c r="S236" s="146"/>
      <c r="T236" s="146"/>
      <c r="U236" s="146"/>
      <c r="V236" s="146"/>
      <c r="W236" s="146"/>
      <c r="X236" s="146"/>
      <c r="Y236" s="146"/>
      <c r="Z236" s="146">
        <v>0.16364002090397659</v>
      </c>
      <c r="AA236" s="146"/>
      <c r="AB236" s="146"/>
      <c r="AC236" s="146"/>
      <c r="AD236" s="146"/>
      <c r="AE236" s="146"/>
      <c r="AF236" s="146"/>
      <c r="AG236" s="146"/>
      <c r="AH236" s="146"/>
      <c r="AI236" s="146"/>
      <c r="AJ236" s="146"/>
      <c r="AK236" s="146"/>
      <c r="AL236" s="146">
        <v>1738.4507287054059</v>
      </c>
      <c r="AM236" s="146">
        <v>0.14390966607810582</v>
      </c>
      <c r="AN236" s="146">
        <v>0.17490704228701232</v>
      </c>
      <c r="AO236" s="146">
        <v>292.77967754150643</v>
      </c>
      <c r="AP236" s="146">
        <v>246.11404070671227</v>
      </c>
      <c r="AQ236" t="s">
        <v>327</v>
      </c>
      <c r="AR236">
        <f t="shared" si="16"/>
        <v>14.644015877877388</v>
      </c>
      <c r="AS236">
        <f t="shared" si="17"/>
        <v>3.9965468373646496</v>
      </c>
      <c r="AT236">
        <v>0.3</v>
      </c>
      <c r="AU236">
        <v>1</v>
      </c>
      <c r="AV236">
        <v>0.4</v>
      </c>
      <c r="AW236" s="146">
        <v>3</v>
      </c>
      <c r="AX236" s="146">
        <v>0.56316270937891133</v>
      </c>
      <c r="AY236">
        <v>0.27</v>
      </c>
      <c r="AZ236" s="209">
        <v>246.11404070671227</v>
      </c>
      <c r="BA236">
        <v>0.56316270937891133</v>
      </c>
      <c r="BB236" s="249">
        <v>38.945840831811296</v>
      </c>
      <c r="BC236" s="243">
        <v>207.44337261375867</v>
      </c>
      <c r="BD236" s="209">
        <v>96935.848975242305</v>
      </c>
      <c r="BE236" s="243">
        <v>46.700016162638214</v>
      </c>
      <c r="BF236">
        <v>328540.7463839408</v>
      </c>
      <c r="BG236" t="s">
        <v>390</v>
      </c>
      <c r="BH236">
        <v>7.2463654058622901E-6</v>
      </c>
      <c r="BI236">
        <v>2169358.489752423</v>
      </c>
      <c r="BJ236">
        <f t="shared" si="13"/>
        <v>0.15144603712843946</v>
      </c>
    </row>
    <row r="237" spans="1:62" x14ac:dyDescent="0.3">
      <c r="A237">
        <v>-0.5</v>
      </c>
      <c r="B237" s="146">
        <v>1000</v>
      </c>
      <c r="C237" s="146">
        <v>25</v>
      </c>
      <c r="D237" s="146">
        <v>400</v>
      </c>
      <c r="E237" s="252">
        <v>18.620524914350479</v>
      </c>
      <c r="F237" s="146">
        <v>3.1220031272790396</v>
      </c>
      <c r="G237" s="146">
        <v>20.819719183914966</v>
      </c>
      <c r="H237" s="146">
        <v>18.271624070251331</v>
      </c>
      <c r="I237" s="146"/>
      <c r="J237" s="146">
        <v>0.65414988639401284</v>
      </c>
      <c r="K237" s="146">
        <v>0.27</v>
      </c>
      <c r="L237" s="146">
        <v>124.03388427592276</v>
      </c>
      <c r="M237" s="146">
        <v>54.039659124364682</v>
      </c>
      <c r="N237" s="146">
        <v>2.8892508581906355</v>
      </c>
      <c r="O237" s="146"/>
      <c r="P237" s="146"/>
      <c r="Q237" s="146"/>
      <c r="R237" s="146"/>
      <c r="S237" s="146"/>
      <c r="T237" s="146"/>
      <c r="U237" s="146"/>
      <c r="V237" s="146"/>
      <c r="W237" s="146"/>
      <c r="X237" s="146"/>
      <c r="Y237" s="146"/>
      <c r="Z237" s="146">
        <v>0.15812775301647791</v>
      </c>
      <c r="AA237" s="146"/>
      <c r="AB237" s="146"/>
      <c r="AC237" s="146"/>
      <c r="AD237" s="146"/>
      <c r="AE237" s="146"/>
      <c r="AF237" s="146"/>
      <c r="AG237" s="146"/>
      <c r="AH237" s="146"/>
      <c r="AI237" s="146"/>
      <c r="AJ237" s="146"/>
      <c r="AK237" s="146"/>
      <c r="AL237" s="146">
        <v>1670.2106635931584</v>
      </c>
      <c r="AM237" s="146">
        <v>0.14995414201797003</v>
      </c>
      <c r="AN237" s="146">
        <v>0.14538169030005157</v>
      </c>
      <c r="AO237" s="146">
        <v>271.91973847655925</v>
      </c>
      <c r="AP237" s="146">
        <v>225.58523449784022</v>
      </c>
      <c r="AQ237" t="s">
        <v>327</v>
      </c>
      <c r="AR237">
        <f t="shared" si="16"/>
        <v>14.644015877877388</v>
      </c>
      <c r="AS237">
        <f t="shared" si="17"/>
        <v>3.9965468373646496</v>
      </c>
      <c r="AT237">
        <v>0.3</v>
      </c>
      <c r="AU237">
        <v>1</v>
      </c>
      <c r="AV237">
        <v>0.4</v>
      </c>
      <c r="AW237" s="146">
        <v>3</v>
      </c>
      <c r="AX237" s="146">
        <v>0.56769333926021071</v>
      </c>
      <c r="AY237">
        <v>0.27</v>
      </c>
      <c r="AZ237" s="209">
        <v>225.58523449784022</v>
      </c>
      <c r="BA237">
        <v>0.56769333926021071</v>
      </c>
      <c r="BB237" s="249">
        <v>39.499646808685341</v>
      </c>
      <c r="BC237" s="243">
        <v>208.20101084879306</v>
      </c>
      <c r="BD237" s="209">
        <v>97587.11161162809</v>
      </c>
      <c r="BE237" s="243">
        <v>47.076071521194912</v>
      </c>
      <c r="BF237">
        <v>327222.00060410087</v>
      </c>
      <c r="BG237" t="s">
        <v>390</v>
      </c>
      <c r="BH237">
        <v>7.1780001194144903E-6</v>
      </c>
      <c r="BI237">
        <v>2175871.1161162807</v>
      </c>
      <c r="BJ237">
        <f t="shared" si="13"/>
        <v>0.15038666499151865</v>
      </c>
    </row>
    <row r="238" spans="1:62" x14ac:dyDescent="0.3">
      <c r="A238">
        <v>-0.6</v>
      </c>
      <c r="B238" s="146">
        <v>1000</v>
      </c>
      <c r="C238" s="146">
        <v>25</v>
      </c>
      <c r="D238" s="146">
        <v>400</v>
      </c>
      <c r="E238" s="252">
        <v>18.442806841163371</v>
      </c>
      <c r="F238" s="146">
        <v>3.352531755046753</v>
      </c>
      <c r="G238" s="146">
        <v>20.764043172241266</v>
      </c>
      <c r="H238" s="146">
        <v>18.324795056487478</v>
      </c>
      <c r="I238" s="146"/>
      <c r="J238" s="146">
        <v>0.66511928874777471</v>
      </c>
      <c r="K238" s="146">
        <v>0.27</v>
      </c>
      <c r="L238" s="146">
        <v>124.51762276189663</v>
      </c>
      <c r="M238" s="146">
        <v>54.250416556013057</v>
      </c>
      <c r="N238" s="146">
        <v>2.7159490867773606</v>
      </c>
      <c r="O238" s="146"/>
      <c r="P238" s="146"/>
      <c r="Q238" s="146"/>
      <c r="R238" s="146"/>
      <c r="S238" s="146"/>
      <c r="T238" s="146"/>
      <c r="U238" s="146"/>
      <c r="V238" s="146"/>
      <c r="W238" s="146"/>
      <c r="X238" s="146"/>
      <c r="Y238" s="146"/>
      <c r="Z238" s="146">
        <v>0.14821170323625751</v>
      </c>
      <c r="AA238" s="146"/>
      <c r="AB238" s="146"/>
      <c r="AC238" s="146"/>
      <c r="AD238" s="146"/>
      <c r="AE238" s="146"/>
      <c r="AF238" s="146"/>
      <c r="AG238" s="146"/>
      <c r="AH238" s="146"/>
      <c r="AI238" s="146"/>
      <c r="AJ238" s="146"/>
      <c r="AK238" s="146"/>
      <c r="AL238" s="146">
        <v>1551.5435070126612</v>
      </c>
      <c r="AM238" s="146">
        <v>0.16145852362359933</v>
      </c>
      <c r="AN238" s="146">
        <v>0.11488071860851615</v>
      </c>
      <c r="AO238" s="146">
        <v>239.46125107371847</v>
      </c>
      <c r="AP238" s="146">
        <v>193.56896362398328</v>
      </c>
      <c r="AQ238" t="s">
        <v>327</v>
      </c>
      <c r="AR238">
        <f t="shared" si="16"/>
        <v>14.644015877877388</v>
      </c>
      <c r="AS238">
        <f t="shared" si="17"/>
        <v>3.9965468373646496</v>
      </c>
      <c r="AT238">
        <v>0.3</v>
      </c>
      <c r="AU238">
        <v>1</v>
      </c>
      <c r="AV238">
        <v>0.4</v>
      </c>
      <c r="AW238" s="146">
        <v>3</v>
      </c>
      <c r="AX238" s="146">
        <v>0.57409586307083349</v>
      </c>
      <c r="AY238">
        <v>0.27</v>
      </c>
      <c r="AZ238" s="209">
        <v>193.56896362398328</v>
      </c>
      <c r="BA238">
        <v>0.57409586307083349</v>
      </c>
      <c r="BB238" s="249">
        <v>40.696693159172824</v>
      </c>
      <c r="BC238" s="243">
        <v>209.5170966356483</v>
      </c>
      <c r="BD238" s="209">
        <v>99001.667633801728</v>
      </c>
      <c r="BE238" s="243">
        <v>48.471084786159302</v>
      </c>
      <c r="BF238">
        <v>326615.80976984539</v>
      </c>
      <c r="BG238" t="s">
        <v>390</v>
      </c>
      <c r="BH238">
        <v>7.0678018069395293E-6</v>
      </c>
      <c r="BI238">
        <v>2190016.676338017</v>
      </c>
      <c r="BJ238">
        <f t="shared" si="13"/>
        <v>0.14913850350947466</v>
      </c>
    </row>
    <row r="239" spans="1:62" x14ac:dyDescent="0.3">
      <c r="A239">
        <v>-0.7</v>
      </c>
      <c r="B239" s="146">
        <v>1000</v>
      </c>
      <c r="C239" s="146">
        <v>25</v>
      </c>
      <c r="D239" s="146">
        <v>400</v>
      </c>
      <c r="E239" s="252">
        <v>18.001146566371727</v>
      </c>
      <c r="F239" s="146">
        <v>3.8257414949985984</v>
      </c>
      <c r="G239" s="146">
        <v>20.568264839467879</v>
      </c>
      <c r="H239" s="146">
        <v>18.341804582032271</v>
      </c>
      <c r="I239" s="146"/>
      <c r="J239" s="146">
        <v>0.69430048969431546</v>
      </c>
      <c r="K239" s="146">
        <v>0.27</v>
      </c>
      <c r="L239" s="146">
        <v>124.98815940985783</v>
      </c>
      <c r="M239" s="146">
        <v>54.455422149523123</v>
      </c>
      <c r="N239" s="146">
        <v>2.3579136301779506</v>
      </c>
      <c r="O239" s="146"/>
      <c r="P239" s="146"/>
      <c r="Q239" s="146"/>
      <c r="R239" s="146"/>
      <c r="S239" s="146"/>
      <c r="T239" s="146"/>
      <c r="U239" s="146"/>
      <c r="V239" s="146"/>
      <c r="W239" s="146"/>
      <c r="X239" s="146"/>
      <c r="Y239" s="146"/>
      <c r="Z239" s="146">
        <v>0.12855407000071167</v>
      </c>
      <c r="AA239" s="146"/>
      <c r="AB239" s="146"/>
      <c r="AC239" s="146"/>
      <c r="AD239" s="146"/>
      <c r="AE239" s="146"/>
      <c r="AF239" s="146"/>
      <c r="AG239" s="146"/>
      <c r="AH239" s="146"/>
      <c r="AI239" s="146"/>
      <c r="AJ239" s="146"/>
      <c r="AK239" s="146"/>
      <c r="AL239" s="146">
        <v>1319.5384841401205</v>
      </c>
      <c r="AM239" s="146">
        <v>0.18600215063632825</v>
      </c>
      <c r="AN239" s="146">
        <v>8.3872530080508059E-2</v>
      </c>
      <c r="AO239" s="146">
        <v>185.37494279601819</v>
      </c>
      <c r="AP239" s="146">
        <v>140.58166905114462</v>
      </c>
      <c r="AQ239" t="s">
        <v>327</v>
      </c>
      <c r="AR239">
        <f t="shared" si="16"/>
        <v>14.644015877877388</v>
      </c>
      <c r="AS239">
        <f t="shared" si="17"/>
        <v>3.9965468373646496</v>
      </c>
      <c r="AT239">
        <v>0.3</v>
      </c>
      <c r="AU239">
        <v>1</v>
      </c>
      <c r="AV239">
        <v>0.4</v>
      </c>
      <c r="AW239" s="146">
        <v>3</v>
      </c>
      <c r="AX239" s="146">
        <v>0.59450849364016223</v>
      </c>
      <c r="AY239">
        <v>0.27</v>
      </c>
      <c r="AZ239" s="209">
        <v>140.58166905114462</v>
      </c>
      <c r="BA239">
        <v>0.59450849364016223</v>
      </c>
      <c r="BB239" s="249">
        <v>42.954982375573408</v>
      </c>
      <c r="BC239" s="243">
        <v>210.80508294163508</v>
      </c>
      <c r="BD239" s="209">
        <v>101173.05028578803</v>
      </c>
      <c r="BE239" s="243">
        <v>50.893927297106202</v>
      </c>
      <c r="BF239">
        <v>321881.87411117996</v>
      </c>
      <c r="BG239" t="s">
        <v>390</v>
      </c>
      <c r="BH239">
        <v>6.8456456510031627E-6</v>
      </c>
      <c r="BI239">
        <v>2211730.5028578802</v>
      </c>
      <c r="BJ239">
        <f t="shared" si="13"/>
        <v>0.14553394895773303</v>
      </c>
    </row>
    <row r="240" spans="1:62" x14ac:dyDescent="0.3">
      <c r="A240">
        <v>-0.8</v>
      </c>
      <c r="B240" s="146">
        <v>1000</v>
      </c>
      <c r="C240" s="146">
        <v>25</v>
      </c>
      <c r="D240" s="146">
        <v>400</v>
      </c>
      <c r="E240" s="252">
        <v>17.352436412993189</v>
      </c>
      <c r="F240" s="146">
        <v>5.551476372883573</v>
      </c>
      <c r="G240" s="146">
        <v>20.85553870699988</v>
      </c>
      <c r="H240" s="146">
        <v>18.87437766405796</v>
      </c>
      <c r="I240" s="146"/>
      <c r="J240" s="146">
        <v>0.92054400006275428</v>
      </c>
      <c r="K240" s="146">
        <v>0.27</v>
      </c>
      <c r="L240" s="146">
        <v>133.24514068428437</v>
      </c>
      <c r="M240" s="146">
        <v>58.052862123858333</v>
      </c>
      <c r="N240" s="146">
        <v>1.324625085132574</v>
      </c>
      <c r="O240" s="146"/>
      <c r="P240" s="146"/>
      <c r="Q240" s="146"/>
      <c r="R240" s="146"/>
      <c r="S240" s="146"/>
      <c r="T240" s="146"/>
      <c r="U240" s="146"/>
      <c r="V240" s="146"/>
      <c r="W240" s="146"/>
      <c r="X240" s="146"/>
      <c r="Y240" s="146"/>
      <c r="Z240" s="146">
        <v>7.0181126430198915E-2</v>
      </c>
      <c r="AA240" s="146"/>
      <c r="AB240" s="146"/>
      <c r="AC240" s="146"/>
      <c r="AD240" s="146"/>
      <c r="AE240" s="146"/>
      <c r="AF240" s="146"/>
      <c r="AG240" s="146"/>
      <c r="AH240" s="146"/>
      <c r="AI240" s="146"/>
      <c r="AJ240" s="146"/>
      <c r="AK240" s="146"/>
      <c r="AL240" s="146">
        <v>702.476999027445</v>
      </c>
      <c r="AM240" s="146">
        <v>0.26618714821402789</v>
      </c>
      <c r="AN240" s="146">
        <v>5.4798927488606597E-2</v>
      </c>
      <c r="AO240" s="146">
        <v>83.343503089527019</v>
      </c>
      <c r="AP240" s="146">
        <v>40.164456461156433</v>
      </c>
      <c r="AQ240" t="s">
        <v>327</v>
      </c>
      <c r="AR240">
        <f t="shared" si="16"/>
        <v>14.644015877877388</v>
      </c>
      <c r="AS240">
        <f t="shared" si="17"/>
        <v>3.9965468373646496</v>
      </c>
      <c r="AT240">
        <v>0.3</v>
      </c>
      <c r="AU240">
        <v>1</v>
      </c>
      <c r="AV240">
        <v>0.4</v>
      </c>
      <c r="AW240" s="146">
        <v>3</v>
      </c>
      <c r="AX240" s="146">
        <v>0.88600728159944753</v>
      </c>
      <c r="AY240">
        <v>0.27</v>
      </c>
      <c r="AZ240" s="209">
        <v>40.164456461156433</v>
      </c>
      <c r="BA240">
        <v>0.88600728159944753</v>
      </c>
      <c r="BB240" s="249">
        <v>49.870957263373903</v>
      </c>
      <c r="BC240" s="243">
        <v>234.76900316905329</v>
      </c>
      <c r="BD240" s="209">
        <v>115037.55818091263</v>
      </c>
      <c r="BE240" s="243">
        <v>56.176639856908665</v>
      </c>
      <c r="BF240">
        <v>340653.06078881631</v>
      </c>
      <c r="BG240" t="s">
        <v>390</v>
      </c>
      <c r="BH240">
        <v>6.1891794804630366E-6</v>
      </c>
      <c r="BI240">
        <v>2350375.5818091263</v>
      </c>
      <c r="BJ240">
        <f t="shared" si="13"/>
        <v>0.14493558536998138</v>
      </c>
    </row>
    <row r="241" spans="1:62" x14ac:dyDescent="0.3">
      <c r="A241">
        <v>-0.85</v>
      </c>
      <c r="B241" s="146">
        <v>1000</v>
      </c>
      <c r="C241" s="146">
        <v>25</v>
      </c>
      <c r="D241" s="146">
        <v>400</v>
      </c>
      <c r="E241" s="252">
        <v>11.941121129032609</v>
      </c>
      <c r="F241" s="146">
        <v>3.5497019606741929</v>
      </c>
      <c r="G241" s="146">
        <v>14.137738646165506</v>
      </c>
      <c r="H241" s="146">
        <v>12.782650803817488</v>
      </c>
      <c r="I241" s="146"/>
      <c r="J241" s="146">
        <v>0.80765188749219974</v>
      </c>
      <c r="K241" s="146">
        <v>0.27</v>
      </c>
      <c r="L241" s="146">
        <v>88.912168408157456</v>
      </c>
      <c r="M241" s="146">
        <v>38.737666733844534</v>
      </c>
      <c r="N241" s="146">
        <v>1.2918372471084538</v>
      </c>
      <c r="O241" s="146"/>
      <c r="P241" s="146"/>
      <c r="Q241" s="146"/>
      <c r="R241" s="146"/>
      <c r="S241" s="146"/>
      <c r="T241" s="146"/>
      <c r="U241" s="146"/>
      <c r="V241" s="146"/>
      <c r="W241" s="146"/>
      <c r="X241" s="146"/>
      <c r="Y241" s="146"/>
      <c r="Z241" s="146">
        <v>0.10106176464764662</v>
      </c>
      <c r="AA241" s="146"/>
      <c r="AB241" s="146"/>
      <c r="AC241" s="146"/>
      <c r="AD241" s="146"/>
      <c r="AE241" s="146"/>
      <c r="AF241" s="146"/>
      <c r="AG241" s="146"/>
      <c r="AH241" s="146"/>
      <c r="AI241" s="146"/>
      <c r="AJ241" s="146"/>
      <c r="AK241" s="146"/>
      <c r="AL241" s="146">
        <v>719.47775361085837</v>
      </c>
      <c r="AM241" s="146">
        <v>0.25107989682897108</v>
      </c>
      <c r="AN241" s="146">
        <v>4.0242776954327542E-2</v>
      </c>
      <c r="AO241" s="146">
        <v>103.2729341072843</v>
      </c>
      <c r="AP241" s="146">
        <v>73.559130056632014</v>
      </c>
      <c r="AQ241" t="s">
        <v>327</v>
      </c>
      <c r="AR241">
        <f t="shared" si="16"/>
        <v>14.644015877877388</v>
      </c>
      <c r="AS241">
        <f t="shared" si="17"/>
        <v>3.9965468373646496</v>
      </c>
      <c r="AT241">
        <v>0.3</v>
      </c>
      <c r="AU241">
        <v>1</v>
      </c>
      <c r="AV241">
        <v>0.4</v>
      </c>
      <c r="AW241" s="146">
        <v>3</v>
      </c>
      <c r="AX241" s="146">
        <v>0.71812197903099051</v>
      </c>
      <c r="AY241">
        <v>0.27</v>
      </c>
      <c r="AZ241" s="209">
        <v>73.559130056632014</v>
      </c>
      <c r="BA241">
        <v>0.71812197903099051</v>
      </c>
      <c r="BB241" s="249">
        <v>34.749611991207516</v>
      </c>
      <c r="BC241" s="243">
        <v>129.24425040812326</v>
      </c>
      <c r="BD241" s="209">
        <v>60459.391074562656</v>
      </c>
      <c r="BE241" s="243">
        <v>39.462364310197202</v>
      </c>
      <c r="BF241">
        <v>675792.6611350415</v>
      </c>
      <c r="BG241" t="s">
        <v>390</v>
      </c>
      <c r="BH241">
        <v>4.4870723105423428E-6</v>
      </c>
      <c r="BI241">
        <v>1804593.9107456265</v>
      </c>
      <c r="BJ241">
        <f t="shared" si="13"/>
        <v>0.37448461790265924</v>
      </c>
    </row>
    <row r="242" spans="1:62" s="261" customFormat="1" ht="15" thickBot="1" x14ac:dyDescent="0.35">
      <c r="A242" s="256">
        <v>-0.87</v>
      </c>
      <c r="B242" s="256">
        <v>1000</v>
      </c>
      <c r="C242" s="256">
        <v>25</v>
      </c>
      <c r="D242" s="256">
        <v>400</v>
      </c>
      <c r="E242" s="260">
        <v>3.9576026490883698</v>
      </c>
      <c r="F242" s="261">
        <v>0.79495325032056374</v>
      </c>
      <c r="G242" s="261">
        <v>4.4659340458784049</v>
      </c>
      <c r="H242" s="261">
        <v>3.9184664901492829</v>
      </c>
      <c r="J242" s="261">
        <v>0.6427802677982275</v>
      </c>
      <c r="K242" s="261">
        <v>0.27</v>
      </c>
      <c r="L242" s="261">
        <v>26.797728080086141</v>
      </c>
      <c r="M242" s="261">
        <v>11.675358707091469</v>
      </c>
      <c r="N242" s="261">
        <v>0.9851411269907886</v>
      </c>
      <c r="Z242" s="261">
        <v>0.25140986390144104</v>
      </c>
      <c r="AL242" s="261">
        <v>777.697593048366</v>
      </c>
      <c r="AM242" s="261">
        <v>0.17800380438986182</v>
      </c>
      <c r="AN242" s="261">
        <v>3.7682555686860235E-2</v>
      </c>
      <c r="AO242" s="261">
        <v>294.97520598189226</v>
      </c>
      <c r="AP242" s="261">
        <v>285.12702955297163</v>
      </c>
      <c r="AQ242" s="254" t="s">
        <v>327</v>
      </c>
      <c r="AR242" s="254">
        <f t="shared" si="16"/>
        <v>14.644015877877388</v>
      </c>
      <c r="AS242" s="254">
        <f t="shared" si="17"/>
        <v>3.9965468373646496</v>
      </c>
      <c r="AT242" s="254">
        <v>0.3</v>
      </c>
      <c r="AU242" s="261">
        <v>1</v>
      </c>
      <c r="AV242" s="254">
        <v>0.4</v>
      </c>
      <c r="AW242" s="146">
        <v>3</v>
      </c>
      <c r="AX242" s="256">
        <v>0.53481088886747363</v>
      </c>
      <c r="AY242" s="254">
        <v>0.27</v>
      </c>
      <c r="AZ242" s="258">
        <v>285.12702955297163</v>
      </c>
      <c r="BA242" s="261">
        <v>0.53481088886747363</v>
      </c>
      <c r="BB242" s="260">
        <v>9.7519447112865834</v>
      </c>
      <c r="BC242" s="262">
        <v>33.139360773304404</v>
      </c>
      <c r="BD242" s="263">
        <v>12524.800523322161</v>
      </c>
      <c r="BE242" s="262">
        <v>11.202547878596926</v>
      </c>
      <c r="BF242" s="261">
        <v>880293.16377118661</v>
      </c>
      <c r="BG242" t="s">
        <v>390</v>
      </c>
      <c r="BH242" s="261">
        <v>1.4081310213143099E-6</v>
      </c>
      <c r="BI242" s="261">
        <v>1325248.0052332217</v>
      </c>
      <c r="BJ242">
        <f t="shared" si="13"/>
        <v>0.66424786930071222</v>
      </c>
    </row>
    <row r="243" spans="1:62" x14ac:dyDescent="0.3">
      <c r="A243">
        <v>-0.1</v>
      </c>
      <c r="B243" s="146">
        <v>100</v>
      </c>
      <c r="C243" s="146">
        <v>25</v>
      </c>
      <c r="D243" s="146">
        <v>400</v>
      </c>
      <c r="E243" s="249">
        <v>3.252158653330377</v>
      </c>
      <c r="F243">
        <v>0.89151221233717726</v>
      </c>
      <c r="G243">
        <v>3.9209944244767905</v>
      </c>
      <c r="H243">
        <v>0.89089598693052607</v>
      </c>
      <c r="J243">
        <v>0.14514584835762717</v>
      </c>
      <c r="K243">
        <v>0.08</v>
      </c>
      <c r="L243">
        <v>17.921704605107706</v>
      </c>
      <c r="M243">
        <v>10.010761427921199</v>
      </c>
      <c r="N243">
        <v>0.32019466486722004</v>
      </c>
      <c r="Z243">
        <v>0.35940746121262918</v>
      </c>
      <c r="AL243">
        <v>536.36187023644447</v>
      </c>
      <c r="AM243">
        <v>0.2273689059009919</v>
      </c>
      <c r="AN243">
        <v>0.20790235529212031</v>
      </c>
      <c r="AO243">
        <v>384.35727845044937</v>
      </c>
      <c r="AP243">
        <v>376.26453780283435</v>
      </c>
      <c r="AQ243" t="s">
        <v>382</v>
      </c>
      <c r="AR243">
        <f t="shared" ref="AR243:AR282" si="18">0.15*Jsat_t</f>
        <v>4.8813386259591285</v>
      </c>
      <c r="AS243">
        <f t="shared" ref="AS243:AS282" si="19">0.05*Jatp</f>
        <v>1.3321822791215501</v>
      </c>
      <c r="AT243">
        <v>0.1</v>
      </c>
      <c r="AU243">
        <v>0</v>
      </c>
      <c r="AV243">
        <v>0.2</v>
      </c>
      <c r="AW243">
        <v>3</v>
      </c>
      <c r="AX243">
        <v>8.2942398518651511E-2</v>
      </c>
      <c r="AY243">
        <v>0.08</v>
      </c>
      <c r="AZ243" s="209">
        <v>376.26453780283435</v>
      </c>
      <c r="BA243">
        <v>8.2942398518651511E-2</v>
      </c>
      <c r="BB243" s="249">
        <v>10.114275247127354</v>
      </c>
      <c r="BC243" s="243">
        <v>69.866176557647648</v>
      </c>
      <c r="BD243" s="209">
        <v>26063.242448987472</v>
      </c>
      <c r="BE243" s="243">
        <v>19.36568943348238</v>
      </c>
      <c r="BF243">
        <v>18650.909051342096</v>
      </c>
      <c r="BG243" t="s">
        <v>387</v>
      </c>
      <c r="BH243">
        <v>1.9925853027821685E-6</v>
      </c>
      <c r="BI243">
        <v>1460632.4244898746</v>
      </c>
      <c r="BJ243">
        <f t="shared" si="13"/>
        <v>1.2769064097598627E-2</v>
      </c>
    </row>
    <row r="244" spans="1:62" x14ac:dyDescent="0.3">
      <c r="A244">
        <v>-0.1</v>
      </c>
      <c r="B244" s="146">
        <v>200</v>
      </c>
      <c r="C244" s="146">
        <v>25</v>
      </c>
      <c r="D244" s="146">
        <v>400</v>
      </c>
      <c r="E244" s="252">
        <v>5.9361727858657893</v>
      </c>
      <c r="F244" s="146">
        <v>1.6466983880672732</v>
      </c>
      <c r="G244" s="146">
        <v>7.0899363990298667</v>
      </c>
      <c r="H244" s="146">
        <v>1.6459487741598942</v>
      </c>
      <c r="I244" s="146"/>
      <c r="J244" s="146">
        <v>0.14235497228221775</v>
      </c>
      <c r="K244" s="146">
        <v>0.08</v>
      </c>
      <c r="L244" s="146">
        <v>33.172684393504277</v>
      </c>
      <c r="M244" s="146">
        <v>18.529701091739447</v>
      </c>
      <c r="N244" s="146">
        <v>0.51718396000487954</v>
      </c>
      <c r="O244" s="146"/>
      <c r="P244" s="146"/>
      <c r="Q244" s="146"/>
      <c r="R244" s="146"/>
      <c r="S244" s="146"/>
      <c r="T244" s="146"/>
      <c r="U244" s="146"/>
      <c r="V244" s="146"/>
      <c r="W244" s="146"/>
      <c r="X244" s="146"/>
      <c r="Y244" s="146"/>
      <c r="Z244" s="146">
        <v>0.31421631591715515</v>
      </c>
      <c r="AA244" s="146"/>
      <c r="AB244" s="146"/>
      <c r="AC244" s="146"/>
      <c r="AD244" s="146"/>
      <c r="AE244" s="146"/>
      <c r="AF244" s="146"/>
      <c r="AG244" s="146"/>
      <c r="AH244" s="146"/>
      <c r="AI244" s="146"/>
      <c r="AJ244" s="146"/>
      <c r="AK244" s="146"/>
      <c r="AL244" s="146">
        <v>618.22811854796578</v>
      </c>
      <c r="AM244" s="146">
        <v>0.23225855570334805</v>
      </c>
      <c r="AN244" s="146">
        <v>0.23195110226608356</v>
      </c>
      <c r="AO244" s="146">
        <v>374.40765433804194</v>
      </c>
      <c r="AP244" s="146">
        <v>359.63613854552614</v>
      </c>
      <c r="AQ244" t="s">
        <v>382</v>
      </c>
      <c r="AR244">
        <f t="shared" si="18"/>
        <v>4.8813386259591285</v>
      </c>
      <c r="AS244">
        <f t="shared" si="19"/>
        <v>1.3321822791215501</v>
      </c>
      <c r="AT244">
        <v>0.1</v>
      </c>
      <c r="AU244">
        <v>0</v>
      </c>
      <c r="AV244">
        <v>0.2</v>
      </c>
      <c r="AW244">
        <v>3</v>
      </c>
      <c r="AX244">
        <v>8.3714059580380237E-2</v>
      </c>
      <c r="AY244">
        <v>0.08</v>
      </c>
      <c r="AZ244" s="209">
        <v>359.63613854552614</v>
      </c>
      <c r="BA244">
        <v>8.3714059580380237E-2</v>
      </c>
      <c r="BB244" s="249">
        <v>18.510296054306096</v>
      </c>
      <c r="BC244" s="243">
        <v>101.66063609845347</v>
      </c>
      <c r="BD244" s="209">
        <v>42239.46148921999</v>
      </c>
      <c r="BE244" s="243">
        <v>30.505131553722919</v>
      </c>
      <c r="BF244">
        <v>51470.565928751326</v>
      </c>
      <c r="BG244" t="s">
        <v>387</v>
      </c>
      <c r="BH244">
        <v>3.332036663509986E-6</v>
      </c>
      <c r="BI244">
        <v>1622394.6148921999</v>
      </c>
      <c r="BJ244">
        <f t="shared" si="13"/>
        <v>3.1725059647200134E-2</v>
      </c>
    </row>
    <row r="245" spans="1:62" x14ac:dyDescent="0.3">
      <c r="A245">
        <v>-0.1</v>
      </c>
      <c r="B245" s="146">
        <v>300</v>
      </c>
      <c r="C245" s="146">
        <v>25</v>
      </c>
      <c r="D245" s="146">
        <v>400</v>
      </c>
      <c r="E245" s="252">
        <v>8.2117886862932181</v>
      </c>
      <c r="F245" s="146">
        <v>2.3241100363251284</v>
      </c>
      <c r="G245" s="146">
        <v>9.7841019387829018</v>
      </c>
      <c r="H245" s="146">
        <v>2.3104708907625828</v>
      </c>
      <c r="I245" s="146"/>
      <c r="J245" s="146">
        <v>0.14100454497870696</v>
      </c>
      <c r="K245" s="146">
        <v>0.08</v>
      </c>
      <c r="L245" s="146">
        <v>46.630457049488932</v>
      </c>
      <c r="M245" s="146">
        <v>26.046985545354854</v>
      </c>
      <c r="N245" s="146">
        <v>0.66145502615912344</v>
      </c>
      <c r="O245" s="146"/>
      <c r="P245" s="146"/>
      <c r="Q245" s="146"/>
      <c r="R245" s="146"/>
      <c r="S245" s="146"/>
      <c r="T245" s="146"/>
      <c r="U245" s="146"/>
      <c r="V245" s="146"/>
      <c r="W245" s="146"/>
      <c r="X245" s="146"/>
      <c r="Y245" s="146"/>
      <c r="Z245" s="146">
        <v>0.28628580814571819</v>
      </c>
      <c r="AA245" s="146"/>
      <c r="AB245" s="146"/>
      <c r="AC245" s="146"/>
      <c r="AD245" s="146"/>
      <c r="AE245" s="146"/>
      <c r="AF245" s="146"/>
      <c r="AG245" s="146"/>
      <c r="AH245" s="146"/>
      <c r="AI245" s="146"/>
      <c r="AJ245" s="146"/>
      <c r="AK245" s="146"/>
      <c r="AL245" s="146">
        <v>676.79715157041653</v>
      </c>
      <c r="AM245" s="146">
        <v>0.23753943395792512</v>
      </c>
      <c r="AN245" s="146">
        <v>0.24515629392708765</v>
      </c>
      <c r="AO245" s="146">
        <v>366.5038634956054</v>
      </c>
      <c r="AP245" s="146">
        <v>346.06963849085452</v>
      </c>
      <c r="AQ245" t="s">
        <v>382</v>
      </c>
      <c r="AR245">
        <f t="shared" si="18"/>
        <v>4.8813386259591285</v>
      </c>
      <c r="AS245">
        <f t="shared" si="19"/>
        <v>1.3321822791215501</v>
      </c>
      <c r="AT245">
        <v>0.1</v>
      </c>
      <c r="AU245">
        <v>0</v>
      </c>
      <c r="AV245">
        <v>0.2</v>
      </c>
      <c r="AW245">
        <v>3</v>
      </c>
      <c r="AX245">
        <v>8.4790082600522398E-2</v>
      </c>
      <c r="AY245">
        <v>0.08</v>
      </c>
      <c r="AZ245" s="209">
        <v>346.06963849085452</v>
      </c>
      <c r="BA245">
        <v>8.4790082600522398E-2</v>
      </c>
      <c r="BB245" s="249">
        <v>25.880241254510366</v>
      </c>
      <c r="BC245" s="243">
        <v>124.52732462398899</v>
      </c>
      <c r="BD245" s="209">
        <v>55470.859402059774</v>
      </c>
      <c r="BE245" s="243">
        <v>39.575969106858899</v>
      </c>
      <c r="BF245">
        <v>88770.868588465586</v>
      </c>
      <c r="BG245" t="s">
        <v>387</v>
      </c>
      <c r="BH245">
        <v>4.2320332537843844E-6</v>
      </c>
      <c r="BI245">
        <v>1754708.5940205976</v>
      </c>
      <c r="BJ245">
        <f t="shared" si="13"/>
        <v>5.0590091648815137E-2</v>
      </c>
    </row>
    <row r="246" spans="1:62" x14ac:dyDescent="0.3">
      <c r="A246">
        <v>-0.1</v>
      </c>
      <c r="B246" s="146">
        <v>400</v>
      </c>
      <c r="C246" s="146">
        <v>25</v>
      </c>
      <c r="D246" s="146">
        <v>400</v>
      </c>
      <c r="E246" s="252">
        <v>10.17505964294009</v>
      </c>
      <c r="F246" s="146">
        <v>2.9424464109174142</v>
      </c>
      <c r="G246" s="146">
        <v>12.121552015780743</v>
      </c>
      <c r="H246" s="146">
        <v>2.904193613890147</v>
      </c>
      <c r="I246" s="146"/>
      <c r="J246" s="146">
        <v>0.1401094234391069</v>
      </c>
      <c r="K246" s="146">
        <v>0.08</v>
      </c>
      <c r="L246" s="146">
        <v>58.679324796806092</v>
      </c>
      <c r="M246" s="146">
        <v>32.777279518651909</v>
      </c>
      <c r="N246" s="146">
        <v>0.77531598191760764</v>
      </c>
      <c r="O246" s="146"/>
      <c r="P246" s="146"/>
      <c r="Q246" s="146"/>
      <c r="R246" s="146"/>
      <c r="S246" s="146"/>
      <c r="T246" s="146"/>
      <c r="U246" s="146"/>
      <c r="V246" s="146"/>
      <c r="W246" s="146"/>
      <c r="X246" s="146"/>
      <c r="Y246" s="146"/>
      <c r="Z246" s="146">
        <v>0.26696428854103749</v>
      </c>
      <c r="AA246" s="146"/>
      <c r="AB246" s="146"/>
      <c r="AC246" s="146"/>
      <c r="AD246" s="146"/>
      <c r="AE246" s="146"/>
      <c r="AF246" s="146"/>
      <c r="AG246" s="146"/>
      <c r="AH246" s="146"/>
      <c r="AI246" s="146"/>
      <c r="AJ246" s="146"/>
      <c r="AK246" s="146"/>
      <c r="AL246" s="146">
        <v>722.27241223215162</v>
      </c>
      <c r="AM246" s="146">
        <v>0.24274502201423689</v>
      </c>
      <c r="AN246" s="146">
        <v>0.25395490187894409</v>
      </c>
      <c r="AO246" s="146">
        <v>359.9335962107541</v>
      </c>
      <c r="AP246" s="146">
        <v>334.61442127334772</v>
      </c>
      <c r="AQ246" t="s">
        <v>382</v>
      </c>
      <c r="AR246">
        <f t="shared" si="18"/>
        <v>4.8813386259591285</v>
      </c>
      <c r="AS246">
        <f t="shared" si="19"/>
        <v>1.3321822791215501</v>
      </c>
      <c r="AT246">
        <v>0.1</v>
      </c>
      <c r="AU246">
        <v>0</v>
      </c>
      <c r="AV246">
        <v>0.2</v>
      </c>
      <c r="AW246">
        <v>3</v>
      </c>
      <c r="AX246">
        <v>8.5641116262917802E-2</v>
      </c>
      <c r="AY246">
        <v>0.08</v>
      </c>
      <c r="AZ246" s="209">
        <v>334.61442127334772</v>
      </c>
      <c r="BA246">
        <v>8.5641116262917802E-2</v>
      </c>
      <c r="BB246" s="249">
        <v>32.476420447127687</v>
      </c>
      <c r="BC246" s="243">
        <v>142.71483904746813</v>
      </c>
      <c r="BD246" s="209">
        <v>66874.923552350083</v>
      </c>
      <c r="BE246" s="243">
        <v>47.392827905311115</v>
      </c>
      <c r="BF246">
        <v>127602.90091088491</v>
      </c>
      <c r="BG246" t="s">
        <v>387</v>
      </c>
      <c r="BH246">
        <v>4.8669976693500424E-6</v>
      </c>
      <c r="BI246">
        <v>1868749.2355235009</v>
      </c>
      <c r="BJ246">
        <f t="shared" si="13"/>
        <v>6.8282516715057792E-2</v>
      </c>
    </row>
    <row r="247" spans="1:62" x14ac:dyDescent="0.3">
      <c r="A247">
        <v>-0.1</v>
      </c>
      <c r="B247" s="146">
        <v>600</v>
      </c>
      <c r="C247" s="146">
        <v>25</v>
      </c>
      <c r="D247" s="146">
        <v>400</v>
      </c>
      <c r="E247" s="252">
        <v>13.385254193423886</v>
      </c>
      <c r="F247" s="146">
        <v>4.0328813331903817</v>
      </c>
      <c r="G247" s="146">
        <v>15.97887667602404</v>
      </c>
      <c r="H247" s="146">
        <v>3.9208906389617342</v>
      </c>
      <c r="I247" s="146"/>
      <c r="J247" s="146">
        <v>0.13890711035327216</v>
      </c>
      <c r="K247" s="146">
        <v>0.08</v>
      </c>
      <c r="L247" s="146">
        <v>79.364417784394362</v>
      </c>
      <c r="M247" s="146">
        <v>44.33162301308132</v>
      </c>
      <c r="N247" s="146">
        <v>0.94727040957152209</v>
      </c>
      <c r="O247" s="146"/>
      <c r="P247" s="146"/>
      <c r="Q247" s="146"/>
      <c r="R247" s="146"/>
      <c r="S247" s="146"/>
      <c r="T247" s="146"/>
      <c r="U247" s="146"/>
      <c r="V247" s="146"/>
      <c r="W247" s="146"/>
      <c r="X247" s="146"/>
      <c r="Y247" s="146"/>
      <c r="Z247" s="146">
        <v>0.241595723216183</v>
      </c>
      <c r="AA247" s="146"/>
      <c r="AB247" s="146"/>
      <c r="AC247" s="146"/>
      <c r="AD247" s="146"/>
      <c r="AE247" s="146"/>
      <c r="AF247" s="146"/>
      <c r="AG247" s="146"/>
      <c r="AH247" s="146"/>
      <c r="AI247" s="146"/>
      <c r="AJ247" s="146"/>
      <c r="AK247" s="146"/>
      <c r="AL247" s="146">
        <v>789.89528828473374</v>
      </c>
      <c r="AM247" s="146">
        <v>0.25238828829824023</v>
      </c>
      <c r="AN247" s="146">
        <v>0.26540876389656154</v>
      </c>
      <c r="AO247" s="146">
        <v>349.56739936952289</v>
      </c>
      <c r="AP247" s="146">
        <v>316.26008349897251</v>
      </c>
      <c r="AQ247" t="s">
        <v>382</v>
      </c>
      <c r="AR247">
        <f t="shared" si="18"/>
        <v>4.8813386259591285</v>
      </c>
      <c r="AS247">
        <f t="shared" si="19"/>
        <v>1.3321822791215501</v>
      </c>
      <c r="AT247">
        <v>0.1</v>
      </c>
      <c r="AU247">
        <v>0</v>
      </c>
      <c r="AV247">
        <v>0.2</v>
      </c>
      <c r="AW247">
        <v>3</v>
      </c>
      <c r="AX247">
        <v>8.6810742258180557E-2</v>
      </c>
      <c r="AY247">
        <v>0.08</v>
      </c>
      <c r="AZ247" s="209">
        <v>316.26008349897251</v>
      </c>
      <c r="BA247">
        <v>8.6810742258180557E-2</v>
      </c>
      <c r="BB247" s="249">
        <v>43.825538960133407</v>
      </c>
      <c r="BC247" s="243">
        <v>170.46070103642666</v>
      </c>
      <c r="BD247" s="209">
        <v>85719.316869069517</v>
      </c>
      <c r="BE247" s="243">
        <v>60.412025365558065</v>
      </c>
      <c r="BF247">
        <v>204521.58379271033</v>
      </c>
      <c r="BG247" t="s">
        <v>387</v>
      </c>
      <c r="BH247">
        <v>5.6759889031370953E-6</v>
      </c>
      <c r="BI247">
        <v>2057193.1686906952</v>
      </c>
      <c r="BJ247">
        <f t="shared" si="13"/>
        <v>9.9417782882721947E-2</v>
      </c>
    </row>
    <row r="248" spans="1:62" x14ac:dyDescent="0.3">
      <c r="A248">
        <v>-0.1</v>
      </c>
      <c r="B248" s="146">
        <v>800</v>
      </c>
      <c r="C248" s="146">
        <v>25</v>
      </c>
      <c r="D248" s="146">
        <v>400</v>
      </c>
      <c r="E248" s="252">
        <v>15.866549184802432</v>
      </c>
      <c r="F248" s="146">
        <v>4.9532317886764172</v>
      </c>
      <c r="G248" s="146">
        <v>18.996458893473854</v>
      </c>
      <c r="H248" s="146">
        <v>4.7510592544395971</v>
      </c>
      <c r="I248" s="146"/>
      <c r="J248" s="146">
        <v>0.13815676748094569</v>
      </c>
      <c r="K248" s="146">
        <v>0.08</v>
      </c>
      <c r="L248" s="146">
        <v>96.305598084326647</v>
      </c>
      <c r="M248" s="146">
        <v>53.794680128847311</v>
      </c>
      <c r="N248" s="146">
        <v>1.0713710795773963</v>
      </c>
      <c r="O248" s="146"/>
      <c r="P248" s="146"/>
      <c r="Q248" s="146"/>
      <c r="R248" s="146"/>
      <c r="S248" s="146"/>
      <c r="T248" s="146"/>
      <c r="U248" s="146"/>
      <c r="V248" s="146"/>
      <c r="W248" s="146"/>
      <c r="X248" s="146"/>
      <c r="Y248" s="146"/>
      <c r="Z248" s="146">
        <v>0.22550151917727829</v>
      </c>
      <c r="AA248" s="146"/>
      <c r="AB248" s="146"/>
      <c r="AC248" s="146"/>
      <c r="AD248" s="146"/>
      <c r="AE248" s="146"/>
      <c r="AF248" s="146"/>
      <c r="AG248" s="146"/>
      <c r="AH248" s="146"/>
      <c r="AI248" s="146"/>
      <c r="AJ248" s="146"/>
      <c r="AK248" s="146"/>
      <c r="AL248" s="146">
        <v>838.03389991795279</v>
      </c>
      <c r="AM248" s="146">
        <v>0.2607450060273116</v>
      </c>
      <c r="AN248" s="146">
        <v>0.27276169550505386</v>
      </c>
      <c r="AO248" s="146">
        <v>341.82999502395876</v>
      </c>
      <c r="AP248" s="146">
        <v>302.34836012925444</v>
      </c>
      <c r="AQ248" t="s">
        <v>382</v>
      </c>
      <c r="AR248">
        <f t="shared" si="18"/>
        <v>4.8813386259591285</v>
      </c>
      <c r="AS248">
        <f t="shared" si="19"/>
        <v>1.3321822791215501</v>
      </c>
      <c r="AT248">
        <v>0.1</v>
      </c>
      <c r="AU248">
        <v>0</v>
      </c>
      <c r="AV248">
        <v>0.2</v>
      </c>
      <c r="AW248">
        <v>3</v>
      </c>
      <c r="AX248">
        <v>8.758174103179428E-2</v>
      </c>
      <c r="AY248">
        <v>0.08</v>
      </c>
      <c r="AZ248" s="209">
        <v>302.34836012925444</v>
      </c>
      <c r="BA248">
        <v>8.758174103179428E-2</v>
      </c>
      <c r="BB248" s="249">
        <v>53.15045247980963</v>
      </c>
      <c r="BC248" s="243">
        <v>190.5089784336414</v>
      </c>
      <c r="BD248" s="209">
        <v>100466.15645865219</v>
      </c>
      <c r="BE248" s="243">
        <v>70.808547299643649</v>
      </c>
      <c r="BF248">
        <v>275925.54476249072</v>
      </c>
      <c r="BG248" t="s">
        <v>387</v>
      </c>
      <c r="BH248">
        <v>6.1443786639325259E-6</v>
      </c>
      <c r="BI248">
        <v>2204661.5645865221</v>
      </c>
      <c r="BJ248">
        <f t="shared" si="13"/>
        <v>0.12515551102930383</v>
      </c>
    </row>
    <row r="249" spans="1:62" x14ac:dyDescent="0.3">
      <c r="A249">
        <v>-0.1</v>
      </c>
      <c r="B249" s="146">
        <v>1000</v>
      </c>
      <c r="C249" s="146">
        <v>25</v>
      </c>
      <c r="D249" s="146">
        <v>400</v>
      </c>
      <c r="E249" s="252">
        <v>17.794615935075385</v>
      </c>
      <c r="F249" s="146">
        <v>5.7205082344555604</v>
      </c>
      <c r="G249" s="146">
        <v>21.365592014302909</v>
      </c>
      <c r="H249" s="146">
        <v>5.4278495345714326</v>
      </c>
      <c r="I249" s="146"/>
      <c r="J249" s="146">
        <v>0.13781531097284763</v>
      </c>
      <c r="K249" s="146">
        <v>0.08</v>
      </c>
      <c r="L249" s="146">
        <v>110.15490832298822</v>
      </c>
      <c r="M249" s="146">
        <v>61.530670861614688</v>
      </c>
      <c r="N249" s="146">
        <v>1.1626024496341323</v>
      </c>
      <c r="O249" s="146"/>
      <c r="P249" s="146"/>
      <c r="Q249" s="146"/>
      <c r="R249" s="146"/>
      <c r="S249" s="146"/>
      <c r="T249" s="146"/>
      <c r="U249" s="146"/>
      <c r="V249" s="146"/>
      <c r="W249" s="146"/>
      <c r="X249" s="146"/>
      <c r="Y249" s="146"/>
      <c r="Z249" s="146">
        <v>0.21419209250905075</v>
      </c>
      <c r="AA249" s="146"/>
      <c r="AB249" s="146"/>
      <c r="AC249" s="146"/>
      <c r="AD249" s="146"/>
      <c r="AE249" s="146"/>
      <c r="AF249" s="146"/>
      <c r="AG249" s="146"/>
      <c r="AH249" s="146"/>
      <c r="AI249" s="146"/>
      <c r="AJ249" s="146"/>
      <c r="AK249" s="146"/>
      <c r="AL249" s="146">
        <v>873.02215151687312</v>
      </c>
      <c r="AM249" s="146">
        <v>0.26774396097360853</v>
      </c>
      <c r="AN249" s="146">
        <v>0.27804246245040515</v>
      </c>
      <c r="AO249" s="146">
        <v>336.00036563390228</v>
      </c>
      <c r="AP249" s="146">
        <v>291.72092669980663</v>
      </c>
      <c r="AQ249" t="s">
        <v>382</v>
      </c>
      <c r="AR249">
        <f t="shared" si="18"/>
        <v>4.8813386259591285</v>
      </c>
      <c r="AS249">
        <f t="shared" si="19"/>
        <v>1.3321822791215501</v>
      </c>
      <c r="AT249">
        <v>0.1</v>
      </c>
      <c r="AU249">
        <v>0</v>
      </c>
      <c r="AV249">
        <v>0.2</v>
      </c>
      <c r="AW249">
        <v>3</v>
      </c>
      <c r="AX249">
        <v>8.8208921935113982E-2</v>
      </c>
      <c r="AY249">
        <v>0.08</v>
      </c>
      <c r="AZ249" s="209">
        <v>291.72092669980663</v>
      </c>
      <c r="BA249">
        <v>8.8208921935113982E-2</v>
      </c>
      <c r="BB249" s="249">
        <v>60.7671600366576</v>
      </c>
      <c r="BC249" s="243">
        <v>205.20286101875129</v>
      </c>
      <c r="BD249" s="209">
        <v>111934.43148086878</v>
      </c>
      <c r="BE249" s="243">
        <v>79.085923781146874</v>
      </c>
      <c r="BF249">
        <v>338981.31830891356</v>
      </c>
      <c r="BG249" t="s">
        <v>387</v>
      </c>
      <c r="BH249">
        <v>6.4344109365241478E-6</v>
      </c>
      <c r="BI249">
        <v>2319344.3148086877</v>
      </c>
      <c r="BJ249">
        <f t="shared" si="13"/>
        <v>0.14615394365750933</v>
      </c>
    </row>
    <row r="250" spans="1:62" x14ac:dyDescent="0.3">
      <c r="A250">
        <v>-0.1</v>
      </c>
      <c r="B250" s="146">
        <v>1300</v>
      </c>
      <c r="C250" s="146">
        <v>25</v>
      </c>
      <c r="D250" s="146">
        <v>400</v>
      </c>
      <c r="E250" s="252">
        <v>19.924159186663008</v>
      </c>
      <c r="F250" s="146">
        <v>6.6220722474993723</v>
      </c>
      <c r="G250" s="146">
        <v>24.007156039914491</v>
      </c>
      <c r="H250" s="146">
        <v>6.2126244345880481</v>
      </c>
      <c r="I250" s="146"/>
      <c r="J250" s="146">
        <v>0.13645511353936043</v>
      </c>
      <c r="K250" s="146">
        <v>0.08</v>
      </c>
      <c r="L250" s="146">
        <v>126.26441248016307</v>
      </c>
      <c r="M250" s="146">
        <v>70.529167734151045</v>
      </c>
      <c r="N250" s="146">
        <v>1.2781496156244048</v>
      </c>
      <c r="O250" s="146"/>
      <c r="P250" s="146"/>
      <c r="Q250" s="146"/>
      <c r="R250" s="146"/>
      <c r="S250" s="146"/>
      <c r="T250" s="146"/>
      <c r="U250" s="146"/>
      <c r="V250" s="146"/>
      <c r="W250" s="146"/>
      <c r="X250" s="146"/>
      <c r="Y250" s="146"/>
      <c r="Z250" s="146">
        <v>0.20573424791436912</v>
      </c>
      <c r="AA250" s="146"/>
      <c r="AB250" s="146"/>
      <c r="AC250" s="146"/>
      <c r="AD250" s="146"/>
      <c r="AE250" s="146"/>
      <c r="AF250" s="146"/>
      <c r="AG250" s="146"/>
      <c r="AH250" s="146"/>
      <c r="AI250" s="146"/>
      <c r="AJ250" s="146"/>
      <c r="AK250" s="146"/>
      <c r="AL250" s="146">
        <v>919.26761141414943</v>
      </c>
      <c r="AM250" s="146">
        <v>0.27583743099305313</v>
      </c>
      <c r="AN250" s="146">
        <v>0.28370365333254716</v>
      </c>
      <c r="AO250" s="146">
        <v>329.77122799575432</v>
      </c>
      <c r="AP250" s="146">
        <v>280.19280360194711</v>
      </c>
      <c r="AQ250" t="s">
        <v>382</v>
      </c>
      <c r="AR250">
        <f t="shared" si="18"/>
        <v>4.8813386259591285</v>
      </c>
      <c r="AS250">
        <f t="shared" si="19"/>
        <v>1.3321822791215501</v>
      </c>
      <c r="AT250">
        <v>0.1</v>
      </c>
      <c r="AU250">
        <v>0</v>
      </c>
      <c r="AV250">
        <v>0.2</v>
      </c>
      <c r="AW250">
        <v>3</v>
      </c>
      <c r="AX250">
        <v>8.8494911785987118E-2</v>
      </c>
      <c r="AY250">
        <v>0.08</v>
      </c>
      <c r="AZ250" s="209">
        <v>280.19280360194711</v>
      </c>
      <c r="BA250">
        <v>8.8494911785987118E-2</v>
      </c>
      <c r="BB250" s="249">
        <v>69.572384605866006</v>
      </c>
      <c r="BC250" s="243">
        <v>220.30304579346986</v>
      </c>
      <c r="BD250" s="209">
        <v>124495.94222829492</v>
      </c>
      <c r="BE250" s="243">
        <v>88.481246007248416</v>
      </c>
      <c r="BF250">
        <v>416714.41043537646</v>
      </c>
      <c r="BG250" t="s">
        <v>387</v>
      </c>
      <c r="BH250">
        <v>6.6944588430092961E-6</v>
      </c>
      <c r="BI250">
        <v>2444959.4222829491</v>
      </c>
      <c r="BJ250">
        <f t="shared" si="13"/>
        <v>0.17043817031788397</v>
      </c>
    </row>
    <row r="251" spans="1:62" x14ac:dyDescent="0.3">
      <c r="A251">
        <v>-0.1</v>
      </c>
      <c r="B251" s="227">
        <v>1600</v>
      </c>
      <c r="C251" s="146">
        <v>25</v>
      </c>
      <c r="D251" s="146">
        <v>400</v>
      </c>
      <c r="E251" s="252">
        <v>21.386693103951696</v>
      </c>
      <c r="F251" s="146">
        <v>7.2767219081102574</v>
      </c>
      <c r="G251" s="146">
        <v>25.836681816151341</v>
      </c>
      <c r="H251" s="146">
        <v>6.7840521609444169</v>
      </c>
      <c r="I251" s="146"/>
      <c r="J251" s="146">
        <v>0.13681349490719397</v>
      </c>
      <c r="K251" s="146">
        <v>0.08</v>
      </c>
      <c r="L251" s="146">
        <v>138.03660410449035</v>
      </c>
      <c r="M251" s="146">
        <v>77.104915099238482</v>
      </c>
      <c r="N251" s="146">
        <v>1.3420208972824303</v>
      </c>
      <c r="O251" s="146"/>
      <c r="P251" s="146"/>
      <c r="Q251" s="146"/>
      <c r="R251" s="146"/>
      <c r="S251" s="146"/>
      <c r="T251" s="146"/>
      <c r="U251" s="146"/>
      <c r="V251" s="146"/>
      <c r="W251" s="146"/>
      <c r="X251" s="146"/>
      <c r="Y251" s="146"/>
      <c r="Z251" s="146">
        <v>0.19781995560240589</v>
      </c>
      <c r="AA251" s="146"/>
      <c r="AB251" s="146"/>
      <c r="AC251" s="146"/>
      <c r="AD251" s="146"/>
      <c r="AE251" s="146"/>
      <c r="AF251" s="146"/>
      <c r="AG251" s="146"/>
      <c r="AH251" s="146"/>
      <c r="AI251" s="146"/>
      <c r="AJ251" s="146"/>
      <c r="AK251" s="146"/>
      <c r="AL251" s="146">
        <v>943.47766407151244</v>
      </c>
      <c r="AM251" s="146">
        <v>0.28164305152998959</v>
      </c>
      <c r="AN251" s="146">
        <v>0.28778436282234593</v>
      </c>
      <c r="AO251" s="146">
        <v>325.68500632136829</v>
      </c>
      <c r="AP251" s="146">
        <v>272.46721543029804</v>
      </c>
      <c r="AQ251" t="s">
        <v>382</v>
      </c>
      <c r="AR251">
        <f t="shared" si="18"/>
        <v>4.8813386259591285</v>
      </c>
      <c r="AS251">
        <f t="shared" si="19"/>
        <v>1.3321822791215501</v>
      </c>
      <c r="AT251">
        <v>0.1</v>
      </c>
      <c r="AU251">
        <v>0</v>
      </c>
      <c r="AV251">
        <v>0.2</v>
      </c>
      <c r="AW251">
        <v>3</v>
      </c>
      <c r="AX251">
        <v>8.9268758608357923E-2</v>
      </c>
      <c r="AY251">
        <v>0.08</v>
      </c>
      <c r="AZ251" s="209">
        <v>272.46721543029804</v>
      </c>
      <c r="BA251">
        <v>8.9268758608357923E-2</v>
      </c>
      <c r="BB251" s="249">
        <v>75.861348935845598</v>
      </c>
      <c r="BC251" s="243">
        <v>229.77032992083701</v>
      </c>
      <c r="BD251" s="209">
        <v>132801.84467409624</v>
      </c>
      <c r="BE251" s="243">
        <v>94.880773336969085</v>
      </c>
      <c r="BF251">
        <v>474790.33032773039</v>
      </c>
      <c r="BG251" t="s">
        <v>387</v>
      </c>
      <c r="BH251">
        <v>6.8484422600473533E-6</v>
      </c>
      <c r="BI251">
        <v>2528018.4467409626</v>
      </c>
      <c r="BJ251">
        <f t="shared" si="13"/>
        <v>0.18781126021442379</v>
      </c>
    </row>
    <row r="252" spans="1:62" s="140" customFormat="1" x14ac:dyDescent="0.3">
      <c r="A252" s="140">
        <v>-0.1</v>
      </c>
      <c r="B252" s="140">
        <v>1900</v>
      </c>
      <c r="C252" s="140">
        <v>25</v>
      </c>
      <c r="D252" s="140">
        <v>400</v>
      </c>
      <c r="E252" s="253">
        <v>22.425866737596881</v>
      </c>
      <c r="F252" s="140">
        <v>7.7599621045645808</v>
      </c>
      <c r="G252" s="140">
        <v>27.144263534531905</v>
      </c>
      <c r="H252" s="140">
        <v>7.2063002673597385</v>
      </c>
      <c r="J252" s="140">
        <v>0.13725763227598001</v>
      </c>
      <c r="K252" s="140">
        <v>0.08</v>
      </c>
      <c r="L252" s="140">
        <v>146.76270100940536</v>
      </c>
      <c r="M252" s="140">
        <v>81.979165413973021</v>
      </c>
      <c r="N252" s="140">
        <v>1.3852420923417705</v>
      </c>
      <c r="Z252" s="140">
        <v>0.19222652969597934</v>
      </c>
      <c r="AL252" s="140">
        <v>959.67790397445401</v>
      </c>
      <c r="AM252" s="140">
        <v>0.28587852806146868</v>
      </c>
      <c r="AN252" s="140">
        <v>0.29071798001448612</v>
      </c>
      <c r="AO252" s="140">
        <v>322.8604067196689</v>
      </c>
      <c r="AP252" s="140">
        <v>267.0568578035693</v>
      </c>
      <c r="AQ252" t="s">
        <v>382</v>
      </c>
      <c r="AR252">
        <f t="shared" si="18"/>
        <v>4.8813386259591285</v>
      </c>
      <c r="AS252">
        <f t="shared" si="19"/>
        <v>1.3321822791215501</v>
      </c>
      <c r="AT252">
        <v>0.1</v>
      </c>
      <c r="AU252">
        <v>0</v>
      </c>
      <c r="AV252">
        <v>0.2</v>
      </c>
      <c r="AW252">
        <v>3</v>
      </c>
      <c r="AX252">
        <v>8.9919429193406702E-2</v>
      </c>
      <c r="AY252">
        <v>0.08</v>
      </c>
      <c r="AZ252" s="209">
        <v>267.0568578035693</v>
      </c>
      <c r="BA252" s="140">
        <v>8.9919429193406702E-2</v>
      </c>
      <c r="BB252" s="253">
        <v>80.454784311094301</v>
      </c>
      <c r="BC252" s="245">
        <v>235.90838147100573</v>
      </c>
      <c r="BD252" s="210">
        <v>138514.94211620762</v>
      </c>
      <c r="BE252" s="245">
        <v>99.457916390087718</v>
      </c>
      <c r="BF252" s="140">
        <v>518410.41537346027</v>
      </c>
      <c r="BG252" t="s">
        <v>387</v>
      </c>
      <c r="BH252" s="140">
        <v>6.9479021013021323E-6</v>
      </c>
      <c r="BI252" s="140">
        <v>2585149.4211620763</v>
      </c>
      <c r="BJ252">
        <f t="shared" si="13"/>
        <v>0.20053402373175955</v>
      </c>
    </row>
    <row r="253" spans="1:62" x14ac:dyDescent="0.3">
      <c r="A253">
        <v>-0.1</v>
      </c>
      <c r="B253" s="146">
        <v>1000</v>
      </c>
      <c r="C253" s="146">
        <v>25</v>
      </c>
      <c r="D253" s="146">
        <v>200</v>
      </c>
      <c r="E253" s="252">
        <v>12.045498029369893</v>
      </c>
      <c r="F253" s="146">
        <v>9.6113775747974124</v>
      </c>
      <c r="G253" s="146">
        <v>17.665193203062763</v>
      </c>
      <c r="H253" s="146">
        <v>5.710147520353364</v>
      </c>
      <c r="I253" s="146"/>
      <c r="J253" s="146">
        <v>0.15919343719399565</v>
      </c>
      <c r="K253" s="146">
        <v>0.08</v>
      </c>
      <c r="L253" s="146">
        <v>116.40623375841092</v>
      </c>
      <c r="M253" s="146">
        <v>65.022555641619178</v>
      </c>
      <c r="N253" s="146">
        <v>0.78176632926736289</v>
      </c>
      <c r="O253" s="146"/>
      <c r="P253" s="146"/>
      <c r="Q253" s="146"/>
      <c r="R253" s="146"/>
      <c r="S253" s="146"/>
      <c r="T253" s="146"/>
      <c r="U253" s="146"/>
      <c r="V253" s="146"/>
      <c r="W253" s="146"/>
      <c r="X253" s="146"/>
      <c r="Y253" s="146"/>
      <c r="Z253" s="146">
        <v>0.13690825438061266</v>
      </c>
      <c r="AA253" s="146"/>
      <c r="AB253" s="146"/>
      <c r="AC253" s="146"/>
      <c r="AD253" s="146"/>
      <c r="AE253" s="146"/>
      <c r="AF253" s="146"/>
      <c r="AG253" s="146"/>
      <c r="AH253" s="146"/>
      <c r="AI253" s="146"/>
      <c r="AJ253" s="146"/>
      <c r="AK253" s="146"/>
      <c r="AL253" s="146">
        <v>519.12217204410319</v>
      </c>
      <c r="AM253" s="146">
        <v>0.54408561878230732</v>
      </c>
      <c r="AN253" s="146">
        <v>0.28825600911132104</v>
      </c>
      <c r="AO253" s="146">
        <v>158.21249983129383</v>
      </c>
      <c r="AP253" s="146">
        <v>128.23900741042121</v>
      </c>
      <c r="AQ253" t="s">
        <v>382</v>
      </c>
      <c r="AR253">
        <f t="shared" si="18"/>
        <v>4.8813386259591285</v>
      </c>
      <c r="AS253">
        <f t="shared" si="19"/>
        <v>1.3321822791215501</v>
      </c>
      <c r="AT253">
        <v>0.1</v>
      </c>
      <c r="AU253">
        <v>0</v>
      </c>
      <c r="AV253">
        <v>0.2</v>
      </c>
      <c r="AW253">
        <v>3</v>
      </c>
      <c r="AX253">
        <v>8.2515380611997688E-2</v>
      </c>
      <c r="AY253">
        <v>0.08</v>
      </c>
      <c r="AZ253" s="209">
        <v>128.23900741042121</v>
      </c>
      <c r="BA253">
        <v>8.2515380611997688E-2</v>
      </c>
      <c r="BB253" s="249">
        <v>83.578798176526817</v>
      </c>
      <c r="BC253" s="243">
        <v>224.7245637463723</v>
      </c>
      <c r="BD253" s="209">
        <v>135049.92567272927</v>
      </c>
      <c r="BE253" s="243">
        <v>100.87799077129344</v>
      </c>
      <c r="BF253">
        <v>238400.27519871245</v>
      </c>
      <c r="BG253" t="s">
        <v>388</v>
      </c>
      <c r="BH253">
        <v>4.0791948691564162E-6</v>
      </c>
      <c r="BI253">
        <v>2550499.2567272927</v>
      </c>
      <c r="BJ253">
        <f t="shared" si="13"/>
        <v>9.347200340086316E-2</v>
      </c>
    </row>
    <row r="254" spans="1:62" x14ac:dyDescent="0.3">
      <c r="A254">
        <v>-0.1</v>
      </c>
      <c r="B254" s="146">
        <v>1000</v>
      </c>
      <c r="C254" s="146">
        <v>25</v>
      </c>
      <c r="D254" s="146">
        <v>300</v>
      </c>
      <c r="E254" s="252">
        <v>15.56878430214538</v>
      </c>
      <c r="F254" s="146">
        <v>7.2725731621881708</v>
      </c>
      <c r="G254" s="146">
        <v>19.958617124434358</v>
      </c>
      <c r="H254" s="146">
        <v>5.5400098589050746</v>
      </c>
      <c r="I254" s="146"/>
      <c r="J254" s="146">
        <v>0.13982022605788472</v>
      </c>
      <c r="K254" s="146">
        <v>0.08</v>
      </c>
      <c r="L254" s="146">
        <v>112.58932688680417</v>
      </c>
      <c r="M254" s="146">
        <v>62.890495944945108</v>
      </c>
      <c r="N254" s="146">
        <v>1.0389120409715842</v>
      </c>
      <c r="O254" s="146"/>
      <c r="P254" s="146"/>
      <c r="Q254" s="146"/>
      <c r="R254" s="146"/>
      <c r="S254" s="146"/>
      <c r="T254" s="146"/>
      <c r="U254" s="146"/>
      <c r="V254" s="146"/>
      <c r="W254" s="146"/>
      <c r="X254" s="146"/>
      <c r="Y254" s="146"/>
      <c r="Z254" s="146">
        <v>0.18752891554906265</v>
      </c>
      <c r="AA254" s="146"/>
      <c r="AB254" s="146"/>
      <c r="AC254" s="146"/>
      <c r="AD254" s="146"/>
      <c r="AE254" s="146"/>
      <c r="AF254" s="146"/>
      <c r="AG254" s="146"/>
      <c r="AH254" s="146"/>
      <c r="AI254" s="146"/>
      <c r="AJ254" s="146"/>
      <c r="AK254" s="146"/>
      <c r="AL254" s="146">
        <v>725.51535132550327</v>
      </c>
      <c r="AM254" s="146">
        <v>0.36438261813664014</v>
      </c>
      <c r="AN254" s="146">
        <v>0.28204327236152948</v>
      </c>
      <c r="AO254" s="146">
        <v>244.80001536009354</v>
      </c>
      <c r="AP254" s="146">
        <v>206.05933083971175</v>
      </c>
      <c r="AQ254" t="s">
        <v>382</v>
      </c>
      <c r="AR254">
        <f t="shared" si="18"/>
        <v>4.8813386259591285</v>
      </c>
      <c r="AS254">
        <f t="shared" si="19"/>
        <v>1.3321822791215501</v>
      </c>
      <c r="AT254">
        <v>0.1</v>
      </c>
      <c r="AU254">
        <v>0</v>
      </c>
      <c r="AV254">
        <v>0.2</v>
      </c>
      <c r="AW254">
        <v>3</v>
      </c>
      <c r="AX254">
        <v>8.3262303345692124E-2</v>
      </c>
      <c r="AY254">
        <v>0.08</v>
      </c>
      <c r="AZ254" s="209">
        <v>206.05933083971175</v>
      </c>
      <c r="BA254">
        <v>8.3262303345692124E-2</v>
      </c>
      <c r="BB254" s="249">
        <v>70.01301686212625</v>
      </c>
      <c r="BC254" s="243">
        <v>212.59466213903247</v>
      </c>
      <c r="BD254" s="209">
        <v>121599.18837535297</v>
      </c>
      <c r="BE254" s="243">
        <v>88.823834338924186</v>
      </c>
      <c r="BF254">
        <v>303970.62193867459</v>
      </c>
      <c r="BG254" t="s">
        <v>388</v>
      </c>
      <c r="BH254">
        <v>5.4717441188824989E-6</v>
      </c>
      <c r="BI254">
        <v>2415991.8837535297</v>
      </c>
      <c r="BJ254">
        <f t="shared" si="13"/>
        <v>0.1258160774391428</v>
      </c>
    </row>
    <row r="255" spans="1:62" x14ac:dyDescent="0.3">
      <c r="A255">
        <v>-0.1</v>
      </c>
      <c r="B255" s="146">
        <v>1000</v>
      </c>
      <c r="C255" s="146">
        <v>25</v>
      </c>
      <c r="D255" s="146">
        <v>400</v>
      </c>
      <c r="E255" s="252">
        <v>17.791377227123331</v>
      </c>
      <c r="F255" s="146">
        <v>5.7187319369382674</v>
      </c>
      <c r="G255" s="146">
        <v>21.361273166577821</v>
      </c>
      <c r="H255" s="146">
        <v>5.4273374592539909</v>
      </c>
      <c r="I255" s="146"/>
      <c r="J255" s="146">
        <v>0.13787118571795498</v>
      </c>
      <c r="K255" s="146">
        <v>0.08</v>
      </c>
      <c r="L255" s="146">
        <v>110.14458032086884</v>
      </c>
      <c r="M255" s="146">
        <v>61.524901814109306</v>
      </c>
      <c r="N255" s="146">
        <v>1.1620738476813193</v>
      </c>
      <c r="O255" s="146"/>
      <c r="P255" s="146"/>
      <c r="Q255" s="146"/>
      <c r="R255" s="146"/>
      <c r="S255" s="146"/>
      <c r="T255" s="146"/>
      <c r="U255" s="146"/>
      <c r="V255" s="146"/>
      <c r="W255" s="146"/>
      <c r="X255" s="146"/>
      <c r="Y255" s="146"/>
      <c r="Z255" s="146">
        <v>0.2141149055878038</v>
      </c>
      <c r="AA255" s="146"/>
      <c r="AB255" s="146"/>
      <c r="AC255" s="146"/>
      <c r="AD255" s="146"/>
      <c r="AE255" s="146"/>
      <c r="AF255" s="146"/>
      <c r="AG255" s="146"/>
      <c r="AH255" s="146"/>
      <c r="AI255" s="146"/>
      <c r="AJ255" s="146"/>
      <c r="AK255" s="146"/>
      <c r="AL255" s="146">
        <v>872.79146701410411</v>
      </c>
      <c r="AM255" s="146">
        <v>0.26771493872780411</v>
      </c>
      <c r="AN255" s="146">
        <v>0.2781025107697907</v>
      </c>
      <c r="AO255" s="146">
        <v>336.02583026713205</v>
      </c>
      <c r="AP255" s="146">
        <v>291.7545431734452</v>
      </c>
      <c r="AQ255" t="s">
        <v>382</v>
      </c>
      <c r="AR255">
        <f t="shared" si="18"/>
        <v>4.8813386259591285</v>
      </c>
      <c r="AS255">
        <f t="shared" si="19"/>
        <v>1.3321822791215501</v>
      </c>
      <c r="AT255">
        <v>0.1</v>
      </c>
      <c r="AU255">
        <v>0</v>
      </c>
      <c r="AV255">
        <v>0.2</v>
      </c>
      <c r="AW255">
        <v>3</v>
      </c>
      <c r="AX255">
        <v>8.8237645300167505E-2</v>
      </c>
      <c r="AY255">
        <v>0.08</v>
      </c>
      <c r="AZ255" s="209">
        <v>291.7545431734452</v>
      </c>
      <c r="BA255">
        <v>8.8237645300167505E-2</v>
      </c>
      <c r="BB255" s="249">
        <v>60.750356197511067</v>
      </c>
      <c r="BC255" s="243">
        <v>205.1720392275804</v>
      </c>
      <c r="BD255" s="209">
        <v>111890.68121020235</v>
      </c>
      <c r="BE255" s="243">
        <v>79.039949166561996</v>
      </c>
      <c r="BF255">
        <v>338822.1721524751</v>
      </c>
      <c r="BG255" t="s">
        <v>388</v>
      </c>
      <c r="BH255">
        <v>6.4347096780443025E-6</v>
      </c>
      <c r="BI255">
        <v>2318906.8121020235</v>
      </c>
      <c r="BJ255">
        <f t="shared" si="13"/>
        <v>0.14611288835938274</v>
      </c>
    </row>
    <row r="256" spans="1:62" x14ac:dyDescent="0.3">
      <c r="A256">
        <v>-0.1</v>
      </c>
      <c r="B256" s="146">
        <v>1000</v>
      </c>
      <c r="C256" s="146">
        <v>25</v>
      </c>
      <c r="D256" s="146">
        <v>500</v>
      </c>
      <c r="E256" s="252">
        <v>19.234946057105354</v>
      </c>
      <c r="F256" s="146">
        <v>4.6585295650420502</v>
      </c>
      <c r="G256" s="146">
        <v>22.245792718821136</v>
      </c>
      <c r="H256" s="146">
        <v>5.3557959807245155</v>
      </c>
      <c r="I256" s="146"/>
      <c r="J256" s="146">
        <v>0.13851568668615064</v>
      </c>
      <c r="K256" s="146">
        <v>0.08</v>
      </c>
      <c r="L256" s="146">
        <v>108.60748471610671</v>
      </c>
      <c r="M256" s="146">
        <v>60.666306176571865</v>
      </c>
      <c r="N256" s="146">
        <v>1.245379814251832</v>
      </c>
      <c r="O256" s="146"/>
      <c r="P256" s="146"/>
      <c r="Q256" s="146"/>
      <c r="R256" s="146"/>
      <c r="S256" s="146"/>
      <c r="T256" s="146"/>
      <c r="U256" s="146"/>
      <c r="V256" s="146"/>
      <c r="W256" s="146"/>
      <c r="X256" s="146"/>
      <c r="Y256" s="146"/>
      <c r="Z256" s="146">
        <v>0.23252936047861944</v>
      </c>
      <c r="AA256" s="146"/>
      <c r="AB256" s="146"/>
      <c r="AC256" s="146"/>
      <c r="AD256" s="146"/>
      <c r="AE256" s="146"/>
      <c r="AF256" s="146"/>
      <c r="AG256" s="146"/>
      <c r="AH256" s="146"/>
      <c r="AI256" s="146"/>
      <c r="AJ256" s="146"/>
      <c r="AK256" s="146"/>
      <c r="AL256" s="146">
        <v>1004.926950830347</v>
      </c>
      <c r="AM256" s="146">
        <v>0.20941171321355898</v>
      </c>
      <c r="AN256" s="146">
        <v>0.27518065078061976</v>
      </c>
      <c r="AO256" s="146">
        <v>430.10065932128384</v>
      </c>
      <c r="AP256" s="146">
        <v>382.23704370443096</v>
      </c>
      <c r="AQ256" t="s">
        <v>382</v>
      </c>
      <c r="AR256">
        <f t="shared" si="18"/>
        <v>4.8813386259591285</v>
      </c>
      <c r="AS256">
        <f t="shared" si="19"/>
        <v>1.3321822791215501</v>
      </c>
      <c r="AT256">
        <v>0.1</v>
      </c>
      <c r="AU256">
        <v>0</v>
      </c>
      <c r="AV256">
        <v>0.2</v>
      </c>
      <c r="AW256">
        <v>3</v>
      </c>
      <c r="AX256">
        <v>9.3322589921520274E-2</v>
      </c>
      <c r="AY256">
        <v>0.08</v>
      </c>
      <c r="AZ256" s="209">
        <v>382.23704370443096</v>
      </c>
      <c r="BA256">
        <v>9.3322589921520274E-2</v>
      </c>
      <c r="BB256" s="249">
        <v>54.339026284554095</v>
      </c>
      <c r="BC256" s="243">
        <v>200.63367837962303</v>
      </c>
      <c r="BD256" s="209">
        <v>105290.27891840196</v>
      </c>
      <c r="BE256" s="243">
        <v>71.999073298278674</v>
      </c>
      <c r="BF256">
        <v>357913.69365146244</v>
      </c>
      <c r="BG256" t="s">
        <v>388</v>
      </c>
      <c r="BH256">
        <v>7.1034316245873851E-6</v>
      </c>
      <c r="BI256">
        <v>2252902.7891840199</v>
      </c>
      <c r="BJ256">
        <f t="shared" si="13"/>
        <v>0.15886779286251201</v>
      </c>
    </row>
    <row r="257" spans="1:62" s="146" customFormat="1" x14ac:dyDescent="0.3">
      <c r="A257">
        <v>-0.1</v>
      </c>
      <c r="B257" s="146">
        <v>1000</v>
      </c>
      <c r="C257" s="146">
        <v>25</v>
      </c>
      <c r="D257" s="146">
        <v>600</v>
      </c>
      <c r="E257" s="252">
        <v>20.251273247044612</v>
      </c>
      <c r="F257" s="146">
        <v>3.918184758273572</v>
      </c>
      <c r="G257" s="146">
        <v>22.872041293447591</v>
      </c>
      <c r="H257" s="146">
        <v>5.3075293985370999</v>
      </c>
      <c r="J257" s="146">
        <v>0.13971025966915693</v>
      </c>
      <c r="K257" s="146">
        <v>0.08</v>
      </c>
      <c r="L257" s="146">
        <v>107.57597455847421</v>
      </c>
      <c r="M257" s="146">
        <v>60.090122028575507</v>
      </c>
      <c r="N257" s="146">
        <v>1.3014295662471813</v>
      </c>
      <c r="Z257" s="146">
        <v>0.24520440086603965</v>
      </c>
      <c r="AL257" s="146">
        <v>1126.1081000057234</v>
      </c>
      <c r="AM257" s="146">
        <v>0.17130892288988908</v>
      </c>
      <c r="AN257" s="146">
        <v>0.2728756727397797</v>
      </c>
      <c r="AO257" s="146">
        <v>525.78571389778426</v>
      </c>
      <c r="AP257" s="146">
        <v>475.39331688213235</v>
      </c>
      <c r="AQ257" t="s">
        <v>382</v>
      </c>
      <c r="AR257">
        <f t="shared" si="18"/>
        <v>4.8813386259591285</v>
      </c>
      <c r="AS257">
        <f t="shared" si="19"/>
        <v>1.3321822791215501</v>
      </c>
      <c r="AT257">
        <v>0.1</v>
      </c>
      <c r="AU257">
        <v>0</v>
      </c>
      <c r="AV257">
        <v>0.2</v>
      </c>
      <c r="AW257">
        <v>3</v>
      </c>
      <c r="AX257">
        <v>9.7840546661709646E-2</v>
      </c>
      <c r="AY257">
        <v>0.08</v>
      </c>
      <c r="AZ257" s="209">
        <v>475.39331688213235</v>
      </c>
      <c r="BA257" s="146">
        <v>9.7840546661709646E-2</v>
      </c>
      <c r="BB257" s="252">
        <v>49.864560663525936</v>
      </c>
      <c r="BC257" s="244">
        <v>197.64113247744024</v>
      </c>
      <c r="BD257" s="229">
        <v>100748.91060317984</v>
      </c>
      <c r="BE257" s="244">
        <v>67.029134429036034</v>
      </c>
      <c r="BF257" s="146">
        <v>369920.5892964878</v>
      </c>
      <c r="BG257" t="s">
        <v>388</v>
      </c>
      <c r="BH257" s="146">
        <v>7.5902413710556103E-6</v>
      </c>
      <c r="BI257" s="146">
        <v>2207489.1060317983</v>
      </c>
      <c r="BJ257">
        <f t="shared" si="13"/>
        <v>0.16757527286803253</v>
      </c>
    </row>
    <row r="258" spans="1:62" s="140" customFormat="1" x14ac:dyDescent="0.3">
      <c r="A258">
        <v>-0.1</v>
      </c>
      <c r="B258" s="146">
        <v>1000</v>
      </c>
      <c r="C258" s="146">
        <v>25</v>
      </c>
      <c r="D258" s="146">
        <v>700</v>
      </c>
      <c r="E258" s="252">
        <v>20.996592881137978</v>
      </c>
      <c r="F258" s="146">
        <v>3.3754126103476176</v>
      </c>
      <c r="G258" s="146">
        <v>23.331440060114431</v>
      </c>
      <c r="H258" s="146">
        <v>5.2728071559421403</v>
      </c>
      <c r="I258" s="146"/>
      <c r="J258" s="146">
        <v>0.14096159002666489</v>
      </c>
      <c r="K258" s="146">
        <v>0.08</v>
      </c>
      <c r="L258" s="146">
        <v>106.83674103192536</v>
      </c>
      <c r="M258" s="146">
        <v>59.677198669059123</v>
      </c>
      <c r="N258" s="146">
        <v>1.3401928688321973</v>
      </c>
      <c r="O258" s="146"/>
      <c r="P258" s="146"/>
      <c r="Q258" s="146"/>
      <c r="R258" s="146"/>
      <c r="S258" s="146"/>
      <c r="T258" s="146"/>
      <c r="U258" s="146"/>
      <c r="V258" s="146"/>
      <c r="W258" s="146"/>
      <c r="X258" s="146"/>
      <c r="Y258" s="146"/>
      <c r="Z258" s="146">
        <v>0.25417065885329782</v>
      </c>
      <c r="AA258" s="146"/>
      <c r="AB258" s="146"/>
      <c r="AC258" s="146"/>
      <c r="AD258" s="146"/>
      <c r="AE258" s="146"/>
      <c r="AF258" s="146"/>
      <c r="AG258" s="146"/>
      <c r="AH258" s="146"/>
      <c r="AI258" s="146"/>
      <c r="AJ258" s="146"/>
      <c r="AK258" s="146"/>
      <c r="AL258" s="146">
        <v>1240.4003654328765</v>
      </c>
      <c r="AM258" s="146">
        <v>0.14467227919282846</v>
      </c>
      <c r="AN258" s="146">
        <v>0.27110196914280715</v>
      </c>
      <c r="AO258" s="146">
        <v>622.55093923689765</v>
      </c>
      <c r="AP258" s="146">
        <v>570.30393101677828</v>
      </c>
      <c r="AQ258" t="s">
        <v>382</v>
      </c>
      <c r="AR258">
        <f t="shared" si="18"/>
        <v>4.8813386259591285</v>
      </c>
      <c r="AS258">
        <f t="shared" si="19"/>
        <v>1.3321822791215501</v>
      </c>
      <c r="AT258">
        <v>0.1</v>
      </c>
      <c r="AU258">
        <v>0</v>
      </c>
      <c r="AV258">
        <v>0.2</v>
      </c>
      <c r="AW258">
        <v>3</v>
      </c>
      <c r="AX258">
        <v>0.10180089211676931</v>
      </c>
      <c r="AY258">
        <v>0.08</v>
      </c>
      <c r="AZ258" s="209">
        <v>570.30393101677828</v>
      </c>
      <c r="BA258" s="140">
        <v>0.10180089211676931</v>
      </c>
      <c r="BB258" s="253">
        <v>46.582185692549395</v>
      </c>
      <c r="BC258" s="245">
        <v>195.52192969306984</v>
      </c>
      <c r="BD258" s="210">
        <v>97433.500392931732</v>
      </c>
      <c r="BE258" s="245">
        <v>63.334419827988349</v>
      </c>
      <c r="BF258" s="140">
        <v>377822.50613500003</v>
      </c>
      <c r="BG258" t="s">
        <v>388</v>
      </c>
      <c r="BH258" s="140">
        <v>7.9579117391871392E-6</v>
      </c>
      <c r="BI258" s="140">
        <v>2174335.0039293175</v>
      </c>
      <c r="BJ258">
        <f t="shared" si="13"/>
        <v>0.17376462479435029</v>
      </c>
    </row>
    <row r="259" spans="1:62" x14ac:dyDescent="0.3">
      <c r="A259">
        <v>-0.1</v>
      </c>
      <c r="B259" s="146">
        <v>1000</v>
      </c>
      <c r="C259" s="146">
        <v>25</v>
      </c>
      <c r="D259" s="146">
        <v>800</v>
      </c>
      <c r="E259" s="252">
        <v>21.56838516916422</v>
      </c>
      <c r="F259" s="146">
        <v>2.9631676317634037</v>
      </c>
      <c r="G259" s="146">
        <v>23.686245383808227</v>
      </c>
      <c r="H259" s="146">
        <v>5.2472029536944946</v>
      </c>
      <c r="I259" s="146"/>
      <c r="J259" s="146">
        <v>0.1420156417977958</v>
      </c>
      <c r="K259" s="146">
        <v>0.08</v>
      </c>
      <c r="L259" s="146">
        <v>106.29255813798315</v>
      </c>
      <c r="M259" s="146">
        <v>59.373227297783508</v>
      </c>
      <c r="N259" s="146">
        <v>1.3688554131482613</v>
      </c>
      <c r="O259" s="146"/>
      <c r="P259" s="146"/>
      <c r="Q259" s="146"/>
      <c r="R259" s="146"/>
      <c r="S259" s="146"/>
      <c r="T259" s="146"/>
      <c r="U259" s="146"/>
      <c r="V259" s="146"/>
      <c r="W259" s="146"/>
      <c r="X259" s="146"/>
      <c r="Y259" s="146"/>
      <c r="Z259" s="146">
        <v>0.26087335009301788</v>
      </c>
      <c r="AA259" s="146"/>
      <c r="AB259" s="146"/>
      <c r="AC259" s="146"/>
      <c r="AD259" s="146"/>
      <c r="AE259" s="146"/>
      <c r="AF259" s="146"/>
      <c r="AG259" s="146"/>
      <c r="AH259" s="146"/>
      <c r="AI259" s="146"/>
      <c r="AJ259" s="146"/>
      <c r="AK259" s="146"/>
      <c r="AL259" s="146">
        <v>1350.7644751698422</v>
      </c>
      <c r="AM259" s="146">
        <v>0.12510077404623221</v>
      </c>
      <c r="AN259" s="146">
        <v>0.26962847983261445</v>
      </c>
      <c r="AO259" s="146">
        <v>720.00702157815863</v>
      </c>
      <c r="AP259" s="146">
        <v>666.33676859571199</v>
      </c>
      <c r="AQ259" t="s">
        <v>382</v>
      </c>
      <c r="AR259">
        <f t="shared" si="18"/>
        <v>4.8813386259591285</v>
      </c>
      <c r="AS259">
        <f t="shared" si="19"/>
        <v>1.3321822791215501</v>
      </c>
      <c r="AT259">
        <v>0.1</v>
      </c>
      <c r="AU259">
        <v>0</v>
      </c>
      <c r="AV259">
        <v>0.2</v>
      </c>
      <c r="AW259">
        <v>3</v>
      </c>
      <c r="AX259">
        <v>0.10520856115623296</v>
      </c>
      <c r="AY259">
        <v>0.08</v>
      </c>
      <c r="AZ259" s="209">
        <v>666.33676859571199</v>
      </c>
      <c r="BA259">
        <v>0.10520856115623296</v>
      </c>
      <c r="BB259" s="249">
        <v>44.09441402925826</v>
      </c>
      <c r="BC259" s="243">
        <v>193.97516040951331</v>
      </c>
      <c r="BD259" s="209">
        <v>94956.084057743632</v>
      </c>
      <c r="BE259" s="243">
        <v>60.535399095409211</v>
      </c>
      <c r="BF259">
        <v>383498.17218942137</v>
      </c>
      <c r="BG259" t="s">
        <v>388</v>
      </c>
      <c r="BH259">
        <v>8.2441062161091072E-6</v>
      </c>
      <c r="BI259">
        <v>2149560.8405774366</v>
      </c>
      <c r="BJ259">
        <f t="shared" si="13"/>
        <v>0.17840768446749442</v>
      </c>
    </row>
    <row r="260" spans="1:62" x14ac:dyDescent="0.3">
      <c r="A260">
        <v>-0.1</v>
      </c>
      <c r="B260" s="146">
        <v>1000</v>
      </c>
      <c r="C260" s="146">
        <v>25</v>
      </c>
      <c r="D260" s="146">
        <v>900</v>
      </c>
      <c r="E260" s="252">
        <v>22.018136887458144</v>
      </c>
      <c r="F260" s="146">
        <v>2.6397193450766152</v>
      </c>
      <c r="G260" s="146">
        <v>23.965798239466391</v>
      </c>
      <c r="H260" s="146">
        <v>5.2274528372513478</v>
      </c>
      <c r="I260" s="146"/>
      <c r="J260" s="146">
        <v>0.14291724840866787</v>
      </c>
      <c r="K260" s="146">
        <v>0.08</v>
      </c>
      <c r="L260" s="146">
        <v>105.87348334533185</v>
      </c>
      <c r="M260" s="146">
        <v>59.139139198346136</v>
      </c>
      <c r="N260" s="146">
        <v>1.3899191295437578</v>
      </c>
      <c r="O260" s="146"/>
      <c r="P260" s="146"/>
      <c r="Q260" s="146"/>
      <c r="R260" s="146"/>
      <c r="S260" s="146"/>
      <c r="T260" s="146"/>
      <c r="U260" s="146"/>
      <c r="V260" s="146"/>
      <c r="W260" s="146"/>
      <c r="X260" s="146"/>
      <c r="Y260" s="146"/>
      <c r="Z260" s="146">
        <v>0.26588841120460355</v>
      </c>
      <c r="AA260" s="146"/>
      <c r="AB260" s="146"/>
      <c r="AC260" s="146"/>
      <c r="AD260" s="146"/>
      <c r="AE260" s="146"/>
      <c r="AF260" s="146"/>
      <c r="AG260" s="146"/>
      <c r="AH260" s="146"/>
      <c r="AI260" s="146"/>
      <c r="AJ260" s="146"/>
      <c r="AK260" s="146"/>
      <c r="AL260" s="146">
        <v>1458.1446772368211</v>
      </c>
      <c r="AM260" s="146">
        <v>0.11014527113599658</v>
      </c>
      <c r="AN260" s="146">
        <v>0.26842904200549728</v>
      </c>
      <c r="AO260" s="146">
        <v>817.97408833651002</v>
      </c>
      <c r="AP260" s="146">
        <v>763.18511246494222</v>
      </c>
      <c r="AQ260" t="s">
        <v>382</v>
      </c>
      <c r="AR260">
        <f t="shared" si="18"/>
        <v>4.8813386259591285</v>
      </c>
      <c r="AS260">
        <f t="shared" si="19"/>
        <v>1.3321822791215501</v>
      </c>
      <c r="AT260">
        <v>0.1</v>
      </c>
      <c r="AU260">
        <v>0</v>
      </c>
      <c r="AV260">
        <v>0.2</v>
      </c>
      <c r="AW260">
        <v>3</v>
      </c>
      <c r="AX260">
        <v>0.10818460176865113</v>
      </c>
      <c r="AY260">
        <v>0.08</v>
      </c>
      <c r="AZ260" s="209">
        <v>763.18511246494222</v>
      </c>
      <c r="BA260">
        <v>0.10818460176865113</v>
      </c>
      <c r="BB260" s="249">
        <v>42.143370735113535</v>
      </c>
      <c r="BC260" s="243">
        <v>192.7915461265442</v>
      </c>
      <c r="BD260" s="209">
        <v>93024.218657455858</v>
      </c>
      <c r="BE260" s="243">
        <v>58.329125661431888</v>
      </c>
      <c r="BF260">
        <v>387660.02399439563</v>
      </c>
      <c r="BG260" t="s">
        <v>388</v>
      </c>
      <c r="BH260">
        <v>8.4727867288087993E-6</v>
      </c>
      <c r="BI260">
        <v>2130242.1865745587</v>
      </c>
      <c r="BJ260">
        <f t="shared" ref="BJ260:BJ323" si="20">BF260/BI260</f>
        <v>0.18197931974005035</v>
      </c>
    </row>
    <row r="261" spans="1:62" x14ac:dyDescent="0.3">
      <c r="A261">
        <v>-0.1</v>
      </c>
      <c r="B261" s="146">
        <v>1000</v>
      </c>
      <c r="C261" s="146">
        <v>25</v>
      </c>
      <c r="D261" s="146">
        <v>1000</v>
      </c>
      <c r="E261" s="252">
        <v>22.382457094884888</v>
      </c>
      <c r="F261" s="146">
        <v>2.3797556148135524</v>
      </c>
      <c r="G261" s="146">
        <v>24.193410808147782</v>
      </c>
      <c r="H261" s="146">
        <v>5.2119342713019208</v>
      </c>
      <c r="I261" s="146"/>
      <c r="J261" s="146">
        <v>0.14364204456937146</v>
      </c>
      <c r="K261" s="146">
        <v>0.08</v>
      </c>
      <c r="L261" s="146">
        <v>105.54444601738686</v>
      </c>
      <c r="M261" s="146">
        <v>58.955344505624829</v>
      </c>
      <c r="N261" s="146">
        <v>1.406079493636156</v>
      </c>
      <c r="O261" s="146"/>
      <c r="P261" s="146"/>
      <c r="Q261" s="146"/>
      <c r="R261" s="146"/>
      <c r="S261" s="146"/>
      <c r="T261" s="146"/>
      <c r="U261" s="146"/>
      <c r="V261" s="146"/>
      <c r="W261" s="146"/>
      <c r="X261" s="146"/>
      <c r="Y261" s="146"/>
      <c r="Z261" s="146">
        <v>0.26978074174464273</v>
      </c>
      <c r="AA261" s="146"/>
      <c r="AB261" s="146"/>
      <c r="AC261" s="146"/>
      <c r="AD261" s="146"/>
      <c r="AE261" s="146"/>
      <c r="AF261" s="146"/>
      <c r="AG261" s="146"/>
      <c r="AH261" s="146"/>
      <c r="AI261" s="146"/>
      <c r="AJ261" s="146"/>
      <c r="AK261" s="146"/>
      <c r="AL261" s="146">
        <v>1563.6412231851214</v>
      </c>
      <c r="AM261" s="146">
        <v>9.8363791434158007E-2</v>
      </c>
      <c r="AN261" s="146">
        <v>0.26740335780084956</v>
      </c>
      <c r="AO261" s="146">
        <v>916.29702304802629</v>
      </c>
      <c r="AP261" s="146">
        <v>860.60147636704301</v>
      </c>
      <c r="AQ261" t="s">
        <v>382</v>
      </c>
      <c r="AR261">
        <f t="shared" si="18"/>
        <v>4.8813386259591285</v>
      </c>
      <c r="AS261">
        <f t="shared" si="19"/>
        <v>1.3321822791215501</v>
      </c>
      <c r="AT261">
        <v>0.1</v>
      </c>
      <c r="AU261">
        <v>0</v>
      </c>
      <c r="AV261">
        <v>0.2</v>
      </c>
      <c r="AW261">
        <v>3</v>
      </c>
      <c r="AX261">
        <v>0.11077814352573533</v>
      </c>
      <c r="AY261">
        <v>0.08</v>
      </c>
      <c r="AZ261" s="209">
        <v>860.60147636704301</v>
      </c>
      <c r="BA261">
        <v>0.11077814352573533</v>
      </c>
      <c r="BB261" s="249">
        <v>40.578192788090078</v>
      </c>
      <c r="BC261" s="243">
        <v>191.86677997885388</v>
      </c>
      <c r="BD261" s="209">
        <v>91491.526268815098</v>
      </c>
      <c r="BE261" s="243">
        <v>56.563582363593333</v>
      </c>
      <c r="BF261">
        <v>390896.67906617653</v>
      </c>
      <c r="BG261" t="s">
        <v>388</v>
      </c>
      <c r="BH261">
        <v>8.6594192863139133E-6</v>
      </c>
      <c r="BI261">
        <v>2114915.2626881511</v>
      </c>
      <c r="BJ261">
        <f t="shared" si="20"/>
        <v>0.18482852999478075</v>
      </c>
    </row>
    <row r="262" spans="1:62" s="140" customFormat="1" x14ac:dyDescent="0.3">
      <c r="A262" s="140">
        <v>-0.1</v>
      </c>
      <c r="B262" s="140">
        <v>1000</v>
      </c>
      <c r="C262" s="140">
        <v>25</v>
      </c>
      <c r="D262" s="140">
        <v>1100</v>
      </c>
      <c r="E262" s="253">
        <v>22.682259440187746</v>
      </c>
      <c r="F262" s="140">
        <v>2.1662392866711437</v>
      </c>
      <c r="G262" s="140">
        <v>24.380956990895331</v>
      </c>
      <c r="H262" s="140">
        <v>5.199357490664978</v>
      </c>
      <c r="J262" s="140">
        <v>0.14424768664443147</v>
      </c>
      <c r="K262" s="140">
        <v>0.08</v>
      </c>
      <c r="L262" s="140">
        <v>105.27802539070007</v>
      </c>
      <c r="M262" s="140">
        <v>58.806526444396496</v>
      </c>
      <c r="N262" s="140">
        <v>1.4182368147088162</v>
      </c>
      <c r="Z262" s="140">
        <v>0.27277155249569679</v>
      </c>
      <c r="AL262" s="140">
        <v>1667.578242727639</v>
      </c>
      <c r="AM262" s="140">
        <v>8.8849641442708349E-2</v>
      </c>
      <c r="AN262" s="140">
        <v>0.26654087098913787</v>
      </c>
      <c r="AO262" s="140">
        <v>1014.9013832062096</v>
      </c>
      <c r="AP262" s="140">
        <v>958.45983537323104</v>
      </c>
      <c r="AQ262" t="s">
        <v>382</v>
      </c>
      <c r="AR262">
        <f t="shared" si="18"/>
        <v>4.8813386259591285</v>
      </c>
      <c r="AS262">
        <f t="shared" si="19"/>
        <v>1.3321822791215501</v>
      </c>
      <c r="AT262">
        <v>0.1</v>
      </c>
      <c r="AU262">
        <v>0</v>
      </c>
      <c r="AV262">
        <v>0.2</v>
      </c>
      <c r="AW262">
        <v>3</v>
      </c>
      <c r="AX262">
        <v>0.11307291748085611</v>
      </c>
      <c r="AY262">
        <v>0.08</v>
      </c>
      <c r="AZ262" s="209">
        <v>958.45983537323104</v>
      </c>
      <c r="BA262" s="140">
        <v>0.11307291748085611</v>
      </c>
      <c r="BB262" s="253">
        <v>39.29327365005026</v>
      </c>
      <c r="BC262" s="245">
        <v>191.12090524176597</v>
      </c>
      <c r="BD262" s="210">
        <v>90238.910330862956</v>
      </c>
      <c r="BE262" s="245">
        <v>55.110257707039516</v>
      </c>
      <c r="BF262" s="140">
        <v>393431.72460403491</v>
      </c>
      <c r="BG262" t="s">
        <v>388</v>
      </c>
      <c r="BH262" s="140">
        <v>8.814532500524973E-6</v>
      </c>
      <c r="BI262" s="140">
        <v>2102389.1033086297</v>
      </c>
      <c r="BJ262">
        <f t="shared" si="20"/>
        <v>0.18713554212437303</v>
      </c>
    </row>
    <row r="263" spans="1:62" x14ac:dyDescent="0.3">
      <c r="A263">
        <v>-0.1</v>
      </c>
      <c r="B263" s="146">
        <v>1000</v>
      </c>
      <c r="C263" s="146">
        <v>25</v>
      </c>
      <c r="D263" s="146">
        <v>400</v>
      </c>
      <c r="E263" s="252">
        <v>17.788589461033919</v>
      </c>
      <c r="F263" s="146">
        <v>5.7172068962628941</v>
      </c>
      <c r="G263" s="146">
        <v>21.357557880233397</v>
      </c>
      <c r="H263" s="146">
        <v>5.4268960242784221</v>
      </c>
      <c r="I263" s="146"/>
      <c r="J263" s="146">
        <v>0.13791922569219578</v>
      </c>
      <c r="K263" s="146">
        <v>0.08</v>
      </c>
      <c r="L263" s="146">
        <v>110.13567733368293</v>
      </c>
      <c r="M263" s="146">
        <v>61.519928755871931</v>
      </c>
      <c r="N263" s="146">
        <v>1.1616190193113152</v>
      </c>
      <c r="O263" s="146"/>
      <c r="P263" s="146"/>
      <c r="Q263" s="146"/>
      <c r="R263" s="146"/>
      <c r="S263" s="146"/>
      <c r="T263" s="146"/>
      <c r="U263" s="146"/>
      <c r="V263" s="146"/>
      <c r="W263" s="146"/>
      <c r="X263" s="146"/>
      <c r="Y263" s="146"/>
      <c r="Z263" s="146">
        <v>0.21404851209873102</v>
      </c>
      <c r="AA263" s="146"/>
      <c r="AB263" s="146"/>
      <c r="AC263" s="146"/>
      <c r="AD263" s="146"/>
      <c r="AE263" s="146"/>
      <c r="AF263" s="146"/>
      <c r="AG263" s="146"/>
      <c r="AH263" s="146"/>
      <c r="AI263" s="146"/>
      <c r="AJ263" s="146"/>
      <c r="AK263" s="146"/>
      <c r="AL263" s="146">
        <v>872.59283764194822</v>
      </c>
      <c r="AM263" s="146">
        <v>0.26769010428641837</v>
      </c>
      <c r="AN263" s="146">
        <v>0.27815399328565554</v>
      </c>
      <c r="AO263" s="146">
        <v>336.04769339850679</v>
      </c>
      <c r="AP263" s="146">
        <v>291.78332798629043</v>
      </c>
      <c r="AQ263" t="s">
        <v>382</v>
      </c>
      <c r="AR263">
        <f t="shared" si="18"/>
        <v>4.8813386259591285</v>
      </c>
      <c r="AS263">
        <f t="shared" si="19"/>
        <v>1.3321822791215501</v>
      </c>
      <c r="AT263">
        <v>0.1</v>
      </c>
      <c r="AU263">
        <v>0</v>
      </c>
      <c r="AV263">
        <v>0.2</v>
      </c>
      <c r="AW263" s="146">
        <v>3</v>
      </c>
      <c r="AX263">
        <v>8.8262328343402696E-2</v>
      </c>
      <c r="AY263">
        <v>0.08</v>
      </c>
      <c r="AZ263" s="209">
        <v>291.78332798629043</v>
      </c>
      <c r="BA263">
        <v>8.8262328343402696E-2</v>
      </c>
      <c r="BB263" s="249">
        <v>60.73592172702196</v>
      </c>
      <c r="BC263" s="243">
        <v>205.14547366186386</v>
      </c>
      <c r="BD263" s="209">
        <v>111853.10491862378</v>
      </c>
      <c r="BE263" s="243">
        <v>79.000514765348555</v>
      </c>
      <c r="BF263">
        <v>338685.36633244669</v>
      </c>
      <c r="BG263" t="s">
        <v>389</v>
      </c>
      <c r="BH263">
        <v>6.4349643887162724E-6</v>
      </c>
      <c r="BI263">
        <v>2318531.0491862381</v>
      </c>
      <c r="BJ263">
        <f t="shared" si="20"/>
        <v>0.14607756340003256</v>
      </c>
    </row>
    <row r="264" spans="1:62" x14ac:dyDescent="0.3">
      <c r="A264">
        <v>-0.1</v>
      </c>
      <c r="B264" s="146">
        <v>1000</v>
      </c>
      <c r="C264" s="146">
        <v>25</v>
      </c>
      <c r="D264" s="146">
        <v>400</v>
      </c>
      <c r="E264" s="252">
        <v>17.198696154171248</v>
      </c>
      <c r="F264" s="146">
        <v>5.4560675624792063</v>
      </c>
      <c r="G264" s="146">
        <v>20.599521427973226</v>
      </c>
      <c r="H264" s="146">
        <v>5.2356841233583546</v>
      </c>
      <c r="I264" s="146"/>
      <c r="J264" s="146">
        <v>0.13982362024819195</v>
      </c>
      <c r="K264" s="146">
        <v>0.08</v>
      </c>
      <c r="L264" s="146">
        <v>106.29019253682151</v>
      </c>
      <c r="M264" s="146">
        <v>59.371905912938445</v>
      </c>
      <c r="N264" s="146">
        <v>1.1221900975731973</v>
      </c>
      <c r="O264" s="146"/>
      <c r="P264" s="146"/>
      <c r="Q264" s="146"/>
      <c r="R264" s="146"/>
      <c r="S264" s="146"/>
      <c r="T264" s="146"/>
      <c r="U264" s="146"/>
      <c r="V264" s="146"/>
      <c r="W264" s="146"/>
      <c r="X264" s="146"/>
      <c r="Y264" s="146"/>
      <c r="Z264" s="146">
        <v>0.21433495053047327</v>
      </c>
      <c r="AA264" s="146"/>
      <c r="AB264" s="146"/>
      <c r="AC264" s="146"/>
      <c r="AD264" s="146"/>
      <c r="AE264" s="146"/>
      <c r="AF264" s="146"/>
      <c r="AG264" s="146"/>
      <c r="AH264" s="146"/>
      <c r="AI264" s="146"/>
      <c r="AJ264" s="146"/>
      <c r="AK264" s="146"/>
      <c r="AL264" s="146">
        <v>856.76077214608654</v>
      </c>
      <c r="AM264" s="146">
        <v>0.26486380188765507</v>
      </c>
      <c r="AN264" s="146">
        <v>0.27948206016112037</v>
      </c>
      <c r="AO264" s="146">
        <v>338.46225355482113</v>
      </c>
      <c r="AP264" s="146">
        <v>295.66572335948774</v>
      </c>
      <c r="AQ264" t="s">
        <v>382</v>
      </c>
      <c r="AR264">
        <f t="shared" si="18"/>
        <v>4.8813386259591285</v>
      </c>
      <c r="AS264">
        <f t="shared" si="19"/>
        <v>1.3321822791215501</v>
      </c>
      <c r="AT264">
        <v>0.1</v>
      </c>
      <c r="AU264">
        <v>0</v>
      </c>
      <c r="AV264">
        <v>0.2</v>
      </c>
      <c r="AW264" s="146">
        <v>2.5</v>
      </c>
      <c r="AX264">
        <v>8.9303362728124447E-2</v>
      </c>
      <c r="AY264">
        <v>0.08</v>
      </c>
      <c r="AZ264" s="209">
        <v>295.66572335948774</v>
      </c>
      <c r="BA264">
        <v>8.9303362728124447E-2</v>
      </c>
      <c r="BB264" s="249">
        <v>58.182128532633953</v>
      </c>
      <c r="BC264" s="243">
        <v>193.96846077337142</v>
      </c>
      <c r="BD264" s="209">
        <v>104765.38790202068</v>
      </c>
      <c r="BE264" s="243">
        <v>75.148136251579174</v>
      </c>
      <c r="BF264">
        <v>386674.46671418584</v>
      </c>
      <c r="BG264" t="s">
        <v>389</v>
      </c>
      <c r="BH264">
        <v>6.2601848502527196E-6</v>
      </c>
      <c r="BI264">
        <v>2247653.8790202066</v>
      </c>
      <c r="BJ264">
        <f t="shared" si="20"/>
        <v>0.17203470263968948</v>
      </c>
    </row>
    <row r="265" spans="1:62" x14ac:dyDescent="0.3">
      <c r="A265">
        <v>-0.1</v>
      </c>
      <c r="B265" s="146">
        <v>1000</v>
      </c>
      <c r="C265" s="146">
        <v>25</v>
      </c>
      <c r="D265" s="146">
        <v>400</v>
      </c>
      <c r="E265" s="252">
        <v>15.023709564864028</v>
      </c>
      <c r="F265" s="146">
        <v>4.5602599251298113</v>
      </c>
      <c r="G265" s="146">
        <v>17.853474639153763</v>
      </c>
      <c r="H265" s="146">
        <v>4.5440311340264019</v>
      </c>
      <c r="I265" s="146"/>
      <c r="J265" s="146">
        <v>0.14746442949979977</v>
      </c>
      <c r="K265" s="146">
        <v>0.08</v>
      </c>
      <c r="L265" s="146">
        <v>92.352286667637912</v>
      </c>
      <c r="M265" s="146">
        <v>51.586427157672404</v>
      </c>
      <c r="N265" s="146">
        <v>0.9752072013700781</v>
      </c>
      <c r="O265" s="146"/>
      <c r="P265" s="146"/>
      <c r="Q265" s="146"/>
      <c r="R265" s="146"/>
      <c r="S265" s="146"/>
      <c r="T265" s="146"/>
      <c r="U265" s="146"/>
      <c r="V265" s="146"/>
      <c r="W265" s="146"/>
      <c r="X265" s="146"/>
      <c r="Y265" s="146"/>
      <c r="Z265" s="146">
        <v>0.21461279040708525</v>
      </c>
      <c r="AA265" s="146"/>
      <c r="AB265" s="146"/>
      <c r="AC265" s="146"/>
      <c r="AD265" s="146"/>
      <c r="AE265" s="146"/>
      <c r="AF265" s="146"/>
      <c r="AG265" s="146"/>
      <c r="AH265" s="146"/>
      <c r="AI265" s="146"/>
      <c r="AJ265" s="146"/>
      <c r="AK265" s="146"/>
      <c r="AL265" s="146">
        <v>797.31072151053922</v>
      </c>
      <c r="AM265" s="146">
        <v>0.25542702567985742</v>
      </c>
      <c r="AN265" s="146">
        <v>0.28395640810301825</v>
      </c>
      <c r="AO265" s="146">
        <v>347.09149314421006</v>
      </c>
      <c r="AP265" s="146">
        <v>309.70712082549983</v>
      </c>
      <c r="AQ265" t="s">
        <v>382</v>
      </c>
      <c r="AR265">
        <f t="shared" si="18"/>
        <v>4.8813386259591285</v>
      </c>
      <c r="AS265">
        <f t="shared" si="19"/>
        <v>1.3321822791215501</v>
      </c>
      <c r="AT265">
        <v>0.1</v>
      </c>
      <c r="AU265">
        <v>0</v>
      </c>
      <c r="AV265">
        <v>0.2</v>
      </c>
      <c r="AW265" s="146">
        <v>1.5</v>
      </c>
      <c r="AX265">
        <v>9.3434468998158299E-2</v>
      </c>
      <c r="AY265">
        <v>0.08</v>
      </c>
      <c r="AZ265" s="209">
        <v>309.70712082549983</v>
      </c>
      <c r="BA265">
        <v>9.3434468998158299E-2</v>
      </c>
      <c r="BB265" s="249">
        <v>49.275881632578034</v>
      </c>
      <c r="BC265" s="243">
        <v>157.71479100888519</v>
      </c>
      <c r="BD265" s="209">
        <v>81945.336125051923</v>
      </c>
      <c r="BE265" s="243">
        <v>62.139253681046142</v>
      </c>
      <c r="BF265">
        <v>509122.11319316085</v>
      </c>
      <c r="BG265" t="s">
        <v>389</v>
      </c>
      <c r="BH265">
        <v>5.647608424117547E-6</v>
      </c>
      <c r="BI265">
        <v>2019453.3612505193</v>
      </c>
      <c r="BJ265">
        <f t="shared" si="20"/>
        <v>0.25210887409546007</v>
      </c>
    </row>
    <row r="266" spans="1:62" x14ac:dyDescent="0.3">
      <c r="A266">
        <v>-0.1</v>
      </c>
      <c r="B266" s="146">
        <v>1000</v>
      </c>
      <c r="C266" s="146">
        <v>25</v>
      </c>
      <c r="D266" s="146">
        <v>400</v>
      </c>
      <c r="E266" s="252">
        <v>12.999914117987565</v>
      </c>
      <c r="F266" s="146">
        <v>3.8069174261471068</v>
      </c>
      <c r="G266" s="146">
        <v>15.354724423390431</v>
      </c>
      <c r="H266" s="146">
        <v>3.9127362608179572</v>
      </c>
      <c r="I266" s="146"/>
      <c r="J266" s="146">
        <v>0.15530898630331993</v>
      </c>
      <c r="K266" s="146">
        <v>0.08</v>
      </c>
      <c r="L266" s="146">
        <v>79.596207161903607</v>
      </c>
      <c r="M266" s="146">
        <v>44.461096643570144</v>
      </c>
      <c r="N266" s="146">
        <v>0.83824964116024026</v>
      </c>
      <c r="O266" s="146"/>
      <c r="P266" s="146"/>
      <c r="Q266" s="146"/>
      <c r="R266" s="146"/>
      <c r="S266" s="146"/>
      <c r="T266" s="146"/>
      <c r="U266" s="146"/>
      <c r="V266" s="146"/>
      <c r="W266" s="146"/>
      <c r="X266" s="146"/>
      <c r="Y266" s="146"/>
      <c r="Z266" s="146">
        <v>0.21423617266373179</v>
      </c>
      <c r="AA266" s="146"/>
      <c r="AB266" s="146"/>
      <c r="AC266" s="146"/>
      <c r="AD266" s="146"/>
      <c r="AE266" s="146"/>
      <c r="AF266" s="146"/>
      <c r="AG266" s="146"/>
      <c r="AH266" s="146"/>
      <c r="AI266" s="146"/>
      <c r="AJ266" s="146"/>
      <c r="AK266" s="146"/>
      <c r="AL266" s="146">
        <v>741.54214953089718</v>
      </c>
      <c r="AM266" s="146">
        <v>0.24793134159724065</v>
      </c>
      <c r="AN266" s="146">
        <v>0.28739266405869729</v>
      </c>
      <c r="AO266" s="146">
        <v>354.76601965270606</v>
      </c>
      <c r="AP266" s="146">
        <v>322.41732895077763</v>
      </c>
      <c r="AQ266" t="s">
        <v>382</v>
      </c>
      <c r="AR266">
        <f t="shared" si="18"/>
        <v>4.8813386259591285</v>
      </c>
      <c r="AS266">
        <f t="shared" si="19"/>
        <v>1.3321822791215501</v>
      </c>
      <c r="AT266">
        <v>0.1</v>
      </c>
      <c r="AU266">
        <v>0</v>
      </c>
      <c r="AV266">
        <v>0.2</v>
      </c>
      <c r="AW266" s="146">
        <v>1</v>
      </c>
      <c r="AX266">
        <v>9.7681171718531773E-2</v>
      </c>
      <c r="AY266">
        <v>0.08</v>
      </c>
      <c r="AZ266" s="209">
        <v>322.41732895077763</v>
      </c>
      <c r="BA266">
        <v>9.7681171718531773E-2</v>
      </c>
      <c r="BB266" s="249">
        <v>41.597595984650773</v>
      </c>
      <c r="BC266" s="243">
        <v>129.07108678555556</v>
      </c>
      <c r="BD266" s="209">
        <v>64403.429930904014</v>
      </c>
      <c r="BE266" s="243">
        <v>51.469550146169688</v>
      </c>
      <c r="BF266">
        <v>577884.93435240234</v>
      </c>
      <c r="BG266" t="s">
        <v>389</v>
      </c>
      <c r="BH266">
        <v>5.056258881395874E-6</v>
      </c>
      <c r="BI266">
        <v>1844034.2993090402</v>
      </c>
      <c r="BJ266">
        <f t="shared" si="20"/>
        <v>0.313380794798088</v>
      </c>
    </row>
    <row r="267" spans="1:62" x14ac:dyDescent="0.3">
      <c r="A267">
        <v>-0.1</v>
      </c>
      <c r="B267" s="146">
        <v>1000</v>
      </c>
      <c r="C267" s="146">
        <v>25</v>
      </c>
      <c r="D267" s="146">
        <v>400</v>
      </c>
      <c r="E267" s="252">
        <v>11.88124017566208</v>
      </c>
      <c r="F267" s="146">
        <v>3.4178847331777109</v>
      </c>
      <c r="G267" s="146">
        <v>13.992241157567792</v>
      </c>
      <c r="H267" s="146">
        <v>3.567482001632547</v>
      </c>
      <c r="I267" s="146"/>
      <c r="J267" s="146">
        <v>0.16002271590179282</v>
      </c>
      <c r="K267" s="146">
        <v>0.08</v>
      </c>
      <c r="L267" s="146">
        <v>72.607456536917951</v>
      </c>
      <c r="M267" s="146">
        <v>40.557298610540009</v>
      </c>
      <c r="N267" s="146">
        <v>0.76242671560140929</v>
      </c>
      <c r="O267" s="146"/>
      <c r="P267" s="146"/>
      <c r="Q267" s="146"/>
      <c r="R267" s="146"/>
      <c r="S267" s="146"/>
      <c r="T267" s="146"/>
      <c r="U267" s="146"/>
      <c r="V267" s="146"/>
      <c r="W267" s="146"/>
      <c r="X267" s="146"/>
      <c r="Y267" s="146"/>
      <c r="Z267" s="146">
        <v>0.21371564460661846</v>
      </c>
      <c r="AA267" s="146"/>
      <c r="AB267" s="146"/>
      <c r="AC267" s="146"/>
      <c r="AD267" s="146"/>
      <c r="AE267" s="146"/>
      <c r="AF267" s="146"/>
      <c r="AG267" s="146"/>
      <c r="AH267" s="146"/>
      <c r="AI267" s="146"/>
      <c r="AJ267" s="146"/>
      <c r="AK267" s="146"/>
      <c r="AL267" s="146">
        <v>710.54000724304888</v>
      </c>
      <c r="AM267" s="146">
        <v>0.24426999897218943</v>
      </c>
      <c r="AN267" s="146">
        <v>0.28902107950125039</v>
      </c>
      <c r="AO267" s="146">
        <v>358.89144073447875</v>
      </c>
      <c r="AP267" s="146">
        <v>329.32664944234398</v>
      </c>
      <c r="AQ267" t="s">
        <v>382</v>
      </c>
      <c r="AR267">
        <f t="shared" si="18"/>
        <v>4.8813386259591285</v>
      </c>
      <c r="AS267">
        <f t="shared" si="19"/>
        <v>1.3321822791215501</v>
      </c>
      <c r="AT267">
        <v>0.1</v>
      </c>
      <c r="AU267">
        <v>0</v>
      </c>
      <c r="AV267">
        <v>0.2</v>
      </c>
      <c r="AW267" s="146">
        <v>0.8</v>
      </c>
      <c r="AX267">
        <v>0.10027210611686788</v>
      </c>
      <c r="AY267">
        <v>0.08</v>
      </c>
      <c r="AZ267" s="209">
        <v>329.32664944234398</v>
      </c>
      <c r="BA267">
        <v>0.10027210611686788</v>
      </c>
      <c r="BB267" s="249">
        <v>37.560504535897223</v>
      </c>
      <c r="BC267" s="243">
        <v>114.78328566483812</v>
      </c>
      <c r="BD267" s="209">
        <v>55909.513627401473</v>
      </c>
      <c r="BE267" s="243">
        <v>46.040160461904023</v>
      </c>
      <c r="BF267">
        <v>604130.96701345732</v>
      </c>
      <c r="BG267" t="s">
        <v>389</v>
      </c>
      <c r="BH267">
        <v>4.7082533300220637E-6</v>
      </c>
      <c r="BI267">
        <v>1759095.1362740146</v>
      </c>
      <c r="BJ267">
        <f t="shared" si="20"/>
        <v>0.34343279937268367</v>
      </c>
    </row>
    <row r="268" spans="1:62" x14ac:dyDescent="0.3">
      <c r="A268">
        <v>-0.1</v>
      </c>
      <c r="B268" s="146">
        <v>1000</v>
      </c>
      <c r="C268" s="146">
        <v>25</v>
      </c>
      <c r="D268" s="146">
        <v>400</v>
      </c>
      <c r="E268" s="252">
        <v>10.449655288336263</v>
      </c>
      <c r="F268" s="146">
        <v>2.9431616907991156</v>
      </c>
      <c r="G268" s="146">
        <v>12.264583806999607</v>
      </c>
      <c r="H268" s="146">
        <v>3.1343282811040183</v>
      </c>
      <c r="I268" s="146"/>
      <c r="J268" s="146">
        <v>0.1671447833179148</v>
      </c>
      <c r="K268" s="146">
        <v>0.08</v>
      </c>
      <c r="L268" s="146">
        <v>63.827859720138846</v>
      </c>
      <c r="M268" s="146">
        <v>35.653164148851403</v>
      </c>
      <c r="N268" s="146">
        <v>0.66396722612329695</v>
      </c>
      <c r="O268" s="146"/>
      <c r="P268" s="146"/>
      <c r="Q268" s="146"/>
      <c r="R268" s="146"/>
      <c r="S268" s="146"/>
      <c r="T268" s="146"/>
      <c r="U268" s="146"/>
      <c r="V268" s="146"/>
      <c r="W268" s="146"/>
      <c r="X268" s="146"/>
      <c r="Y268" s="146"/>
      <c r="Z268" s="146">
        <v>0.21183716783151535</v>
      </c>
      <c r="AA268" s="146"/>
      <c r="AB268" s="146"/>
      <c r="AC268" s="146"/>
      <c r="AD268" s="146"/>
      <c r="AE268" s="146"/>
      <c r="AF268" s="146"/>
      <c r="AG268" s="146"/>
      <c r="AH268" s="146"/>
      <c r="AI268" s="146"/>
      <c r="AJ268" s="146"/>
      <c r="AK268" s="146"/>
      <c r="AL268" s="146">
        <v>670.13825368146206</v>
      </c>
      <c r="AM268" s="146">
        <v>0.23997240649286469</v>
      </c>
      <c r="AN268" s="146">
        <v>0.29154054435050109</v>
      </c>
      <c r="AO268" s="146">
        <v>364.15711128064135</v>
      </c>
      <c r="AP268" s="146">
        <v>338.15464061981396</v>
      </c>
      <c r="AQ268" t="s">
        <v>382</v>
      </c>
      <c r="AR268">
        <f t="shared" si="18"/>
        <v>4.8813386259591285</v>
      </c>
      <c r="AS268">
        <f t="shared" si="19"/>
        <v>1.3321822791215501</v>
      </c>
      <c r="AT268">
        <v>0.1</v>
      </c>
      <c r="AU268">
        <v>0</v>
      </c>
      <c r="AV268">
        <v>0.2</v>
      </c>
      <c r="AW268" s="146">
        <v>0.6</v>
      </c>
      <c r="AX268">
        <v>0.1042764970925936</v>
      </c>
      <c r="AY268">
        <v>0.08</v>
      </c>
      <c r="AZ268" s="209">
        <v>338.15464061981396</v>
      </c>
      <c r="BA268">
        <v>0.1042764970925936</v>
      </c>
      <c r="BB268" s="249">
        <v>32.567635085002749</v>
      </c>
      <c r="BC268" s="243">
        <v>97.979369643507454</v>
      </c>
      <c r="BD268" s="209">
        <v>46083.598868923516</v>
      </c>
      <c r="BE268" s="243">
        <v>39.359699662006797</v>
      </c>
      <c r="BF268">
        <v>620694.03974880802</v>
      </c>
      <c r="BG268" t="s">
        <v>389</v>
      </c>
      <c r="BH268">
        <v>4.2531511499510909E-6</v>
      </c>
      <c r="BI268">
        <v>1660835.9886892352</v>
      </c>
      <c r="BJ268">
        <f t="shared" si="20"/>
        <v>0.37372386194417195</v>
      </c>
    </row>
    <row r="269" spans="1:62" x14ac:dyDescent="0.3">
      <c r="A269">
        <v>-0.1</v>
      </c>
      <c r="B269" s="146">
        <v>1000</v>
      </c>
      <c r="C269" s="146">
        <v>25</v>
      </c>
      <c r="D269" s="146">
        <v>400</v>
      </c>
      <c r="E269" s="252">
        <v>8.7014709189332358</v>
      </c>
      <c r="F269" s="146">
        <v>2.3979989779256612</v>
      </c>
      <c r="G269" s="146">
        <v>10.176986771625304</v>
      </c>
      <c r="H269" s="146">
        <v>2.5971845982416886</v>
      </c>
      <c r="I269" s="146"/>
      <c r="J269" s="146">
        <v>0.17554134368262439</v>
      </c>
      <c r="K269" s="146">
        <v>0.08</v>
      </c>
      <c r="L269" s="146">
        <v>52.924652412859807</v>
      </c>
      <c r="M269" s="146">
        <v>29.562816742878098</v>
      </c>
      <c r="N269" s="146">
        <v>0.54598762261145239</v>
      </c>
      <c r="O269" s="146"/>
      <c r="P269" s="146"/>
      <c r="Q269" s="146"/>
      <c r="R269" s="146"/>
      <c r="S269" s="146"/>
      <c r="T269" s="146"/>
      <c r="U269" s="146"/>
      <c r="V269" s="146"/>
      <c r="W269" s="146"/>
      <c r="X269" s="146"/>
      <c r="Y269" s="146"/>
      <c r="Z269" s="146">
        <v>0.21022287864370121</v>
      </c>
      <c r="AA269" s="146"/>
      <c r="AB269" s="146"/>
      <c r="AC269" s="146"/>
      <c r="AD269" s="146"/>
      <c r="AE269" s="146"/>
      <c r="AF269" s="146"/>
      <c r="AG269" s="146"/>
      <c r="AH269" s="146"/>
      <c r="AI269" s="146"/>
      <c r="AJ269" s="146"/>
      <c r="AK269" s="146"/>
      <c r="AL269" s="146">
        <v>621.61709094168634</v>
      </c>
      <c r="AM269" s="146">
        <v>0.23562956617095923</v>
      </c>
      <c r="AN269" s="146">
        <v>0.29273956952304109</v>
      </c>
      <c r="AO269" s="146">
        <v>370.27572687522053</v>
      </c>
      <c r="AP269" s="146">
        <v>348.62327963596022</v>
      </c>
      <c r="AQ269" t="s">
        <v>382</v>
      </c>
      <c r="AR269">
        <f t="shared" si="18"/>
        <v>4.8813386259591285</v>
      </c>
      <c r="AS269">
        <f t="shared" si="19"/>
        <v>1.3321822791215501</v>
      </c>
      <c r="AT269">
        <v>0.1</v>
      </c>
      <c r="AU269">
        <v>0</v>
      </c>
      <c r="AV269">
        <v>0.2</v>
      </c>
      <c r="AW269" s="146">
        <v>0.4</v>
      </c>
      <c r="AX269">
        <v>0.10931159893541324</v>
      </c>
      <c r="AY269">
        <v>0.08</v>
      </c>
      <c r="AZ269" s="209">
        <v>348.62327963596022</v>
      </c>
      <c r="BA269">
        <v>0.10931159893541324</v>
      </c>
      <c r="BB269" s="249">
        <v>26.732092619860509</v>
      </c>
      <c r="BC269" s="243">
        <v>78.595097025305307</v>
      </c>
      <c r="BD269" s="209">
        <v>35491.290343748704</v>
      </c>
      <c r="BE269" s="243">
        <v>32.011448466390107</v>
      </c>
      <c r="BF269">
        <v>644631.4940221312</v>
      </c>
      <c r="BG269" t="s">
        <v>389</v>
      </c>
      <c r="BH269">
        <v>3.6192649796439504E-6</v>
      </c>
      <c r="BI269">
        <v>1554912.9034374871</v>
      </c>
      <c r="BJ269">
        <f t="shared" si="20"/>
        <v>0.41457723618926007</v>
      </c>
    </row>
    <row r="270" spans="1:62" x14ac:dyDescent="0.3">
      <c r="A270">
        <v>-0.1</v>
      </c>
      <c r="B270" s="146">
        <v>1000</v>
      </c>
      <c r="C270" s="146">
        <v>25</v>
      </c>
      <c r="D270" s="146">
        <v>400</v>
      </c>
      <c r="E270" s="252">
        <v>7.5634329920374537</v>
      </c>
      <c r="F270" s="146">
        <v>2.0577658045704288</v>
      </c>
      <c r="G270" s="146">
        <v>8.8278411358916209</v>
      </c>
      <c r="H270" s="146">
        <v>2.2460677304070433</v>
      </c>
      <c r="I270" s="146"/>
      <c r="J270" s="146">
        <v>0.17966487039201412</v>
      </c>
      <c r="K270" s="146">
        <v>0.08</v>
      </c>
      <c r="L270" s="146">
        <v>45.788606143538345</v>
      </c>
      <c r="M270" s="146">
        <v>25.57674185129526</v>
      </c>
      <c r="N270" s="146">
        <v>0.47741976165305866</v>
      </c>
      <c r="O270" s="146"/>
      <c r="P270" s="146"/>
      <c r="Q270" s="146"/>
      <c r="R270" s="146"/>
      <c r="S270" s="146"/>
      <c r="T270" s="146"/>
      <c r="U270" s="146"/>
      <c r="V270" s="146"/>
      <c r="W270" s="146"/>
      <c r="X270" s="146"/>
      <c r="Y270" s="146"/>
      <c r="Z270" s="146">
        <v>0.21255804319246344</v>
      </c>
      <c r="AA270" s="146"/>
      <c r="AB270" s="146"/>
      <c r="AC270" s="146"/>
      <c r="AD270" s="146"/>
      <c r="AE270" s="146"/>
      <c r="AF270" s="146"/>
      <c r="AG270" s="146"/>
      <c r="AH270" s="146"/>
      <c r="AI270" s="146"/>
      <c r="AJ270" s="146"/>
      <c r="AK270" s="146"/>
      <c r="AL270" s="146">
        <v>594.05198057272685</v>
      </c>
      <c r="AM270" s="146">
        <v>0.23309955094276766</v>
      </c>
      <c r="AN270" s="146">
        <v>0.29273248104399535</v>
      </c>
      <c r="AO270" s="146">
        <v>374.16264513912711</v>
      </c>
      <c r="AP270" s="146">
        <v>355.3420997461975</v>
      </c>
      <c r="AQ270" t="s">
        <v>382</v>
      </c>
      <c r="AR270">
        <f t="shared" si="18"/>
        <v>4.8813386259591285</v>
      </c>
      <c r="AS270">
        <f t="shared" si="19"/>
        <v>1.3321822791215501</v>
      </c>
      <c r="AT270">
        <v>0.1</v>
      </c>
      <c r="AU270">
        <v>0</v>
      </c>
      <c r="AV270">
        <v>0.2</v>
      </c>
      <c r="AW270" s="146">
        <v>0.3</v>
      </c>
      <c r="AX270">
        <v>0.11232570912052663</v>
      </c>
      <c r="AY270">
        <v>0.08</v>
      </c>
      <c r="AZ270" s="209">
        <v>355.3420997461975</v>
      </c>
      <c r="BA270">
        <v>0.11232570912052663</v>
      </c>
      <c r="BB270" s="249">
        <v>23.044950545257322</v>
      </c>
      <c r="BC270" s="243">
        <v>66.657996145713312</v>
      </c>
      <c r="BD270" s="209">
        <v>29326.640881837451</v>
      </c>
      <c r="BE270" s="243">
        <v>27.552100481867807</v>
      </c>
      <c r="BF270">
        <v>647641.07038114895</v>
      </c>
      <c r="BG270" t="s">
        <v>389</v>
      </c>
      <c r="BH270">
        <v>3.1916460954404178E-6</v>
      </c>
      <c r="BI270">
        <v>1493266.4088183744</v>
      </c>
      <c r="BJ270">
        <f t="shared" si="20"/>
        <v>0.4337076536085942</v>
      </c>
    </row>
    <row r="271" spans="1:62" x14ac:dyDescent="0.3">
      <c r="A271">
        <v>-0.1</v>
      </c>
      <c r="B271" s="146">
        <v>1000</v>
      </c>
      <c r="C271" s="146">
        <v>25</v>
      </c>
      <c r="D271" s="146">
        <v>400</v>
      </c>
      <c r="E271" s="252">
        <v>6.1521738309434886</v>
      </c>
      <c r="F271" s="146">
        <v>1.6504072210759693</v>
      </c>
      <c r="G271" s="146">
        <v>7.1646367078866326</v>
      </c>
      <c r="H271" s="146">
        <v>1.8168416333808166</v>
      </c>
      <c r="I271" s="146"/>
      <c r="J271" s="146">
        <v>0.18573389712472174</v>
      </c>
      <c r="K271" s="146">
        <v>0.08</v>
      </c>
      <c r="L271" s="146">
        <v>37.056103501629956</v>
      </c>
      <c r="M271" s="146">
        <v>20.698913400093026</v>
      </c>
      <c r="N271" s="146">
        <v>0.39000414972914355</v>
      </c>
      <c r="O271" s="146"/>
      <c r="P271" s="146"/>
      <c r="Q271" s="146"/>
      <c r="R271" s="146"/>
      <c r="S271" s="146"/>
      <c r="T271" s="146"/>
      <c r="U271" s="146"/>
      <c r="V271" s="146"/>
      <c r="W271" s="146"/>
      <c r="X271" s="146"/>
      <c r="Y271" s="146"/>
      <c r="Z271" s="146">
        <v>0.21466050896434805</v>
      </c>
      <c r="AA271" s="146"/>
      <c r="AB271" s="146"/>
      <c r="AC271" s="146"/>
      <c r="AD271" s="146"/>
      <c r="AE271" s="146"/>
      <c r="AF271" s="146"/>
      <c r="AG271" s="146"/>
      <c r="AH271" s="146"/>
      <c r="AI271" s="146"/>
      <c r="AJ271" s="146"/>
      <c r="AK271" s="146"/>
      <c r="AL271" s="146">
        <v>558.67996177192231</v>
      </c>
      <c r="AM271" s="146">
        <v>0.23035462764765824</v>
      </c>
      <c r="AN271" s="146">
        <v>0.29277507352539045</v>
      </c>
      <c r="AO271" s="146">
        <v>378.98668846065561</v>
      </c>
      <c r="AP271" s="146">
        <v>363.67788690735063</v>
      </c>
      <c r="AQ271" t="s">
        <v>382</v>
      </c>
      <c r="AR271">
        <f t="shared" si="18"/>
        <v>4.8813386259591285</v>
      </c>
      <c r="AS271">
        <f t="shared" si="19"/>
        <v>1.3321822791215501</v>
      </c>
      <c r="AT271">
        <v>0.1</v>
      </c>
      <c r="AU271">
        <v>0</v>
      </c>
      <c r="AV271">
        <v>0.2</v>
      </c>
      <c r="AW271" s="146">
        <v>0.2</v>
      </c>
      <c r="AX271">
        <v>0.11723541522206465</v>
      </c>
      <c r="AY271">
        <v>0.08</v>
      </c>
      <c r="AZ271" s="209">
        <v>363.67788690735063</v>
      </c>
      <c r="BA271">
        <v>0.11723541522206465</v>
      </c>
      <c r="BB271" s="249">
        <v>18.578956974224209</v>
      </c>
      <c r="BC271" s="243">
        <v>52.736443906985066</v>
      </c>
      <c r="BD271" s="209">
        <v>22397.480212915383</v>
      </c>
      <c r="BE271" s="243">
        <v>22.167262655078755</v>
      </c>
      <c r="BF271">
        <v>641513.22837248584</v>
      </c>
      <c r="BG271" t="s">
        <v>389</v>
      </c>
      <c r="BH271">
        <v>2.6336165131951282E-6</v>
      </c>
      <c r="BI271">
        <v>1423974.8021291539</v>
      </c>
      <c r="BJ271">
        <f t="shared" si="20"/>
        <v>0.45050883443533074</v>
      </c>
    </row>
    <row r="272" spans="1:62" s="140" customFormat="1" x14ac:dyDescent="0.3">
      <c r="A272" s="140">
        <v>-0.1</v>
      </c>
      <c r="B272" s="140">
        <v>1000</v>
      </c>
      <c r="C272" s="140">
        <v>25</v>
      </c>
      <c r="D272" s="140">
        <v>400</v>
      </c>
      <c r="E272" s="253">
        <v>4.2307125586234626</v>
      </c>
      <c r="F272" s="140">
        <v>1.1187832855113302</v>
      </c>
      <c r="G272" s="140">
        <v>4.9154781266597487</v>
      </c>
      <c r="H272" s="140">
        <v>1.2420397150953504</v>
      </c>
      <c r="J272" s="140">
        <v>0.1983465809248815</v>
      </c>
      <c r="K272" s="140">
        <v>0.08</v>
      </c>
      <c r="L272" s="140">
        <v>25.347728810492249</v>
      </c>
      <c r="M272" s="140">
        <v>14.158813095779051</v>
      </c>
      <c r="N272" s="140">
        <v>0.26078436058106158</v>
      </c>
      <c r="Z272" s="140">
        <v>0.20996459083519836</v>
      </c>
      <c r="AL272" s="140">
        <v>505.41994899877858</v>
      </c>
      <c r="AM272" s="140">
        <v>0.22760416315219886</v>
      </c>
      <c r="AN272" s="140">
        <v>0.292893146068053</v>
      </c>
      <c r="AO272" s="140">
        <v>385.55544021627441</v>
      </c>
      <c r="AP272" s="140">
        <v>375.02776870824772</v>
      </c>
      <c r="AQ272" t="s">
        <v>382</v>
      </c>
      <c r="AR272">
        <f t="shared" si="18"/>
        <v>4.8813386259591285</v>
      </c>
      <c r="AS272">
        <f t="shared" si="19"/>
        <v>1.3321822791215501</v>
      </c>
      <c r="AT272">
        <v>0.1</v>
      </c>
      <c r="AU272">
        <v>0</v>
      </c>
      <c r="AV272">
        <v>0.2</v>
      </c>
      <c r="AW272" s="146">
        <v>0.1</v>
      </c>
      <c r="AX272">
        <v>0.12872334343549532</v>
      </c>
      <c r="AY272">
        <v>0.08</v>
      </c>
      <c r="AZ272" s="209">
        <v>375.02776870824772</v>
      </c>
      <c r="BA272" s="140">
        <v>0.12872334343549532</v>
      </c>
      <c r="BB272" s="253">
        <v>12.664465601795635</v>
      </c>
      <c r="BC272" s="245">
        <v>35.083937707601009</v>
      </c>
      <c r="BD272" s="210">
        <v>14123.584722118208</v>
      </c>
      <c r="BE272" s="245">
        <v>15.065632404647275</v>
      </c>
      <c r="BF272" s="140">
        <v>610140.92869276856</v>
      </c>
      <c r="BG272" t="s">
        <v>389</v>
      </c>
      <c r="BH272" s="140">
        <v>1.8221518334845185E-6</v>
      </c>
      <c r="BI272" s="140">
        <v>1341235.8472211822</v>
      </c>
      <c r="BJ272">
        <f t="shared" si="20"/>
        <v>0.45490950003825142</v>
      </c>
    </row>
    <row r="273" spans="1:62" x14ac:dyDescent="0.3">
      <c r="A273">
        <v>-0.1</v>
      </c>
      <c r="B273" s="146">
        <v>1000</v>
      </c>
      <c r="C273" s="146">
        <v>25</v>
      </c>
      <c r="D273" s="146">
        <v>400</v>
      </c>
      <c r="E273" s="252">
        <v>17.796310717919066</v>
      </c>
      <c r="F273" s="146">
        <v>5.7214357835281549</v>
      </c>
      <c r="G273" s="146">
        <v>21.367850996242602</v>
      </c>
      <c r="H273" s="146">
        <v>5.4281177473294697</v>
      </c>
      <c r="I273" s="146"/>
      <c r="J273" s="146">
        <v>0.1377862771123351</v>
      </c>
      <c r="K273" s="146">
        <v>0.08</v>
      </c>
      <c r="L273" s="146">
        <v>110.16031768178092</v>
      </c>
      <c r="M273" s="146">
        <v>61.533692438052022</v>
      </c>
      <c r="N273" s="146">
        <v>1.1628769417311693</v>
      </c>
      <c r="O273" s="146"/>
      <c r="P273" s="146"/>
      <c r="Q273" s="146"/>
      <c r="R273" s="146"/>
      <c r="S273" s="146"/>
      <c r="T273" s="146"/>
      <c r="U273" s="146"/>
      <c r="V273" s="146"/>
      <c r="W273" s="146"/>
      <c r="X273" s="146"/>
      <c r="Y273" s="146"/>
      <c r="Z273" s="146">
        <v>0.21423207746428907</v>
      </c>
      <c r="AA273" s="146"/>
      <c r="AB273" s="146"/>
      <c r="AC273" s="146"/>
      <c r="AD273" s="146"/>
      <c r="AE273" s="146"/>
      <c r="AF273" s="146"/>
      <c r="AG273" s="146"/>
      <c r="AH273" s="146"/>
      <c r="AI273" s="146"/>
      <c r="AJ273" s="146"/>
      <c r="AK273" s="146"/>
      <c r="AL273" s="146">
        <v>873.14192168769807</v>
      </c>
      <c r="AM273" s="146">
        <v>0.26775906405067279</v>
      </c>
      <c r="AN273" s="146">
        <v>0.27801108147899739</v>
      </c>
      <c r="AO273" s="146">
        <v>335.98704546867674</v>
      </c>
      <c r="AP273" s="146">
        <v>291.70345082211441</v>
      </c>
      <c r="AQ273" t="s">
        <v>382</v>
      </c>
      <c r="AR273">
        <f t="shared" si="18"/>
        <v>4.8813386259591285</v>
      </c>
      <c r="AS273">
        <f t="shared" si="19"/>
        <v>1.3321822791215501</v>
      </c>
      <c r="AT273">
        <v>0.1</v>
      </c>
      <c r="AU273">
        <v>0</v>
      </c>
      <c r="AV273">
        <v>0.2</v>
      </c>
      <c r="AW273" s="146">
        <v>3</v>
      </c>
      <c r="AX273">
        <v>8.8193986999121371E-2</v>
      </c>
      <c r="AY273">
        <v>0.08</v>
      </c>
      <c r="AZ273" s="209">
        <v>291.70345082211441</v>
      </c>
      <c r="BA273">
        <v>8.8193986999121371E-2</v>
      </c>
      <c r="BB273" s="249">
        <v>60.77593759816947</v>
      </c>
      <c r="BC273" s="243">
        <v>205.21900590555518</v>
      </c>
      <c r="BD273" s="209">
        <v>111957.3103400988</v>
      </c>
      <c r="BE273" s="243">
        <v>79.109948718227599</v>
      </c>
      <c r="BF273">
        <v>339064.57941575046</v>
      </c>
      <c r="BG273" t="s">
        <v>390</v>
      </c>
      <c r="BH273">
        <v>6.4342550904384326E-6</v>
      </c>
      <c r="BI273">
        <v>2319573.103400988</v>
      </c>
      <c r="BJ273">
        <f t="shared" si="20"/>
        <v>0.1461754229339052</v>
      </c>
    </row>
    <row r="274" spans="1:62" s="140" customFormat="1" x14ac:dyDescent="0.3">
      <c r="A274">
        <v>-0.2</v>
      </c>
      <c r="B274" s="146">
        <v>1000</v>
      </c>
      <c r="C274" s="146">
        <v>25</v>
      </c>
      <c r="D274" s="146">
        <v>400</v>
      </c>
      <c r="E274" s="252">
        <v>17.658425336848463</v>
      </c>
      <c r="F274" s="146">
        <v>5.8233146795602737</v>
      </c>
      <c r="G274" s="146">
        <v>21.283852694966512</v>
      </c>
      <c r="H274" s="146">
        <v>5.4350954570360983</v>
      </c>
      <c r="I274" s="146"/>
      <c r="J274" s="146">
        <v>0.13657996157424618</v>
      </c>
      <c r="K274" s="146">
        <v>0.08</v>
      </c>
      <c r="L274" s="146">
        <v>110.31103779290406</v>
      </c>
      <c r="M274" s="146">
        <v>61.61788214590009</v>
      </c>
      <c r="N274" s="146">
        <v>1.171292549944507</v>
      </c>
      <c r="O274" s="146"/>
      <c r="P274" s="146"/>
      <c r="Q274" s="146"/>
      <c r="R274" s="146"/>
      <c r="S274" s="146"/>
      <c r="T274" s="146"/>
      <c r="U274" s="146"/>
      <c r="V274" s="146"/>
      <c r="W274" s="146"/>
      <c r="X274" s="146"/>
      <c r="Y274" s="146"/>
      <c r="Z274" s="146">
        <v>0.21550542381517693</v>
      </c>
      <c r="AA274" s="146"/>
      <c r="AB274" s="146"/>
      <c r="AC274" s="146"/>
      <c r="AD274" s="146"/>
      <c r="AE274" s="146"/>
      <c r="AF274" s="146"/>
      <c r="AG274" s="146"/>
      <c r="AH274" s="146"/>
      <c r="AI274" s="146"/>
      <c r="AJ274" s="146"/>
      <c r="AK274" s="146"/>
      <c r="AL274" s="146">
        <v>870.33174316939255</v>
      </c>
      <c r="AM274" s="146">
        <v>0.27360247052158221</v>
      </c>
      <c r="AN274" s="146">
        <v>0.24740673710267405</v>
      </c>
      <c r="AO274" s="146">
        <v>328.62593176062057</v>
      </c>
      <c r="AP274" s="146">
        <v>284.68546819713964</v>
      </c>
      <c r="AQ274" t="s">
        <v>382</v>
      </c>
      <c r="AR274">
        <f t="shared" si="18"/>
        <v>4.8813386259591285</v>
      </c>
      <c r="AS274">
        <f t="shared" si="19"/>
        <v>1.3321822791215501</v>
      </c>
      <c r="AT274">
        <v>0.1</v>
      </c>
      <c r="AU274">
        <v>0</v>
      </c>
      <c r="AV274">
        <v>0.2</v>
      </c>
      <c r="AW274" s="146">
        <v>3</v>
      </c>
      <c r="AX274">
        <v>8.7289825971742716E-2</v>
      </c>
      <c r="AY274">
        <v>0.08</v>
      </c>
      <c r="AZ274" s="209">
        <v>284.68546819713964</v>
      </c>
      <c r="BA274" s="140">
        <v>8.7289825971742716E-2</v>
      </c>
      <c r="BB274" s="253">
        <v>61.399962940889345</v>
      </c>
      <c r="BC274" s="245">
        <v>205.66933885615234</v>
      </c>
      <c r="BD274" s="210">
        <v>112635.72409294678</v>
      </c>
      <c r="BE274" s="245">
        <v>79.838668479011574</v>
      </c>
      <c r="BF274" s="140">
        <v>337194.14862733195</v>
      </c>
      <c r="BG274" t="s">
        <v>390</v>
      </c>
      <c r="BH274" s="140">
        <v>6.3705764627282535E-6</v>
      </c>
      <c r="BI274" s="140">
        <v>2326357.2409294676</v>
      </c>
      <c r="BJ274">
        <f t="shared" si="20"/>
        <v>0.14494512824376454</v>
      </c>
    </row>
    <row r="275" spans="1:62" x14ac:dyDescent="0.3">
      <c r="A275">
        <v>-0.3</v>
      </c>
      <c r="B275" s="146">
        <v>1000</v>
      </c>
      <c r="C275" s="146">
        <v>25</v>
      </c>
      <c r="D275" s="146">
        <v>400</v>
      </c>
      <c r="E275" s="252">
        <v>17.466754876370764</v>
      </c>
      <c r="F275" s="146">
        <v>5.9533468947907355</v>
      </c>
      <c r="G275" s="146">
        <v>21.16067438051493</v>
      </c>
      <c r="H275" s="146">
        <v>5.4440888011509818</v>
      </c>
      <c r="I275" s="146"/>
      <c r="J275" s="146">
        <v>0.13666364166268216</v>
      </c>
      <c r="K275" s="146">
        <v>0.08</v>
      </c>
      <c r="L275" s="146">
        <v>110.50559431099964</v>
      </c>
      <c r="M275" s="146">
        <v>61.726558130122427</v>
      </c>
      <c r="N275" s="146">
        <v>1.1606861368670147</v>
      </c>
      <c r="O275" s="146"/>
      <c r="P275" s="146"/>
      <c r="Q275" s="146"/>
      <c r="R275" s="146"/>
      <c r="S275" s="146"/>
      <c r="T275" s="146"/>
      <c r="U275" s="146"/>
      <c r="V275" s="146"/>
      <c r="W275" s="146"/>
      <c r="X275" s="146"/>
      <c r="Y275" s="146"/>
      <c r="Z275" s="146">
        <v>0.2132011764065318</v>
      </c>
      <c r="AA275" s="146"/>
      <c r="AB275" s="146"/>
      <c r="AC275" s="146"/>
      <c r="AD275" s="146"/>
      <c r="AE275" s="146"/>
      <c r="AF275" s="146"/>
      <c r="AG275" s="146"/>
      <c r="AH275" s="146"/>
      <c r="AI275" s="146"/>
      <c r="AJ275" s="146"/>
      <c r="AK275" s="146"/>
      <c r="AL275" s="146">
        <v>856.30929780562417</v>
      </c>
      <c r="AM275" s="146">
        <v>0.28134013064690733</v>
      </c>
      <c r="AN275" s="146">
        <v>0.21678912014764007</v>
      </c>
      <c r="AO275" s="146">
        <v>319.42974414732913</v>
      </c>
      <c r="AP275" s="146">
        <v>275.96622937211674</v>
      </c>
      <c r="AQ275" t="s">
        <v>382</v>
      </c>
      <c r="AR275">
        <f t="shared" si="18"/>
        <v>4.8813386259591285</v>
      </c>
      <c r="AS275">
        <f t="shared" si="19"/>
        <v>1.3321822791215501</v>
      </c>
      <c r="AT275">
        <v>0.1</v>
      </c>
      <c r="AU275">
        <v>0</v>
      </c>
      <c r="AV275">
        <v>0.2</v>
      </c>
      <c r="AW275" s="146">
        <v>3</v>
      </c>
      <c r="AX275">
        <v>8.6810347527102497E-2</v>
      </c>
      <c r="AY275">
        <v>0.08</v>
      </c>
      <c r="AZ275" s="209">
        <v>275.96622937211674</v>
      </c>
      <c r="BA275">
        <v>8.6810347527102497E-2</v>
      </c>
      <c r="BB275" s="249">
        <v>62.17060744149525</v>
      </c>
      <c r="BC275" s="243">
        <v>206.25205447151833</v>
      </c>
      <c r="BD275" s="209">
        <v>113421.91839800455</v>
      </c>
      <c r="BE275" s="243">
        <v>80.646368228000895</v>
      </c>
      <c r="BF275">
        <v>334259.27142414241</v>
      </c>
      <c r="BG275" t="s">
        <v>390</v>
      </c>
      <c r="BH275">
        <v>6.2871302150913605E-6</v>
      </c>
      <c r="BI275">
        <v>2334219.1839800454</v>
      </c>
      <c r="BJ275">
        <f t="shared" si="20"/>
        <v>0.14319960769673801</v>
      </c>
    </row>
    <row r="276" spans="1:62" x14ac:dyDescent="0.3">
      <c r="A276">
        <v>-0.4</v>
      </c>
      <c r="B276" s="146">
        <v>1000</v>
      </c>
      <c r="C276" s="146">
        <v>25</v>
      </c>
      <c r="D276" s="146">
        <v>400</v>
      </c>
      <c r="E276" s="252">
        <v>17.216822204434663</v>
      </c>
      <c r="F276" s="146">
        <v>6.1366137019457598</v>
      </c>
      <c r="G276" s="146">
        <v>21.007789956433545</v>
      </c>
      <c r="H276" s="146">
        <v>5.4582678724067213</v>
      </c>
      <c r="I276" s="146"/>
      <c r="J276" s="146">
        <v>0.13664514829179769</v>
      </c>
      <c r="K276" s="146">
        <v>0.08</v>
      </c>
      <c r="L276" s="146">
        <v>110.80992959991646</v>
      </c>
      <c r="M276" s="146">
        <v>61.896554681152253</v>
      </c>
      <c r="N276" s="146">
        <v>1.147704554370911</v>
      </c>
      <c r="O276" s="146"/>
      <c r="P276" s="146"/>
      <c r="Q276" s="146"/>
      <c r="R276" s="146"/>
      <c r="S276" s="146"/>
      <c r="T276" s="146"/>
      <c r="U276" s="146"/>
      <c r="V276" s="146"/>
      <c r="W276" s="146"/>
      <c r="X276" s="146"/>
      <c r="Y276" s="146"/>
      <c r="Z276" s="146">
        <v>0.21026900496637813</v>
      </c>
      <c r="AA276" s="146"/>
      <c r="AB276" s="146"/>
      <c r="AC276" s="146"/>
      <c r="AD276" s="146"/>
      <c r="AE276" s="146"/>
      <c r="AF276" s="146"/>
      <c r="AG276" s="146"/>
      <c r="AH276" s="146"/>
      <c r="AI276" s="146"/>
      <c r="AJ276" s="146"/>
      <c r="AK276" s="146"/>
      <c r="AL276" s="146">
        <v>838.46833914041008</v>
      </c>
      <c r="AM276" s="146">
        <v>0.29211134130110855</v>
      </c>
      <c r="AN276" s="146">
        <v>0.18604264058142678</v>
      </c>
      <c r="AO276" s="146">
        <v>307.45765513417746</v>
      </c>
      <c r="AP276" s="146">
        <v>264.61606195495494</v>
      </c>
      <c r="AQ276" t="s">
        <v>382</v>
      </c>
      <c r="AR276">
        <f t="shared" si="18"/>
        <v>4.8813386259591285</v>
      </c>
      <c r="AS276">
        <f t="shared" si="19"/>
        <v>1.3321822791215501</v>
      </c>
      <c r="AT276">
        <v>0.1</v>
      </c>
      <c r="AU276">
        <v>0</v>
      </c>
      <c r="AV276">
        <v>0.2</v>
      </c>
      <c r="AW276" s="146">
        <v>3</v>
      </c>
      <c r="AX276">
        <v>8.6101929775817682E-2</v>
      </c>
      <c r="AY276">
        <v>0.08</v>
      </c>
      <c r="AZ276" s="209">
        <v>264.61606195495494</v>
      </c>
      <c r="BA276">
        <v>8.6101929775817682E-2</v>
      </c>
      <c r="BB276" s="249">
        <v>63.277938289943236</v>
      </c>
      <c r="BC276" s="243">
        <v>207.16676322805253</v>
      </c>
      <c r="BD276" s="209">
        <v>114646.04863953615</v>
      </c>
      <c r="BE276" s="243">
        <v>81.897597182347411</v>
      </c>
      <c r="BF276">
        <v>330740.48242113617</v>
      </c>
      <c r="BG276" t="s">
        <v>390</v>
      </c>
      <c r="BH276">
        <v>6.1732520810771359E-6</v>
      </c>
      <c r="BI276">
        <v>2346460.4863953618</v>
      </c>
      <c r="BJ276">
        <f t="shared" si="20"/>
        <v>0.14095293073919199</v>
      </c>
    </row>
    <row r="277" spans="1:62" x14ac:dyDescent="0.3">
      <c r="A277">
        <v>-0.5</v>
      </c>
      <c r="B277" s="146">
        <v>1000</v>
      </c>
      <c r="C277" s="146">
        <v>25</v>
      </c>
      <c r="D277" s="146">
        <v>400</v>
      </c>
      <c r="E277" s="252">
        <v>16.84146809163737</v>
      </c>
      <c r="F277" s="146">
        <v>6.3856286409139633</v>
      </c>
      <c r="G277" s="146">
        <v>20.76332687448015</v>
      </c>
      <c r="H277" s="146">
        <v>5.4749476533389219</v>
      </c>
      <c r="I277" s="146"/>
      <c r="J277" s="146">
        <v>0.13743312493673929</v>
      </c>
      <c r="K277" s="146">
        <v>0.08</v>
      </c>
      <c r="L277" s="146">
        <v>111.17338651687453</v>
      </c>
      <c r="M277" s="146">
        <v>62.099575574820918</v>
      </c>
      <c r="N277" s="146">
        <v>1.120671466819033</v>
      </c>
      <c r="O277" s="146"/>
      <c r="P277" s="146"/>
      <c r="Q277" s="146"/>
      <c r="R277" s="146"/>
      <c r="S277" s="146"/>
      <c r="T277" s="146"/>
      <c r="U277" s="146"/>
      <c r="V277" s="146"/>
      <c r="W277" s="146"/>
      <c r="X277" s="146"/>
      <c r="Y277" s="146"/>
      <c r="Z277" s="146">
        <v>0.20469080944282386</v>
      </c>
      <c r="AA277" s="146"/>
      <c r="AB277" s="146"/>
      <c r="AC277" s="146"/>
      <c r="AD277" s="146"/>
      <c r="AE277" s="146"/>
      <c r="AF277" s="146"/>
      <c r="AG277" s="146"/>
      <c r="AH277" s="146"/>
      <c r="AI277" s="146"/>
      <c r="AJ277" s="146"/>
      <c r="AK277" s="146"/>
      <c r="AL277" s="146">
        <v>810.1136790850893</v>
      </c>
      <c r="AM277" s="146">
        <v>0.30754361666204999</v>
      </c>
      <c r="AN277" s="146">
        <v>0.15548681515970342</v>
      </c>
      <c r="AO277" s="146">
        <v>291.68555498201448</v>
      </c>
      <c r="AP277" s="146">
        <v>249.77794567557299</v>
      </c>
      <c r="AQ277" t="s">
        <v>382</v>
      </c>
      <c r="AR277">
        <f t="shared" si="18"/>
        <v>4.8813386259591285</v>
      </c>
      <c r="AS277">
        <f t="shared" si="19"/>
        <v>1.3321822791215501</v>
      </c>
      <c r="AT277">
        <v>0.1</v>
      </c>
      <c r="AU277">
        <v>0</v>
      </c>
      <c r="AV277">
        <v>0.2</v>
      </c>
      <c r="AW277" s="146">
        <v>3</v>
      </c>
      <c r="AX277">
        <v>8.5472072902537083E-2</v>
      </c>
      <c r="AY277">
        <v>0.08</v>
      </c>
      <c r="AZ277" s="209">
        <v>249.77794567557299</v>
      </c>
      <c r="BA277">
        <v>8.5472072902537083E-2</v>
      </c>
      <c r="BB277" s="249">
        <v>64.740520470116536</v>
      </c>
      <c r="BC277" s="243">
        <v>208.26431745209877</v>
      </c>
      <c r="BD277" s="209">
        <v>116085.88640288453</v>
      </c>
      <c r="BE277" s="243">
        <v>83.35346750222044</v>
      </c>
      <c r="BF277">
        <v>324612.94588350056</v>
      </c>
      <c r="BG277" t="s">
        <v>390</v>
      </c>
      <c r="BH277">
        <v>6.0149161233496009E-6</v>
      </c>
      <c r="BI277">
        <v>2360858.864028845</v>
      </c>
      <c r="BJ277">
        <f t="shared" si="20"/>
        <v>0.13749781947131864</v>
      </c>
    </row>
    <row r="278" spans="1:62" x14ac:dyDescent="0.3">
      <c r="A278">
        <v>-0.6</v>
      </c>
      <c r="B278" s="146">
        <v>1000</v>
      </c>
      <c r="C278" s="146">
        <v>25</v>
      </c>
      <c r="D278" s="146">
        <v>400</v>
      </c>
      <c r="E278" s="252">
        <v>16.270621129994957</v>
      </c>
      <c r="F278" s="146">
        <v>6.7656323164564469</v>
      </c>
      <c r="G278" s="146">
        <v>20.392323545354596</v>
      </c>
      <c r="H278" s="146">
        <v>5.5007113107222221</v>
      </c>
      <c r="I278" s="146"/>
      <c r="J278" s="146">
        <v>0.13842908978123988</v>
      </c>
      <c r="K278" s="146">
        <v>0.08</v>
      </c>
      <c r="L278" s="146">
        <v>111.73660409176028</v>
      </c>
      <c r="M278" s="146">
        <v>62.4141793973048</v>
      </c>
      <c r="N278" s="146">
        <v>1.08446336380588</v>
      </c>
      <c r="O278" s="146"/>
      <c r="P278" s="146"/>
      <c r="Q278" s="146"/>
      <c r="R278" s="146"/>
      <c r="S278" s="146"/>
      <c r="T278" s="146"/>
      <c r="U278" s="146"/>
      <c r="V278" s="146"/>
      <c r="W278" s="146"/>
      <c r="X278" s="146"/>
      <c r="Y278" s="146"/>
      <c r="Z278" s="146">
        <v>0.19714965984344562</v>
      </c>
      <c r="AA278" s="146"/>
      <c r="AB278" s="146"/>
      <c r="AC278" s="146"/>
      <c r="AD278" s="146"/>
      <c r="AE278" s="146"/>
      <c r="AF278" s="146"/>
      <c r="AG278" s="146"/>
      <c r="AH278" s="146"/>
      <c r="AI278" s="146"/>
      <c r="AJ278" s="146"/>
      <c r="AK278" s="146"/>
      <c r="AL278" s="146">
        <v>771.50266706305513</v>
      </c>
      <c r="AM278" s="146">
        <v>0.33177348826429681</v>
      </c>
      <c r="AN278" s="146">
        <v>0.12492615489790811</v>
      </c>
      <c r="AO278" s="146">
        <v>269.75808914240895</v>
      </c>
      <c r="AP278" s="146">
        <v>229.27098516011546</v>
      </c>
      <c r="AQ278" t="s">
        <v>382</v>
      </c>
      <c r="AR278">
        <f t="shared" si="18"/>
        <v>4.8813386259591285</v>
      </c>
      <c r="AS278">
        <f t="shared" si="19"/>
        <v>1.3321822791215501</v>
      </c>
      <c r="AT278">
        <v>0.1</v>
      </c>
      <c r="AU278">
        <v>0</v>
      </c>
      <c r="AV278">
        <v>0.2</v>
      </c>
      <c r="AW278" s="146">
        <v>3</v>
      </c>
      <c r="AX278">
        <v>8.4475081685651154E-2</v>
      </c>
      <c r="AY278">
        <v>0.08</v>
      </c>
      <c r="AZ278" s="209">
        <v>229.27098516011546</v>
      </c>
      <c r="BA278">
        <v>8.4475081685651154E-2</v>
      </c>
      <c r="BB278" s="249">
        <v>66.974728968701854</v>
      </c>
      <c r="BC278" s="243">
        <v>209.97630675329455</v>
      </c>
      <c r="BD278" s="209">
        <v>118304.47601616677</v>
      </c>
      <c r="BE278" s="243">
        <v>85.578196099271921</v>
      </c>
      <c r="BF278">
        <v>315124.02598044102</v>
      </c>
      <c r="BG278" t="s">
        <v>390</v>
      </c>
      <c r="BH278">
        <v>5.7757430054099221E-6</v>
      </c>
      <c r="BI278">
        <v>2383044.7601616676</v>
      </c>
      <c r="BJ278">
        <f t="shared" si="20"/>
        <v>0.13223588211539206</v>
      </c>
    </row>
    <row r="279" spans="1:62" x14ac:dyDescent="0.3">
      <c r="A279">
        <v>-0.7</v>
      </c>
      <c r="B279" s="146">
        <v>1000</v>
      </c>
      <c r="C279" s="146">
        <v>25</v>
      </c>
      <c r="D279" s="146">
        <v>400</v>
      </c>
      <c r="E279" s="252">
        <v>15.324052957695406</v>
      </c>
      <c r="F279" s="146">
        <v>7.4291662449325173</v>
      </c>
      <c r="G279" s="146">
        <v>19.79602230460074</v>
      </c>
      <c r="H279" s="146">
        <v>5.550205267790834</v>
      </c>
      <c r="I279" s="146"/>
      <c r="J279" s="146">
        <v>0.1405404948378631</v>
      </c>
      <c r="K279" s="146">
        <v>0.08</v>
      </c>
      <c r="L279" s="146">
        <v>112.81596737765578</v>
      </c>
      <c r="M279" s="146">
        <v>63.017093494330879</v>
      </c>
      <c r="N279" s="146">
        <v>1.022811813649839</v>
      </c>
      <c r="O279" s="146"/>
      <c r="P279" s="146"/>
      <c r="Q279" s="146"/>
      <c r="R279" s="146"/>
      <c r="S279" s="146"/>
      <c r="T279" s="146"/>
      <c r="U279" s="146"/>
      <c r="V279" s="146"/>
      <c r="W279" s="146"/>
      <c r="X279" s="146"/>
      <c r="Y279" s="146"/>
      <c r="Z279" s="146">
        <v>0.18428360111029768</v>
      </c>
      <c r="AA279" s="146"/>
      <c r="AB279" s="146"/>
      <c r="AC279" s="146"/>
      <c r="AD279" s="146"/>
      <c r="AE279" s="146"/>
      <c r="AF279" s="146"/>
      <c r="AG279" s="146"/>
      <c r="AH279" s="146"/>
      <c r="AI279" s="146"/>
      <c r="AJ279" s="146"/>
      <c r="AK279" s="146"/>
      <c r="AL279" s="146">
        <v>710.59610811287359</v>
      </c>
      <c r="AM279" s="146">
        <v>0.37528580896809383</v>
      </c>
      <c r="AN279" s="146">
        <v>9.4198630406555892E-2</v>
      </c>
      <c r="AO279" s="146">
        <v>237.32191337010241</v>
      </c>
      <c r="AP279" s="146">
        <v>199.19020128795458</v>
      </c>
      <c r="AQ279" t="s">
        <v>382</v>
      </c>
      <c r="AR279">
        <f t="shared" si="18"/>
        <v>4.8813386259591285</v>
      </c>
      <c r="AS279">
        <f t="shared" si="19"/>
        <v>1.3321822791215501</v>
      </c>
      <c r="AT279">
        <v>0.1</v>
      </c>
      <c r="AU279">
        <v>0</v>
      </c>
      <c r="AV279">
        <v>0.2</v>
      </c>
      <c r="AW279" s="146">
        <v>3</v>
      </c>
      <c r="AX279">
        <v>8.3000026651016134E-2</v>
      </c>
      <c r="AY279">
        <v>0.08</v>
      </c>
      <c r="AZ279" s="209">
        <v>199.19020128795458</v>
      </c>
      <c r="BA279">
        <v>8.3000026651016134E-2</v>
      </c>
      <c r="BB279" s="249">
        <v>70.920549627830624</v>
      </c>
      <c r="BC279" s="243">
        <v>213.29600821544318</v>
      </c>
      <c r="BD279" s="209">
        <v>122459.54965091722</v>
      </c>
      <c r="BE279" s="243">
        <v>89.658481560186758</v>
      </c>
      <c r="BF279">
        <v>299540.50453918887</v>
      </c>
      <c r="BG279" t="s">
        <v>390</v>
      </c>
      <c r="BH279">
        <v>5.3739755221717686E-6</v>
      </c>
      <c r="BI279">
        <v>2424595.496509172</v>
      </c>
      <c r="BJ279">
        <f t="shared" si="20"/>
        <v>0.12354246511240921</v>
      </c>
    </row>
    <row r="280" spans="1:62" x14ac:dyDescent="0.3">
      <c r="A280">
        <v>-0.8</v>
      </c>
      <c r="B280" s="146">
        <v>1000</v>
      </c>
      <c r="C280" s="146">
        <v>25</v>
      </c>
      <c r="D280" s="146">
        <v>400</v>
      </c>
      <c r="E280" s="252">
        <v>13.454019629117177</v>
      </c>
      <c r="F280" s="146">
        <v>8.6445665493347121</v>
      </c>
      <c r="G280" s="146">
        <v>18.563774839281951</v>
      </c>
      <c r="H280" s="146">
        <v>5.6288129097610495</v>
      </c>
      <c r="I280" s="146"/>
      <c r="J280" s="146">
        <v>0.14867834676035091</v>
      </c>
      <c r="K280" s="146">
        <v>0.08</v>
      </c>
      <c r="L280" s="146">
        <v>114.58744024006933</v>
      </c>
      <c r="M280" s="146">
        <v>64.006608308485596</v>
      </c>
      <c r="N280" s="146">
        <v>0.89011968453380064</v>
      </c>
      <c r="O280" s="146"/>
      <c r="P280" s="146"/>
      <c r="Q280" s="146"/>
      <c r="R280" s="146"/>
      <c r="S280" s="146"/>
      <c r="T280" s="146"/>
      <c r="U280" s="146"/>
      <c r="V280" s="146"/>
      <c r="W280" s="146"/>
      <c r="X280" s="146"/>
      <c r="Y280" s="146"/>
      <c r="Z280" s="146">
        <v>0.1581363066784871</v>
      </c>
      <c r="AA280" s="146"/>
      <c r="AB280" s="146"/>
      <c r="AC280" s="146"/>
      <c r="AD280" s="146"/>
      <c r="AE280" s="146"/>
      <c r="AF280" s="146"/>
      <c r="AG280" s="146"/>
      <c r="AH280" s="146"/>
      <c r="AI280" s="146"/>
      <c r="AJ280" s="146"/>
      <c r="AK280" s="146"/>
      <c r="AL280" s="146">
        <v>599.84809030680162</v>
      </c>
      <c r="AM280" s="146">
        <v>0.46566857356200753</v>
      </c>
      <c r="AN280" s="146">
        <v>6.3542296187432332E-2</v>
      </c>
      <c r="AO280" s="146">
        <v>188.26670680216668</v>
      </c>
      <c r="AP280" s="146">
        <v>154.78824803990076</v>
      </c>
      <c r="AQ280" t="s">
        <v>382</v>
      </c>
      <c r="AR280">
        <f t="shared" si="18"/>
        <v>4.8813386259591285</v>
      </c>
      <c r="AS280">
        <f t="shared" si="19"/>
        <v>1.3321822791215501</v>
      </c>
      <c r="AT280">
        <v>0.1</v>
      </c>
      <c r="AU280">
        <v>0</v>
      </c>
      <c r="AV280">
        <v>0.2</v>
      </c>
      <c r="AW280" s="146">
        <v>3</v>
      </c>
      <c r="AX280">
        <v>8.1937014668843164E-2</v>
      </c>
      <c r="AY280">
        <v>0.08</v>
      </c>
      <c r="AZ280" s="209">
        <v>154.78824803990076</v>
      </c>
      <c r="BA280">
        <v>8.1937014668843164E-2</v>
      </c>
      <c r="BB280" s="249">
        <v>77.959564609328098</v>
      </c>
      <c r="BC280" s="243">
        <v>218.85863861238101</v>
      </c>
      <c r="BD280" s="209">
        <v>129204.38624149832</v>
      </c>
      <c r="BE280" s="243">
        <v>96.130135586586022</v>
      </c>
      <c r="BF280">
        <v>271128.21397870616</v>
      </c>
      <c r="BG280" t="s">
        <v>390</v>
      </c>
      <c r="BH280">
        <v>4.6232584727964596E-6</v>
      </c>
      <c r="BI280">
        <v>2492043.8624149831</v>
      </c>
      <c r="BJ280">
        <f t="shared" si="20"/>
        <v>0.10879752883481031</v>
      </c>
    </row>
    <row r="281" spans="1:62" x14ac:dyDescent="0.3">
      <c r="A281">
        <v>-0.85</v>
      </c>
      <c r="B281" s="146">
        <v>1000</v>
      </c>
      <c r="C281" s="146">
        <v>25</v>
      </c>
      <c r="D281" s="146">
        <v>400</v>
      </c>
      <c r="E281" s="252">
        <v>9.3297263625599012</v>
      </c>
      <c r="F281" s="146">
        <v>4.9874644820024745</v>
      </c>
      <c r="G281" s="146">
        <v>12.253396119349912</v>
      </c>
      <c r="H281" s="146">
        <v>3.5921943828245642</v>
      </c>
      <c r="I281" s="146"/>
      <c r="J281" s="146">
        <v>0.16286396555718849</v>
      </c>
      <c r="K281" s="146">
        <v>0.08</v>
      </c>
      <c r="L281" s="146">
        <v>73.372198319725101</v>
      </c>
      <c r="M281" s="146">
        <v>40.98447045107261</v>
      </c>
      <c r="N281" s="146">
        <v>0.6712101180705865</v>
      </c>
      <c r="O281" s="146"/>
      <c r="P281" s="146"/>
      <c r="Q281" s="146"/>
      <c r="R281" s="146"/>
      <c r="S281" s="146"/>
      <c r="T281" s="146"/>
      <c r="U281" s="146"/>
      <c r="V281" s="146"/>
      <c r="W281" s="146"/>
      <c r="X281" s="146"/>
      <c r="Y281" s="146"/>
      <c r="Z281" s="146">
        <v>0.18685239342276627</v>
      </c>
      <c r="AA281" s="146"/>
      <c r="AB281" s="146"/>
      <c r="AC281" s="146"/>
      <c r="AD281" s="146"/>
      <c r="AE281" s="146"/>
      <c r="AF281" s="146"/>
      <c r="AG281" s="146"/>
      <c r="AH281" s="146"/>
      <c r="AI281" s="146"/>
      <c r="AJ281" s="146"/>
      <c r="AK281" s="146"/>
      <c r="AL281" s="146">
        <v>520.75280637534172</v>
      </c>
      <c r="AM281" s="146">
        <v>0.40702711586435503</v>
      </c>
      <c r="AN281" s="146">
        <v>4.8684478492002033E-2</v>
      </c>
      <c r="AO281" s="146">
        <v>208.36343221602746</v>
      </c>
      <c r="AP281" s="146">
        <v>185.14774734004837</v>
      </c>
      <c r="AQ281" t="s">
        <v>382</v>
      </c>
      <c r="AR281">
        <f t="shared" si="18"/>
        <v>4.8813386259591285</v>
      </c>
      <c r="AS281">
        <f t="shared" si="19"/>
        <v>1.3321822791215501</v>
      </c>
      <c r="AT281">
        <v>0.1</v>
      </c>
      <c r="AU281">
        <v>0</v>
      </c>
      <c r="AV281">
        <v>0.2</v>
      </c>
      <c r="AW281" s="146">
        <v>3</v>
      </c>
      <c r="AX281">
        <v>9.0630346990485014E-2</v>
      </c>
      <c r="AY281">
        <v>0.08</v>
      </c>
      <c r="AZ281" s="209">
        <v>185.14774734004837</v>
      </c>
      <c r="BA281">
        <v>9.0630346990485014E-2</v>
      </c>
      <c r="BB281" s="249">
        <v>46.629987177575998</v>
      </c>
      <c r="BC281" s="243">
        <v>116.30471312927814</v>
      </c>
      <c r="BD281" s="209">
        <v>62770.153036780066</v>
      </c>
      <c r="BE281" s="243">
        <v>55.670293186231447</v>
      </c>
      <c r="BF281">
        <v>648810.49984091707</v>
      </c>
      <c r="BG281" t="s">
        <v>390</v>
      </c>
      <c r="BH281">
        <v>3.4450249460488286E-6</v>
      </c>
      <c r="BI281">
        <v>1827701.5303678005</v>
      </c>
      <c r="BJ281">
        <f t="shared" si="20"/>
        <v>0.35498711855340659</v>
      </c>
    </row>
    <row r="282" spans="1:62" s="160" customFormat="1" ht="15" thickBot="1" x14ac:dyDescent="0.35">
      <c r="A282" s="160">
        <v>-0.87</v>
      </c>
      <c r="B282" s="160">
        <v>1000</v>
      </c>
      <c r="C282" s="160">
        <v>25</v>
      </c>
      <c r="D282" s="160">
        <v>400</v>
      </c>
      <c r="E282" s="250">
        <v>3.3782880483703157</v>
      </c>
      <c r="F282" s="160">
        <v>1.096741477765466</v>
      </c>
      <c r="G282" s="160">
        <v>4.0350607886462821</v>
      </c>
      <c r="H282" s="160">
        <v>1.0545586743143198</v>
      </c>
      <c r="J282" s="160">
        <v>0.20102249419798487</v>
      </c>
      <c r="K282" s="160">
        <v>0.08</v>
      </c>
      <c r="L282" s="160">
        <v>21.548275790702331</v>
      </c>
      <c r="M282" s="160">
        <v>12.03650282586915</v>
      </c>
      <c r="N282" s="160">
        <v>0.23600649721124178</v>
      </c>
      <c r="Z282" s="160">
        <v>0.22379645908720497</v>
      </c>
      <c r="AL282" s="160">
        <v>429.65789251879494</v>
      </c>
      <c r="AM282" s="160">
        <v>0.27180296288260147</v>
      </c>
      <c r="AN282" s="160">
        <v>4.2260883360387462E-2</v>
      </c>
      <c r="AO282" s="160">
        <v>320.0611113695532</v>
      </c>
      <c r="AP282" s="160">
        <v>311.65464391317408</v>
      </c>
      <c r="AQ282" t="s">
        <v>382</v>
      </c>
      <c r="AR282" s="160">
        <f t="shared" si="18"/>
        <v>4.8813386259591285</v>
      </c>
      <c r="AS282" s="160">
        <f t="shared" si="19"/>
        <v>1.3321822791215501</v>
      </c>
      <c r="AT282" s="160">
        <v>0.1</v>
      </c>
      <c r="AU282">
        <v>0</v>
      </c>
      <c r="AV282" s="160">
        <v>0.2</v>
      </c>
      <c r="AW282" s="146">
        <v>3</v>
      </c>
      <c r="AX282" s="160">
        <v>0.12698273647609037</v>
      </c>
      <c r="AY282" s="160">
        <v>0.08</v>
      </c>
      <c r="AZ282" s="248">
        <v>311.65464391317408</v>
      </c>
      <c r="BA282" s="160">
        <v>0.12698273647609037</v>
      </c>
      <c r="BB282" s="250">
        <v>11.637201878735574</v>
      </c>
      <c r="BC282" s="246">
        <v>29.573875376376268</v>
      </c>
      <c r="BD282" s="248">
        <v>12137.886303256842</v>
      </c>
      <c r="BE282" s="246">
        <v>13.786925180917114</v>
      </c>
      <c r="BF282" s="160">
        <v>825442.36236495525</v>
      </c>
      <c r="BG282" t="s">
        <v>390</v>
      </c>
      <c r="BH282" s="160">
        <v>1.1941922956560014E-6</v>
      </c>
      <c r="BI282" s="160">
        <v>1321378.8630325685</v>
      </c>
      <c r="BJ282">
        <f t="shared" si="20"/>
        <v>0.6246825838204817</v>
      </c>
    </row>
    <row r="283" spans="1:62" x14ac:dyDescent="0.3">
      <c r="A283">
        <v>-0.1</v>
      </c>
      <c r="B283" s="146">
        <v>100</v>
      </c>
      <c r="C283" s="146">
        <v>25</v>
      </c>
      <c r="D283" s="146">
        <v>400</v>
      </c>
      <c r="E283" s="249">
        <v>3.1068829585096158</v>
      </c>
      <c r="F283">
        <v>0.38998091216951597</v>
      </c>
      <c r="G283">
        <v>3.5038272140212463</v>
      </c>
      <c r="H283">
        <v>4.3003321496016778</v>
      </c>
      <c r="J283">
        <v>0.94529406988969833</v>
      </c>
      <c r="K283">
        <v>0.36</v>
      </c>
      <c r="L283">
        <v>21.654763532025445</v>
      </c>
      <c r="M283">
        <v>7.9874127782061084</v>
      </c>
      <c r="N283">
        <v>1.2010375699342548</v>
      </c>
      <c r="Z283">
        <v>0.27928948931200631</v>
      </c>
      <c r="AL283">
        <v>975.04813861497632</v>
      </c>
      <c r="AM283">
        <v>0.11130141081413246</v>
      </c>
      <c r="AN283">
        <v>0.17513845045189905</v>
      </c>
      <c r="AO283">
        <v>382.26041768387745</v>
      </c>
      <c r="AP283">
        <v>374.52935364784912</v>
      </c>
      <c r="AQ283" t="s">
        <v>383</v>
      </c>
      <c r="AR283">
        <f t="shared" ref="AR283:AR322" si="21">0.6*Jsat_t</f>
        <v>19.525354503836514</v>
      </c>
      <c r="AS283">
        <f t="shared" ref="AS283:AS322" si="22">0.2*Jatp</f>
        <v>5.3287291164862003</v>
      </c>
      <c r="AT283">
        <v>0.4</v>
      </c>
      <c r="AU283">
        <v>0</v>
      </c>
      <c r="AV283">
        <v>0.5</v>
      </c>
      <c r="AW283">
        <v>3</v>
      </c>
      <c r="AX283">
        <v>0.91550446710950073</v>
      </c>
      <c r="AY283">
        <v>0.36</v>
      </c>
      <c r="AZ283" s="209">
        <v>374.52935364784912</v>
      </c>
      <c r="BA283">
        <v>0.91550446710950073</v>
      </c>
      <c r="BB283" s="249">
        <v>6.0208340726870055</v>
      </c>
      <c r="BC283" s="243">
        <v>70.626209090276831</v>
      </c>
      <c r="BD283" s="209">
        <v>23918.661814001538</v>
      </c>
      <c r="BE283" s="243">
        <v>10.155310680472031</v>
      </c>
      <c r="BF283">
        <v>16556.122815008057</v>
      </c>
      <c r="BG283" t="s">
        <v>387</v>
      </c>
      <c r="BH283">
        <v>1.9289178923395801E-6</v>
      </c>
      <c r="BI283">
        <v>1439186.6181400153</v>
      </c>
      <c r="BJ283">
        <f t="shared" si="20"/>
        <v>1.1503805417816461E-2</v>
      </c>
    </row>
    <row r="284" spans="1:62" s="146" customFormat="1" x14ac:dyDescent="0.3">
      <c r="A284">
        <v>-0.1</v>
      </c>
      <c r="B284" s="146">
        <v>200</v>
      </c>
      <c r="C284" s="146">
        <v>25</v>
      </c>
      <c r="D284" s="146">
        <v>400</v>
      </c>
      <c r="E284" s="252">
        <v>5.9219572099908495</v>
      </c>
      <c r="F284" s="146">
        <v>0.59108372900043216</v>
      </c>
      <c r="G284" s="146">
        <v>6.5113375195405689</v>
      </c>
      <c r="H284" s="146">
        <v>7.9458803759578966</v>
      </c>
      <c r="J284" s="146">
        <v>0.99999999932410788</v>
      </c>
      <c r="K284" s="146">
        <v>0.36</v>
      </c>
      <c r="L284" s="146">
        <v>40.107637240626481</v>
      </c>
      <c r="M284" s="146">
        <v>14.793800621542555</v>
      </c>
      <c r="N284" s="146">
        <v>1.8770039455957495</v>
      </c>
      <c r="Z284" s="146">
        <v>0.23622353430779805</v>
      </c>
      <c r="AL284" s="146">
        <v>1293.9818981461578</v>
      </c>
      <c r="AM284" s="146">
        <v>9.0777620915301324E-2</v>
      </c>
      <c r="AN284" s="146">
        <v>0.19882925851755889</v>
      </c>
      <c r="AO284" s="146">
        <v>370.21586634610986</v>
      </c>
      <c r="AP284" s="146">
        <v>355.47992534828313</v>
      </c>
      <c r="AQ284" s="146" t="s">
        <v>383</v>
      </c>
      <c r="AR284" s="146">
        <f t="shared" si="21"/>
        <v>19.525354503836514</v>
      </c>
      <c r="AS284" s="146">
        <f t="shared" si="22"/>
        <v>5.3287291164862003</v>
      </c>
      <c r="AT284" s="146">
        <v>0.4</v>
      </c>
      <c r="AU284">
        <v>0</v>
      </c>
      <c r="AV284" s="146">
        <v>0.5</v>
      </c>
      <c r="AW284">
        <v>3</v>
      </c>
      <c r="AX284" s="146">
        <v>0.99999999900000003</v>
      </c>
      <c r="AY284" s="146">
        <v>0.36</v>
      </c>
      <c r="AZ284" s="209">
        <v>355.47992534828313</v>
      </c>
      <c r="BA284" s="146">
        <v>0.99999999900000003</v>
      </c>
      <c r="BB284" s="252">
        <v>10.063748361864835</v>
      </c>
      <c r="BC284" s="244">
        <v>102.66368204334715</v>
      </c>
      <c r="BD284" s="229">
        <v>37485.702549680696</v>
      </c>
      <c r="BE284" s="244">
        <v>14.871695976454172</v>
      </c>
      <c r="BF284" s="146">
        <v>46887.010850635284</v>
      </c>
      <c r="BG284" t="s">
        <v>387</v>
      </c>
      <c r="BH284" s="146">
        <v>3.438105935765062E-6</v>
      </c>
      <c r="BI284" s="146">
        <v>1574857.0254968069</v>
      </c>
      <c r="BJ284">
        <f t="shared" si="20"/>
        <v>2.9772233346607595E-2</v>
      </c>
    </row>
    <row r="285" spans="1:62" s="146" customFormat="1" x14ac:dyDescent="0.3">
      <c r="A285">
        <v>-0.1</v>
      </c>
      <c r="B285" s="146">
        <v>300</v>
      </c>
      <c r="C285" s="146">
        <v>25</v>
      </c>
      <c r="D285" s="146">
        <v>400</v>
      </c>
      <c r="E285" s="252">
        <v>8.4196837584906046</v>
      </c>
      <c r="F285" s="146">
        <v>0.7313455769789835</v>
      </c>
      <c r="G285" s="146">
        <v>9.1463295117434829</v>
      </c>
      <c r="H285" s="146">
        <v>11.147445555995837</v>
      </c>
      <c r="J285" s="146">
        <v>0.99999999928676853</v>
      </c>
      <c r="K285" s="146">
        <v>0.36</v>
      </c>
      <c r="L285" s="146">
        <v>56.370664062250128</v>
      </c>
      <c r="M285" s="146">
        <v>20.792458055748</v>
      </c>
      <c r="N285" s="146">
        <v>2.5472753180277827</v>
      </c>
      <c r="Z285" s="146">
        <v>0.22850753611958111</v>
      </c>
      <c r="AL285" s="146">
        <v>1613.1121352165851</v>
      </c>
      <c r="AM285" s="146">
        <v>7.9960554235441447E-2</v>
      </c>
      <c r="AN285" s="146">
        <v>0.2127564209895503</v>
      </c>
      <c r="AO285" s="146">
        <v>360.42571256214097</v>
      </c>
      <c r="AP285" s="146">
        <v>339.47447620269395</v>
      </c>
      <c r="AQ285" t="s">
        <v>383</v>
      </c>
      <c r="AR285" s="146">
        <f t="shared" si="21"/>
        <v>19.525354503836514</v>
      </c>
      <c r="AS285" s="146">
        <f t="shared" si="22"/>
        <v>5.3287291164862003</v>
      </c>
      <c r="AT285" s="146">
        <v>0.4</v>
      </c>
      <c r="AU285">
        <v>0</v>
      </c>
      <c r="AV285" s="146">
        <v>0.5</v>
      </c>
      <c r="AW285">
        <v>3</v>
      </c>
      <c r="AX285" s="146">
        <v>0.99999999900000003</v>
      </c>
      <c r="AY285" s="146">
        <v>0.36</v>
      </c>
      <c r="AZ285" s="209">
        <v>339.47447620269395</v>
      </c>
      <c r="BA285" s="146">
        <v>0.99999999900000003</v>
      </c>
      <c r="BB285" s="252">
        <v>13.339493990297136</v>
      </c>
      <c r="BC285" s="244">
        <v>125.47048358297315</v>
      </c>
      <c r="BD285" s="229">
        <v>48297.405442186886</v>
      </c>
      <c r="BE285" s="244">
        <v>18.918702322380881</v>
      </c>
      <c r="BF285" s="146">
        <v>82494.710637941753</v>
      </c>
      <c r="BG285" t="s">
        <v>387</v>
      </c>
      <c r="BH285" s="146">
        <v>4.5472866089339319E-6</v>
      </c>
      <c r="BI285" s="146">
        <v>1682974.0544218689</v>
      </c>
      <c r="BJ285">
        <f t="shared" si="20"/>
        <v>4.9017220688099161E-2</v>
      </c>
    </row>
    <row r="286" spans="1:62" s="146" customFormat="1" x14ac:dyDescent="0.3">
      <c r="A286">
        <v>-0.1</v>
      </c>
      <c r="B286" s="146">
        <v>400</v>
      </c>
      <c r="C286" s="146">
        <v>25</v>
      </c>
      <c r="D286" s="146">
        <v>400</v>
      </c>
      <c r="E286" s="252">
        <v>10.64771344156212</v>
      </c>
      <c r="F286" s="146">
        <v>0.84210953354216589</v>
      </c>
      <c r="G286" s="146">
        <v>11.483385648089389</v>
      </c>
      <c r="H286" s="146">
        <v>14.001633675831116</v>
      </c>
      <c r="J286" s="146">
        <v>0.99999999926132355</v>
      </c>
      <c r="K286" s="146">
        <v>0.36</v>
      </c>
      <c r="L286" s="146">
        <v>70.91089727279028</v>
      </c>
      <c r="M286" s="146">
        <v>26.155658830127564</v>
      </c>
      <c r="N286" s="146">
        <v>3.1466115179081466</v>
      </c>
      <c r="Z286" s="146">
        <v>0.22473174136384258</v>
      </c>
      <c r="AL286" s="146">
        <v>1898.8472828637716</v>
      </c>
      <c r="AM286" s="146">
        <v>7.3332861870948007E-2</v>
      </c>
      <c r="AN286" s="146">
        <v>0.22199783272671039</v>
      </c>
      <c r="AO286" s="146">
        <v>352.0368586000119</v>
      </c>
      <c r="AP286" s="146">
        <v>325.54152390969722</v>
      </c>
      <c r="AQ286" s="146" t="s">
        <v>383</v>
      </c>
      <c r="AR286" s="146">
        <f t="shared" si="21"/>
        <v>19.525354503836514</v>
      </c>
      <c r="AS286" s="146">
        <f t="shared" si="22"/>
        <v>5.3287291164862003</v>
      </c>
      <c r="AT286" s="146">
        <v>0.4</v>
      </c>
      <c r="AU286">
        <v>0</v>
      </c>
      <c r="AV286" s="146">
        <v>0.5</v>
      </c>
      <c r="AW286">
        <v>3</v>
      </c>
      <c r="AX286" s="146">
        <v>0.99999999900000003</v>
      </c>
      <c r="AY286" s="146">
        <v>0.36</v>
      </c>
      <c r="AZ286" s="209">
        <v>325.54152390969722</v>
      </c>
      <c r="BA286" s="146">
        <v>0.99999999900000003</v>
      </c>
      <c r="BB286" s="252">
        <v>16.136644778823786</v>
      </c>
      <c r="BC286" s="244">
        <v>143.52229253305981</v>
      </c>
      <c r="BD286" s="229">
        <v>57372.769205412565</v>
      </c>
      <c r="BE286" s="244">
        <v>22.32468336941394</v>
      </c>
      <c r="BF286" s="146">
        <v>120441.841451963</v>
      </c>
      <c r="BG286" t="s">
        <v>387</v>
      </c>
      <c r="BH286" s="146">
        <v>5.3916363670361459E-6</v>
      </c>
      <c r="BI286" s="146">
        <v>1773727.6920541257</v>
      </c>
      <c r="BJ286">
        <f t="shared" si="20"/>
        <v>6.7903231139432252E-2</v>
      </c>
    </row>
    <row r="287" spans="1:62" s="146" customFormat="1" x14ac:dyDescent="0.3">
      <c r="A287">
        <v>-0.1</v>
      </c>
      <c r="B287" s="146">
        <v>600</v>
      </c>
      <c r="C287" s="146">
        <v>25</v>
      </c>
      <c r="D287" s="146">
        <v>400</v>
      </c>
      <c r="E287" s="252">
        <v>14.434020828471054</v>
      </c>
      <c r="F287" s="146">
        <v>1.0106381650963938</v>
      </c>
      <c r="G287" s="146">
        <v>15.435771324883452</v>
      </c>
      <c r="H287" s="146">
        <v>18.863086908733546</v>
      </c>
      <c r="J287" s="146">
        <v>0.99999999922840788</v>
      </c>
      <c r="K287" s="146">
        <v>0.36</v>
      </c>
      <c r="L287" s="146">
        <v>95.76936997145333</v>
      </c>
      <c r="M287" s="146">
        <v>35.324767612421311</v>
      </c>
      <c r="N287" s="146">
        <v>4.1808503777681914</v>
      </c>
      <c r="Z287" s="146">
        <v>0.22164189763831665</v>
      </c>
      <c r="AL287" s="146">
        <v>2392.8177707958021</v>
      </c>
      <c r="AM287" s="146">
        <v>6.5473771528811148E-2</v>
      </c>
      <c r="AN287" s="146">
        <v>0.23397569716601105</v>
      </c>
      <c r="AO287" s="146">
        <v>338.30974326265266</v>
      </c>
      <c r="AP287" s="146">
        <v>302.3925819117066</v>
      </c>
      <c r="AQ287" t="s">
        <v>383</v>
      </c>
      <c r="AR287" s="146">
        <f t="shared" si="21"/>
        <v>19.525354503836514</v>
      </c>
      <c r="AS287" s="146">
        <f t="shared" si="22"/>
        <v>5.3287291164862003</v>
      </c>
      <c r="AT287" s="146">
        <v>0.4</v>
      </c>
      <c r="AU287">
        <v>0</v>
      </c>
      <c r="AV287" s="146">
        <v>0.5</v>
      </c>
      <c r="AW287">
        <v>3</v>
      </c>
      <c r="AX287" s="146">
        <v>0.99999999900000003</v>
      </c>
      <c r="AY287" s="146">
        <v>0.36</v>
      </c>
      <c r="AZ287" s="209">
        <v>302.3925819117066</v>
      </c>
      <c r="BA287" s="146">
        <v>0.99999999900000003</v>
      </c>
      <c r="BB287" s="252">
        <v>20.726832878524871</v>
      </c>
      <c r="BC287" s="244">
        <v>170.75654232718318</v>
      </c>
      <c r="BD287" s="229">
        <v>71853.330752705835</v>
      </c>
      <c r="BE287" s="244">
        <v>27.816023218497239</v>
      </c>
      <c r="BF287" s="146">
        <v>197686.94508729837</v>
      </c>
      <c r="BG287" t="s">
        <v>387</v>
      </c>
      <c r="BH287" s="146">
        <v>6.577067227783109E-6</v>
      </c>
      <c r="BI287" s="146">
        <v>1918533.3075270583</v>
      </c>
      <c r="BJ287">
        <f t="shared" si="20"/>
        <v>0.10304066356925121</v>
      </c>
    </row>
    <row r="288" spans="1:62" s="146" customFormat="1" x14ac:dyDescent="0.3">
      <c r="A288">
        <v>-0.1</v>
      </c>
      <c r="B288" s="146">
        <v>800</v>
      </c>
      <c r="C288" s="146">
        <v>25</v>
      </c>
      <c r="D288" s="146">
        <v>400</v>
      </c>
      <c r="E288" s="252">
        <v>17.474917437819009</v>
      </c>
      <c r="F288" s="146">
        <v>1.133133233608177</v>
      </c>
      <c r="G288" s="146">
        <v>18.596372489680206</v>
      </c>
      <c r="H288" s="146">
        <v>22.784833046763925</v>
      </c>
      <c r="J288" s="146">
        <v>0.99999999920793681</v>
      </c>
      <c r="K288" s="146">
        <v>0.36</v>
      </c>
      <c r="L288" s="146">
        <v>115.91837981476426</v>
      </c>
      <c r="M288" s="146">
        <v>42.756779439872069</v>
      </c>
      <c r="N288" s="146">
        <v>5.0324713964821548</v>
      </c>
      <c r="Z288" s="146">
        <v>0.22086935577510869</v>
      </c>
      <c r="AL288" s="146">
        <v>2800.4508612258951</v>
      </c>
      <c r="AM288" s="146">
        <v>6.0933025203544038E-2</v>
      </c>
      <c r="AN288" s="146">
        <v>0.24169675719363212</v>
      </c>
      <c r="AO288" s="146">
        <v>327.69899918922283</v>
      </c>
      <c r="AP288" s="146">
        <v>284.21516298481657</v>
      </c>
      <c r="AQ288" s="146" t="s">
        <v>383</v>
      </c>
      <c r="AR288" s="146">
        <f t="shared" si="21"/>
        <v>19.525354503836514</v>
      </c>
      <c r="AS288" s="146">
        <f t="shared" si="22"/>
        <v>5.3287291164862003</v>
      </c>
      <c r="AT288" s="146">
        <v>0.4</v>
      </c>
      <c r="AU288">
        <v>0</v>
      </c>
      <c r="AV288" s="146">
        <v>0.5</v>
      </c>
      <c r="AW288">
        <v>3</v>
      </c>
      <c r="AX288" s="146">
        <v>0.99999999900000003</v>
      </c>
      <c r="AY288" s="146">
        <v>0.36</v>
      </c>
      <c r="AZ288" s="209">
        <v>284.21516298481657</v>
      </c>
      <c r="BA288" s="146">
        <v>0.99999999900000003</v>
      </c>
      <c r="BB288" s="252">
        <v>24.313370978588097</v>
      </c>
      <c r="BC288" s="244">
        <v>189.95109006288126</v>
      </c>
      <c r="BD288" s="229">
        <v>82616.882162890499</v>
      </c>
      <c r="BE288" s="244">
        <v>32.004283959962002</v>
      </c>
      <c r="BF288" s="146">
        <v>271088.05467011203</v>
      </c>
      <c r="BG288" t="s">
        <v>387</v>
      </c>
      <c r="BH288" s="146">
        <v>7.3517935577679132E-6</v>
      </c>
      <c r="BI288" s="146">
        <v>2026168.8216289049</v>
      </c>
      <c r="BJ288">
        <f t="shared" si="20"/>
        <v>0.13379341927301758</v>
      </c>
    </row>
    <row r="289" spans="1:62" s="146" customFormat="1" x14ac:dyDescent="0.3">
      <c r="A289">
        <v>-0.1</v>
      </c>
      <c r="B289" s="146">
        <v>1000</v>
      </c>
      <c r="C289" s="146">
        <v>25</v>
      </c>
      <c r="D289" s="146">
        <v>400</v>
      </c>
      <c r="E289" s="252">
        <v>19.900008087763077</v>
      </c>
      <c r="F289" s="146">
        <v>1.2241662075540367</v>
      </c>
      <c r="G289" s="146">
        <v>21.108989089014894</v>
      </c>
      <c r="H289" s="146">
        <v>25.927321068275923</v>
      </c>
      <c r="J289" s="146">
        <v>0.99999999919405824</v>
      </c>
      <c r="K289" s="146">
        <v>0.36</v>
      </c>
      <c r="L289" s="146">
        <v>132.13923312028857</v>
      </c>
      <c r="M289" s="146">
        <v>48.739881068958908</v>
      </c>
      <c r="N289" s="146">
        <v>5.728864037270089</v>
      </c>
      <c r="Z289" s="146">
        <v>0.220958579645924</v>
      </c>
      <c r="AL289" s="146">
        <v>3134.4130775848234</v>
      </c>
      <c r="AM289" s="146">
        <v>5.7992649595479305E-2</v>
      </c>
      <c r="AN289" s="146">
        <v>0.24720337453462882</v>
      </c>
      <c r="AO289" s="146">
        <v>319.49944807498798</v>
      </c>
      <c r="AP289" s="146">
        <v>269.98105894977817</v>
      </c>
      <c r="AQ289" t="s">
        <v>383</v>
      </c>
      <c r="AR289" s="146">
        <f t="shared" si="21"/>
        <v>19.525354503836514</v>
      </c>
      <c r="AS289" s="146">
        <f t="shared" si="22"/>
        <v>5.3287291164862003</v>
      </c>
      <c r="AT289" s="146">
        <v>0.4</v>
      </c>
      <c r="AU289">
        <v>0</v>
      </c>
      <c r="AV289" s="146">
        <v>0.5</v>
      </c>
      <c r="AW289">
        <v>3</v>
      </c>
      <c r="AX289" s="146">
        <v>0.99999999900000003</v>
      </c>
      <c r="AY289" s="146">
        <v>0.36</v>
      </c>
      <c r="AZ289" s="209">
        <v>269.98105894977817</v>
      </c>
      <c r="BA289" s="146">
        <v>0.99999999900000003</v>
      </c>
      <c r="BB289" s="252">
        <v>27.125501251943806</v>
      </c>
      <c r="BC289" s="244">
        <v>203.55011097368592</v>
      </c>
      <c r="BD289" s="229">
        <v>90552.008995702417</v>
      </c>
      <c r="BE289" s="244">
        <v>35.209048016234632</v>
      </c>
      <c r="BF289" s="146">
        <v>336701.90322130546</v>
      </c>
      <c r="BG289" t="s">
        <v>387</v>
      </c>
      <c r="BH289" s="146">
        <v>7.883982778008197E-6</v>
      </c>
      <c r="BI289" s="146">
        <v>2105520.089957024</v>
      </c>
      <c r="BJ289">
        <f t="shared" si="20"/>
        <v>0.15991388770276607</v>
      </c>
    </row>
    <row r="290" spans="1:62" s="146" customFormat="1" x14ac:dyDescent="0.3">
      <c r="A290">
        <v>-0.1</v>
      </c>
      <c r="B290" s="146">
        <v>1300</v>
      </c>
      <c r="C290" s="146">
        <v>25</v>
      </c>
      <c r="D290" s="146">
        <v>400</v>
      </c>
      <c r="E290" s="252">
        <v>22.625198246401379</v>
      </c>
      <c r="F290" s="146">
        <v>1.3199286712202212</v>
      </c>
      <c r="G290" s="146">
        <v>23.92392807838198</v>
      </c>
      <c r="H290" s="146">
        <v>29.478414441871546</v>
      </c>
      <c r="J290" s="146">
        <v>0.99999999918021509</v>
      </c>
      <c r="K290" s="146">
        <v>0.36</v>
      </c>
      <c r="L290" s="146">
        <v>150.57277838440402</v>
      </c>
      <c r="M290" s="146">
        <v>55.53913956801788</v>
      </c>
      <c r="N290" s="146">
        <v>6.5338334531847764</v>
      </c>
      <c r="Z290" s="146">
        <v>0.22164806272294038</v>
      </c>
      <c r="AL290" s="146">
        <v>3521.2020639792499</v>
      </c>
      <c r="AM290" s="146">
        <v>5.5171904333424594E-2</v>
      </c>
      <c r="AN290" s="146">
        <v>0.25303556404105065</v>
      </c>
      <c r="AO290" s="146">
        <v>310.58490796680724</v>
      </c>
      <c r="AP290" s="146">
        <v>254.28533738686332</v>
      </c>
      <c r="AQ290" s="146" t="s">
        <v>383</v>
      </c>
      <c r="AR290" s="146">
        <f t="shared" si="21"/>
        <v>19.525354503836514</v>
      </c>
      <c r="AS290" s="146">
        <f t="shared" si="22"/>
        <v>5.3287291164862003</v>
      </c>
      <c r="AT290" s="146">
        <v>0.4</v>
      </c>
      <c r="AU290">
        <v>0</v>
      </c>
      <c r="AV290" s="146">
        <v>0.5</v>
      </c>
      <c r="AW290">
        <v>3</v>
      </c>
      <c r="AX290" s="146">
        <v>0.99999999900000003</v>
      </c>
      <c r="AY290" s="146">
        <v>0.36</v>
      </c>
      <c r="AZ290" s="209">
        <v>254.28533738686332</v>
      </c>
      <c r="BA290" s="146">
        <v>0.99999999900000003</v>
      </c>
      <c r="BB290" s="252">
        <v>30.241213820581859</v>
      </c>
      <c r="BC290" s="244">
        <v>216.84460348882504</v>
      </c>
      <c r="BD290" s="229">
        <v>98633.431117051601</v>
      </c>
      <c r="BE290" s="244">
        <v>38.661595059372594</v>
      </c>
      <c r="BF290" s="146">
        <v>417565.74338037078</v>
      </c>
      <c r="BG290" t="s">
        <v>387</v>
      </c>
      <c r="BH290" s="146">
        <v>8.4141302518973173E-6</v>
      </c>
      <c r="BI290" s="146">
        <v>2186334.3111705161</v>
      </c>
      <c r="BJ290">
        <f t="shared" si="20"/>
        <v>0.19098897238493007</v>
      </c>
    </row>
    <row r="291" spans="1:62" s="146" customFormat="1" x14ac:dyDescent="0.3">
      <c r="A291">
        <v>-0.1</v>
      </c>
      <c r="B291" s="227">
        <v>1600</v>
      </c>
      <c r="C291" s="146">
        <v>25</v>
      </c>
      <c r="D291" s="146">
        <v>400</v>
      </c>
      <c r="E291" s="252">
        <v>24.546870847381744</v>
      </c>
      <c r="F291" s="146">
        <v>1.3833096160881186</v>
      </c>
      <c r="G291" s="146">
        <v>25.902987469049361</v>
      </c>
      <c r="H291" s="146">
        <v>31.997594644876806</v>
      </c>
      <c r="J291" s="146">
        <v>0.99999999917121507</v>
      </c>
      <c r="K291" s="146">
        <v>0.36</v>
      </c>
      <c r="L291" s="146">
        <v>163.73594981889588</v>
      </c>
      <c r="M291" s="146">
        <v>60.394407720084551</v>
      </c>
      <c r="N291" s="146">
        <v>7.1184928968201717</v>
      </c>
      <c r="Z291" s="146">
        <v>0.22246962547729901</v>
      </c>
      <c r="AL291" s="146">
        <v>3802.6747611528021</v>
      </c>
      <c r="AM291" s="146">
        <v>5.3403477793478087E-2</v>
      </c>
      <c r="AN291" s="146">
        <v>0.2570613419421594</v>
      </c>
      <c r="AO291" s="146">
        <v>304.50967593211681</v>
      </c>
      <c r="AP291" s="146">
        <v>243.42831274271754</v>
      </c>
      <c r="AQ291" t="s">
        <v>383</v>
      </c>
      <c r="AR291" s="146">
        <f t="shared" si="21"/>
        <v>19.525354503836514</v>
      </c>
      <c r="AS291" s="146">
        <f t="shared" si="22"/>
        <v>5.3287291164862003</v>
      </c>
      <c r="AT291" s="146">
        <v>0.4</v>
      </c>
      <c r="AU291">
        <v>0</v>
      </c>
      <c r="AV291" s="146">
        <v>0.5</v>
      </c>
      <c r="AW291">
        <v>3</v>
      </c>
      <c r="AX291" s="146">
        <v>0.99999999900000003</v>
      </c>
      <c r="AY291" s="146">
        <v>0.36</v>
      </c>
      <c r="AZ291" s="209">
        <v>243.42831274271754</v>
      </c>
      <c r="BA291" s="146">
        <v>0.99999999900000003</v>
      </c>
      <c r="BB291" s="252">
        <v>32.411358184037553</v>
      </c>
      <c r="BC291" s="244">
        <v>224.78901256002266</v>
      </c>
      <c r="BD291" s="229">
        <v>103694.25009583136</v>
      </c>
      <c r="BE291" s="244">
        <v>40.995712889400643</v>
      </c>
      <c r="BF291" s="146">
        <v>478729.82902586763</v>
      </c>
      <c r="BG291" t="s">
        <v>387</v>
      </c>
      <c r="BH291" s="146">
        <v>8.756700455086942E-6</v>
      </c>
      <c r="BI291" s="146">
        <v>2236942.5009583137</v>
      </c>
      <c r="BJ291">
        <f t="shared" si="20"/>
        <v>0.21401078875329971</v>
      </c>
    </row>
    <row r="292" spans="1:62" s="140" customFormat="1" x14ac:dyDescent="0.3">
      <c r="A292" s="140">
        <v>-0.1</v>
      </c>
      <c r="B292" s="140">
        <v>1900</v>
      </c>
      <c r="C292" s="140">
        <v>25</v>
      </c>
      <c r="D292" s="140">
        <v>400</v>
      </c>
      <c r="E292" s="253">
        <v>25.922758648434154</v>
      </c>
      <c r="F292" s="140">
        <v>1.4265307992029086</v>
      </c>
      <c r="G292" s="140">
        <v>27.316677946682237</v>
      </c>
      <c r="H292" s="140">
        <v>33.810195032066289</v>
      </c>
      <c r="J292" s="140">
        <v>0.99999999916502513</v>
      </c>
      <c r="K292" s="140">
        <v>0.36</v>
      </c>
      <c r="L292" s="140">
        <v>173.26403615601242</v>
      </c>
      <c r="M292" s="140">
        <v>63.908865795250492</v>
      </c>
      <c r="N292" s="140">
        <v>7.5471094405909334</v>
      </c>
      <c r="Z292" s="140">
        <v>0.22321993213683325</v>
      </c>
      <c r="AL292" s="140">
        <v>4009.3280460889655</v>
      </c>
      <c r="AM292" s="140">
        <v>5.2221972305243974E-2</v>
      </c>
      <c r="AN292" s="140">
        <v>0.25995125873597796</v>
      </c>
      <c r="AO292" s="140">
        <v>300.27838766973287</v>
      </c>
      <c r="AP292" s="140">
        <v>235.77332579349979</v>
      </c>
      <c r="AQ292" s="146" t="s">
        <v>383</v>
      </c>
      <c r="AR292" s="140">
        <f t="shared" si="21"/>
        <v>19.525354503836514</v>
      </c>
      <c r="AS292" s="140">
        <f t="shared" si="22"/>
        <v>5.3287291164862003</v>
      </c>
      <c r="AT292" s="140">
        <v>0.4</v>
      </c>
      <c r="AU292">
        <v>0</v>
      </c>
      <c r="AV292" s="140">
        <v>0.5</v>
      </c>
      <c r="AW292">
        <v>3</v>
      </c>
      <c r="AX292" s="140">
        <v>0.99999999900000003</v>
      </c>
      <c r="AY292" s="140">
        <v>0.36</v>
      </c>
      <c r="AZ292" s="209">
        <v>235.77332579349979</v>
      </c>
      <c r="BA292" s="140">
        <v>0.99999999900000003</v>
      </c>
      <c r="BB292" s="253">
        <v>33.9515529551458</v>
      </c>
      <c r="BC292" s="245">
        <v>229.6485102993696</v>
      </c>
      <c r="BD292" s="210">
        <v>106936.04054744827</v>
      </c>
      <c r="BE292" s="245">
        <v>42.613049159281672</v>
      </c>
      <c r="BF292" s="140">
        <v>524338.71992388426</v>
      </c>
      <c r="BG292" t="s">
        <v>387</v>
      </c>
      <c r="BH292" s="140">
        <v>8.9914218722968085E-6</v>
      </c>
      <c r="BI292" s="140">
        <v>2269360.4054744826</v>
      </c>
      <c r="BJ292">
        <f t="shared" si="20"/>
        <v>0.23105132118239036</v>
      </c>
    </row>
    <row r="293" spans="1:62" s="146" customFormat="1" x14ac:dyDescent="0.3">
      <c r="A293">
        <v>-0.1</v>
      </c>
      <c r="B293" s="146">
        <v>1000</v>
      </c>
      <c r="C293" s="146">
        <v>25</v>
      </c>
      <c r="D293" s="146">
        <v>200</v>
      </c>
      <c r="E293" s="252">
        <v>19.885929090296248</v>
      </c>
      <c r="F293" s="146">
        <v>1.3496253556829103</v>
      </c>
      <c r="G293" s="146">
        <v>21.169438444239827</v>
      </c>
      <c r="H293" s="146">
        <v>25.747725800061854</v>
      </c>
      <c r="J293" s="146">
        <v>0.99999999917673632</v>
      </c>
      <c r="K293" s="146">
        <v>0.36</v>
      </c>
      <c r="L293" s="146">
        <v>133.8328824788297</v>
      </c>
      <c r="M293" s="146">
        <v>49.364587799568341</v>
      </c>
      <c r="N293" s="146">
        <v>5.5574483725992927</v>
      </c>
      <c r="Z293" s="146">
        <v>0.21584230062703022</v>
      </c>
      <c r="AL293" s="146">
        <v>2850.6003649683853</v>
      </c>
      <c r="AM293" s="146">
        <v>6.3753479301674215E-2</v>
      </c>
      <c r="AN293" s="146">
        <v>0.25287120839087485</v>
      </c>
      <c r="AO293" s="146">
        <v>121.35945718439548</v>
      </c>
      <c r="AP293" s="146">
        <v>71.876178668740224</v>
      </c>
      <c r="AQ293" t="s">
        <v>383</v>
      </c>
      <c r="AR293" s="146">
        <f t="shared" si="21"/>
        <v>19.525354503836514</v>
      </c>
      <c r="AS293" s="146">
        <f t="shared" si="22"/>
        <v>5.3287291164862003</v>
      </c>
      <c r="AT293" s="146">
        <v>0.4</v>
      </c>
      <c r="AU293">
        <v>0</v>
      </c>
      <c r="AV293" s="146">
        <v>0.5</v>
      </c>
      <c r="AW293">
        <v>3</v>
      </c>
      <c r="AX293" s="146">
        <v>0.99999999899999992</v>
      </c>
      <c r="AY293" s="146">
        <v>0.36</v>
      </c>
      <c r="AZ293" s="209">
        <v>71.876178668740224</v>
      </c>
      <c r="BA293" s="146">
        <v>0.99999999899999992</v>
      </c>
      <c r="BB293" s="252">
        <v>27.803108260088898</v>
      </c>
      <c r="BC293" s="244">
        <v>207.75131090232921</v>
      </c>
      <c r="BD293" s="229">
        <v>92713.756474964932</v>
      </c>
      <c r="BE293" s="244">
        <v>35.727359538519735</v>
      </c>
      <c r="BF293" s="146">
        <v>341934.10537026753</v>
      </c>
      <c r="BG293" t="s">
        <v>388</v>
      </c>
      <c r="BH293" s="146">
        <v>7.7893832487112016E-6</v>
      </c>
      <c r="BI293" s="146">
        <v>2127137.5647496493</v>
      </c>
      <c r="BJ293">
        <f t="shared" si="20"/>
        <v>0.16074846828748052</v>
      </c>
    </row>
    <row r="294" spans="1:62" s="146" customFormat="1" x14ac:dyDescent="0.3">
      <c r="A294">
        <v>-0.1</v>
      </c>
      <c r="B294" s="146">
        <v>1000</v>
      </c>
      <c r="C294" s="146">
        <v>25</v>
      </c>
      <c r="D294" s="146">
        <v>300</v>
      </c>
      <c r="E294" s="252">
        <v>19.8842290860985</v>
      </c>
      <c r="F294" s="146">
        <v>1.263981620447918</v>
      </c>
      <c r="G294" s="146">
        <v>21.11579149137561</v>
      </c>
      <c r="H294" s="146">
        <v>25.914372854471839</v>
      </c>
      <c r="J294" s="146">
        <v>0.99999999919398608</v>
      </c>
      <c r="K294" s="146">
        <v>0.36</v>
      </c>
      <c r="L294" s="146">
        <v>132.538622835712</v>
      </c>
      <c r="M294" s="146">
        <v>48.887196947598696</v>
      </c>
      <c r="N294" s="146">
        <v>5.7303579743192188</v>
      </c>
      <c r="Z294" s="146">
        <v>0.2211266314064157</v>
      </c>
      <c r="AL294" s="146">
        <v>3035.5592525734801</v>
      </c>
      <c r="AM294" s="146">
        <v>5.9859542606497604E-2</v>
      </c>
      <c r="AN294" s="146">
        <v>0.24811659292887278</v>
      </c>
      <c r="AO294" s="146">
        <v>219.85933366496499</v>
      </c>
      <c r="AP294" s="146">
        <v>170.38026541386932</v>
      </c>
      <c r="AQ294" s="146" t="s">
        <v>383</v>
      </c>
      <c r="AR294" s="146">
        <f t="shared" si="21"/>
        <v>19.525354503836514</v>
      </c>
      <c r="AS294" s="146">
        <f t="shared" si="22"/>
        <v>5.3287291164862003</v>
      </c>
      <c r="AT294" s="146">
        <v>0.4</v>
      </c>
      <c r="AU294">
        <v>0</v>
      </c>
      <c r="AV294" s="146">
        <v>0.5</v>
      </c>
      <c r="AW294">
        <v>3</v>
      </c>
      <c r="AX294" s="146">
        <v>0.99999999900000003</v>
      </c>
      <c r="AY294" s="146">
        <v>0.36</v>
      </c>
      <c r="AZ294" s="209">
        <v>170.38026541386932</v>
      </c>
      <c r="BA294" s="146">
        <v>0.99999999900000003</v>
      </c>
      <c r="BB294" s="252">
        <v>27.328902493875724</v>
      </c>
      <c r="BC294" s="244">
        <v>204.53341508716753</v>
      </c>
      <c r="BD294" s="229">
        <v>91033.979464816948</v>
      </c>
      <c r="BE294" s="244">
        <v>35.295222934093339</v>
      </c>
      <c r="BF294" s="146">
        <v>337618.55978369794</v>
      </c>
      <c r="BG294" t="s">
        <v>388</v>
      </c>
      <c r="BH294" s="146">
        <v>7.8584188544243788E-6</v>
      </c>
      <c r="BI294" s="146">
        <v>2110339.7946481695</v>
      </c>
      <c r="BJ294">
        <f t="shared" si="20"/>
        <v>0.15998303241966058</v>
      </c>
    </row>
    <row r="295" spans="1:62" s="146" customFormat="1" x14ac:dyDescent="0.3">
      <c r="A295">
        <v>-0.1</v>
      </c>
      <c r="B295" s="146">
        <v>1000</v>
      </c>
      <c r="C295" s="146">
        <v>25</v>
      </c>
      <c r="D295" s="146">
        <v>400</v>
      </c>
      <c r="E295" s="252">
        <v>19.899967495783386</v>
      </c>
      <c r="F295" s="146">
        <v>1.2241652684390079</v>
      </c>
      <c r="G295" s="146">
        <v>21.108946190479653</v>
      </c>
      <c r="H295" s="146">
        <v>25.927264902653768</v>
      </c>
      <c r="J295" s="146">
        <v>0.99999999919405824</v>
      </c>
      <c r="K295" s="146">
        <v>0.36</v>
      </c>
      <c r="L295" s="146">
        <v>132.13895086501662</v>
      </c>
      <c r="M295" s="146">
        <v>48.739776958407774</v>
      </c>
      <c r="N295" s="146">
        <v>5.7288493821266329</v>
      </c>
      <c r="Z295" s="146">
        <v>0.22095849306265469</v>
      </c>
      <c r="AL295" s="146">
        <v>3134.4058544733034</v>
      </c>
      <c r="AM295" s="146">
        <v>5.7992722961751578E-2</v>
      </c>
      <c r="AN295" s="146">
        <v>0.24720324609088026</v>
      </c>
      <c r="AO295" s="146">
        <v>319.49957045277841</v>
      </c>
      <c r="AP295" s="146">
        <v>269.98116340998769</v>
      </c>
      <c r="AQ295" t="s">
        <v>383</v>
      </c>
      <c r="AR295" s="146">
        <f t="shared" si="21"/>
        <v>19.525354503836514</v>
      </c>
      <c r="AS295" s="146">
        <f t="shared" si="22"/>
        <v>5.3287291164862003</v>
      </c>
      <c r="AT295" s="146">
        <v>0.4</v>
      </c>
      <c r="AU295">
        <v>0</v>
      </c>
      <c r="AV295" s="146">
        <v>0.5</v>
      </c>
      <c r="AW295">
        <v>3</v>
      </c>
      <c r="AX295" s="146">
        <v>0.99999999900000003</v>
      </c>
      <c r="AY295" s="146">
        <v>0.36</v>
      </c>
      <c r="AZ295" s="209">
        <v>269.98116340998769</v>
      </c>
      <c r="BA295" s="146">
        <v>0.99999999900000003</v>
      </c>
      <c r="BB295" s="252">
        <v>27.125456283197103</v>
      </c>
      <c r="BC295" s="244">
        <v>203.54941765143218</v>
      </c>
      <c r="BD295" s="229">
        <v>90551.682062566557</v>
      </c>
      <c r="BE295" s="244">
        <v>35.20900653927216</v>
      </c>
      <c r="BF295" s="146">
        <v>336700.24058586831</v>
      </c>
      <c r="BG295" t="s">
        <v>388</v>
      </c>
      <c r="BH295" s="146">
        <v>7.8839828000584416E-6</v>
      </c>
      <c r="BI295" s="146">
        <v>2105516.8206256656</v>
      </c>
      <c r="BJ295">
        <f t="shared" si="20"/>
        <v>0.15991334635161739</v>
      </c>
    </row>
    <row r="296" spans="1:62" s="146" customFormat="1" x14ac:dyDescent="0.3">
      <c r="A296">
        <v>-0.1</v>
      </c>
      <c r="B296" s="146">
        <v>1000</v>
      </c>
      <c r="C296" s="146">
        <v>25</v>
      </c>
      <c r="D296" s="146">
        <v>500</v>
      </c>
      <c r="E296" s="252">
        <v>19.916965452380385</v>
      </c>
      <c r="F296" s="146">
        <v>1.1927688371214686</v>
      </c>
      <c r="G296" s="146">
        <v>21.108461451494122</v>
      </c>
      <c r="H296" s="146">
        <v>25.911326534312533</v>
      </c>
      <c r="J296" s="146">
        <v>0.9999999991918842</v>
      </c>
      <c r="K296" s="146">
        <v>0.36</v>
      </c>
      <c r="L296" s="146">
        <v>131.85755022322218</v>
      </c>
      <c r="M296" s="146">
        <v>48.635981639713108</v>
      </c>
      <c r="N296" s="146">
        <v>5.696805298768929</v>
      </c>
      <c r="Z296" s="146">
        <v>0.21985772481486249</v>
      </c>
      <c r="AL296" s="146">
        <v>3218.1340185115728</v>
      </c>
      <c r="AM296" s="146">
        <v>5.6506668658081696E-2</v>
      </c>
      <c r="AN296" s="146">
        <v>0.24677780786723938</v>
      </c>
      <c r="AO296" s="146">
        <v>419.29191030380156</v>
      </c>
      <c r="AP296" s="146">
        <v>369.73136912710726</v>
      </c>
      <c r="AQ296" s="146" t="s">
        <v>383</v>
      </c>
      <c r="AR296" s="146">
        <f t="shared" si="21"/>
        <v>19.525354503836514</v>
      </c>
      <c r="AS296" s="146">
        <f t="shared" si="22"/>
        <v>5.3287291164862003</v>
      </c>
      <c r="AT296" s="146">
        <v>0.4</v>
      </c>
      <c r="AU296">
        <v>0</v>
      </c>
      <c r="AV296" s="146">
        <v>0.5</v>
      </c>
      <c r="AW296">
        <v>3</v>
      </c>
      <c r="AX296" s="146">
        <v>0.99999999900000003</v>
      </c>
      <c r="AY296" s="146">
        <v>0.36</v>
      </c>
      <c r="AZ296" s="209">
        <v>369.73136912710726</v>
      </c>
      <c r="BA296" s="146">
        <v>0.99999999900000003</v>
      </c>
      <c r="BB296" s="252">
        <v>26.969702955161541</v>
      </c>
      <c r="BC296" s="244">
        <v>202.85930939545997</v>
      </c>
      <c r="BD296" s="229">
        <v>90237.995079310262</v>
      </c>
      <c r="BE296" s="244">
        <v>35.185322825740514</v>
      </c>
      <c r="BF296" s="146">
        <v>336236.18879822892</v>
      </c>
      <c r="BG296" t="s">
        <v>388</v>
      </c>
      <c r="BH296" s="146">
        <v>7.9029789437269304E-6</v>
      </c>
      <c r="BI296" s="146">
        <v>2102379.9507931024</v>
      </c>
      <c r="BJ296">
        <f t="shared" si="20"/>
        <v>0.15993121922199985</v>
      </c>
    </row>
    <row r="297" spans="1:62" s="146" customFormat="1" x14ac:dyDescent="0.3">
      <c r="A297">
        <v>-0.1</v>
      </c>
      <c r="B297" s="146">
        <v>1000</v>
      </c>
      <c r="C297" s="146">
        <v>25</v>
      </c>
      <c r="D297" s="146">
        <v>600</v>
      </c>
      <c r="E297" s="252">
        <v>19.934146602762965</v>
      </c>
      <c r="F297" s="146">
        <v>1.164742574968139</v>
      </c>
      <c r="G297" s="146">
        <v>21.110168738707657</v>
      </c>
      <c r="H297" s="146">
        <v>25.886296400495485</v>
      </c>
      <c r="J297" s="146">
        <v>0.99999999918904348</v>
      </c>
      <c r="K297" s="146">
        <v>0.36</v>
      </c>
      <c r="L297" s="146">
        <v>131.61952747729507</v>
      </c>
      <c r="M297" s="146">
        <v>48.548186364576047</v>
      </c>
      <c r="N297" s="146">
        <v>5.6553243819402113</v>
      </c>
      <c r="Z297" s="146">
        <v>0.21846788333274139</v>
      </c>
      <c r="AL297" s="146">
        <v>3297.1929550130453</v>
      </c>
      <c r="AM297" s="146">
        <v>5.5174479625663256E-2</v>
      </c>
      <c r="AN297" s="146">
        <v>0.24650847521921912</v>
      </c>
      <c r="AO297" s="146">
        <v>519.13403145658344</v>
      </c>
      <c r="AP297" s="146">
        <v>469.53076404294154</v>
      </c>
      <c r="AQ297" t="s">
        <v>383</v>
      </c>
      <c r="AR297" s="146">
        <f t="shared" si="21"/>
        <v>19.525354503836514</v>
      </c>
      <c r="AS297" s="146">
        <f t="shared" si="22"/>
        <v>5.3287291164862003</v>
      </c>
      <c r="AT297" s="146">
        <v>0.4</v>
      </c>
      <c r="AU297">
        <v>0</v>
      </c>
      <c r="AV297" s="146">
        <v>0.5</v>
      </c>
      <c r="AW297">
        <v>3</v>
      </c>
      <c r="AX297" s="146">
        <v>0.99999999900000003</v>
      </c>
      <c r="AY297" s="146">
        <v>0.36</v>
      </c>
      <c r="AZ297" s="209">
        <v>469.53076404294154</v>
      </c>
      <c r="BA297" s="146">
        <v>0.99999999900000003</v>
      </c>
      <c r="BB297" s="252">
        <v>26.832731171713338</v>
      </c>
      <c r="BC297" s="244">
        <v>202.27731292961602</v>
      </c>
      <c r="BD297" s="229">
        <v>89985.267899809944</v>
      </c>
      <c r="BE297" s="244">
        <v>35.183026454633755</v>
      </c>
      <c r="BF297" s="146">
        <v>335930.16435822501</v>
      </c>
      <c r="BG297" t="s">
        <v>388</v>
      </c>
      <c r="BH297" s="146">
        <v>7.9195165844412425E-6</v>
      </c>
      <c r="BI297" s="146">
        <v>2099852.6789980996</v>
      </c>
      <c r="BJ297">
        <f t="shared" si="20"/>
        <v>0.15997796784415705</v>
      </c>
    </row>
    <row r="298" spans="1:62" s="146" customFormat="1" x14ac:dyDescent="0.3">
      <c r="A298">
        <v>-0.1</v>
      </c>
      <c r="B298" s="146">
        <v>1000</v>
      </c>
      <c r="C298" s="146">
        <v>25</v>
      </c>
      <c r="D298" s="146">
        <v>700</v>
      </c>
      <c r="E298" s="252">
        <v>19.951289883655683</v>
      </c>
      <c r="F298" s="146">
        <v>1.1386474435112932</v>
      </c>
      <c r="G298" s="146">
        <v>21.112978350375787</v>
      </c>
      <c r="H298" s="146">
        <v>25.857961767330995</v>
      </c>
      <c r="J298" s="146">
        <v>0.99999999918594906</v>
      </c>
      <c r="K298" s="146">
        <v>0.36</v>
      </c>
      <c r="L298" s="146">
        <v>131.40562188542083</v>
      </c>
      <c r="M298" s="146">
        <v>48.46928676101588</v>
      </c>
      <c r="N298" s="146">
        <v>5.6104895207354026</v>
      </c>
      <c r="Z298" s="146">
        <v>0.21697338603940963</v>
      </c>
      <c r="AL298" s="146">
        <v>3374.5982582707666</v>
      </c>
      <c r="AM298" s="146">
        <v>5.3931161421904579E-2</v>
      </c>
      <c r="AN298" s="146">
        <v>0.24631045123467143</v>
      </c>
      <c r="AO298" s="146">
        <v>618.9994180772818</v>
      </c>
      <c r="AP298" s="146">
        <v>569.35349790306771</v>
      </c>
      <c r="AQ298" s="146" t="s">
        <v>383</v>
      </c>
      <c r="AR298" s="146">
        <f t="shared" si="21"/>
        <v>19.525354503836514</v>
      </c>
      <c r="AS298" s="146">
        <f t="shared" si="22"/>
        <v>5.3287291164862003</v>
      </c>
      <c r="AT298" s="146">
        <v>0.4</v>
      </c>
      <c r="AU298">
        <v>0</v>
      </c>
      <c r="AV298" s="146">
        <v>0.5</v>
      </c>
      <c r="AW298">
        <v>3</v>
      </c>
      <c r="AX298" s="146">
        <v>0.99999999900000003</v>
      </c>
      <c r="AY298" s="146">
        <v>0.36</v>
      </c>
      <c r="AZ298" s="209">
        <v>569.35349790306771</v>
      </c>
      <c r="BA298" s="146">
        <v>0.99999999900000003</v>
      </c>
      <c r="BB298" s="252">
        <v>26.706392160286711</v>
      </c>
      <c r="BC298" s="244">
        <v>201.75563227838416</v>
      </c>
      <c r="BD298" s="229">
        <v>89764.971406929501</v>
      </c>
      <c r="BE298" s="244">
        <v>35.190265707398503</v>
      </c>
      <c r="BF298" s="146">
        <v>335705.01059587288</v>
      </c>
      <c r="BG298" t="s">
        <v>388</v>
      </c>
      <c r="BH298" s="146">
        <v>7.934706931436545E-6</v>
      </c>
      <c r="BI298" s="146">
        <v>2097649.7140692947</v>
      </c>
      <c r="BJ298">
        <f t="shared" si="20"/>
        <v>0.16003864150636879</v>
      </c>
    </row>
    <row r="299" spans="1:62" s="146" customFormat="1" x14ac:dyDescent="0.3">
      <c r="A299">
        <v>-0.1</v>
      </c>
      <c r="B299" s="146">
        <v>1000</v>
      </c>
      <c r="C299" s="146">
        <v>25</v>
      </c>
      <c r="D299" s="146">
        <v>800</v>
      </c>
      <c r="E299" s="252">
        <v>20.000337604854717</v>
      </c>
      <c r="F299" s="146">
        <v>1.0919841227264184</v>
      </c>
      <c r="G299" s="146">
        <v>21.138067875815871</v>
      </c>
      <c r="H299" s="146">
        <v>25.800772026212208</v>
      </c>
      <c r="J299" s="146">
        <v>0.97156800275080235</v>
      </c>
      <c r="K299" s="146">
        <v>0.36</v>
      </c>
      <c r="L299" s="146">
        <v>131.06890120720999</v>
      </c>
      <c r="M299" s="146">
        <v>48.345086510856142</v>
      </c>
      <c r="N299" s="146">
        <v>5.8695603422383016</v>
      </c>
      <c r="Z299" s="146">
        <v>0.22749553138468653</v>
      </c>
      <c r="AL299" s="146">
        <v>3603.8267616901335</v>
      </c>
      <c r="AM299" s="146">
        <v>5.1659599597357754E-2</v>
      </c>
      <c r="AN299" s="146">
        <v>0.24635447099832392</v>
      </c>
      <c r="AO299" s="146">
        <v>718.81479754028578</v>
      </c>
      <c r="AP299" s="146">
        <v>669.04659057098456</v>
      </c>
      <c r="AQ299" t="s">
        <v>383</v>
      </c>
      <c r="AR299" s="146">
        <f t="shared" si="21"/>
        <v>19.525354503836514</v>
      </c>
      <c r="AS299" s="146">
        <f t="shared" si="22"/>
        <v>5.3287291164862003</v>
      </c>
      <c r="AT299" s="146">
        <v>0.4</v>
      </c>
      <c r="AU299">
        <v>0</v>
      </c>
      <c r="AV299" s="146">
        <v>0.5</v>
      </c>
      <c r="AW299">
        <v>3</v>
      </c>
      <c r="AX299" s="146">
        <v>0.96573960360021571</v>
      </c>
      <c r="AY299" s="146">
        <v>0.36</v>
      </c>
      <c r="AZ299" s="209">
        <v>669.04659057098456</v>
      </c>
      <c r="BA299" s="146">
        <v>0.96573960360021571</v>
      </c>
      <c r="BB299" s="252">
        <v>26.626491380773714</v>
      </c>
      <c r="BC299" s="244">
        <v>200.93699200708926</v>
      </c>
      <c r="BD299" s="229">
        <v>89787.059481499149</v>
      </c>
      <c r="BE299" s="244">
        <v>35.758291832089171</v>
      </c>
      <c r="BF299" s="146">
        <v>336750.004190056</v>
      </c>
      <c r="BG299" t="s">
        <v>388</v>
      </c>
      <c r="BH299" s="146">
        <v>7.9504229492712905E-6</v>
      </c>
      <c r="BI299" s="146">
        <v>2097870.5948149916</v>
      </c>
      <c r="BJ299">
        <f t="shared" si="20"/>
        <v>0.16051991243995367</v>
      </c>
    </row>
    <row r="300" spans="1:62" s="146" customFormat="1" x14ac:dyDescent="0.3">
      <c r="A300">
        <v>-0.1</v>
      </c>
      <c r="B300" s="146">
        <v>1000</v>
      </c>
      <c r="C300" s="146">
        <v>25</v>
      </c>
      <c r="D300" s="146">
        <v>900</v>
      </c>
      <c r="E300" s="252">
        <v>20.063705284365891</v>
      </c>
      <c r="F300" s="146">
        <v>1.0363861744535909</v>
      </c>
      <c r="G300" s="146">
        <v>21.173087367367145</v>
      </c>
      <c r="H300" s="146">
        <v>25.739813040883543</v>
      </c>
      <c r="J300" s="146">
        <v>0.93672183533569975</v>
      </c>
      <c r="K300" s="146">
        <v>0.36</v>
      </c>
      <c r="L300" s="146">
        <v>130.72646405545444</v>
      </c>
      <c r="M300" s="146">
        <v>48.218777725372547</v>
      </c>
      <c r="N300" s="146">
        <v>6.2517469748569425</v>
      </c>
      <c r="Z300" s="146">
        <v>0.24288237699811768</v>
      </c>
      <c r="AL300" s="146">
        <v>3894.5310791497814</v>
      </c>
      <c r="AM300" s="146">
        <v>4.8948278372048515E-2</v>
      </c>
      <c r="AN300" s="146">
        <v>0.24643252588588255</v>
      </c>
      <c r="AO300" s="146">
        <v>818.5833720113028</v>
      </c>
      <c r="AP300" s="146">
        <v>768.65759172131027</v>
      </c>
      <c r="AQ300" s="146" t="s">
        <v>383</v>
      </c>
      <c r="AR300" s="146">
        <f t="shared" si="21"/>
        <v>19.525354503836514</v>
      </c>
      <c r="AS300" s="146">
        <f t="shared" si="22"/>
        <v>5.3287291164862003</v>
      </c>
      <c r="AT300" s="146">
        <v>0.4</v>
      </c>
      <c r="AU300">
        <v>0</v>
      </c>
      <c r="AV300" s="146">
        <v>0.5</v>
      </c>
      <c r="AW300">
        <v>3</v>
      </c>
      <c r="AX300" s="146">
        <v>0.92535627557573719</v>
      </c>
      <c r="AY300" s="146">
        <v>0.36</v>
      </c>
      <c r="AZ300" s="209">
        <v>768.65759172131027</v>
      </c>
      <c r="BA300" s="146">
        <v>0.92535627557573719</v>
      </c>
      <c r="BB300" s="252">
        <v>26.521714120480876</v>
      </c>
      <c r="BC300" s="244">
        <v>200.10765052337064</v>
      </c>
      <c r="BD300" s="229">
        <v>89832.03397812089</v>
      </c>
      <c r="BE300" s="244">
        <v>36.367947786413453</v>
      </c>
      <c r="BF300" s="146">
        <v>338144.82609555137</v>
      </c>
      <c r="BG300" t="s">
        <v>388</v>
      </c>
      <c r="BH300" s="146">
        <v>7.9699934168187376E-6</v>
      </c>
      <c r="BI300" s="146">
        <v>2098320.3397812089</v>
      </c>
      <c r="BJ300">
        <f t="shared" si="20"/>
        <v>0.16115023987748678</v>
      </c>
    </row>
    <row r="301" spans="1:62" s="146" customFormat="1" x14ac:dyDescent="0.3">
      <c r="A301">
        <v>-0.1</v>
      </c>
      <c r="B301" s="146">
        <v>1000</v>
      </c>
      <c r="C301" s="146">
        <v>25</v>
      </c>
      <c r="D301" s="146">
        <v>1000</v>
      </c>
      <c r="E301" s="252">
        <v>20.121819733752542</v>
      </c>
      <c r="F301" s="146">
        <v>0.98517197941595147</v>
      </c>
      <c r="G301" s="146">
        <v>21.204899416791875</v>
      </c>
      <c r="H301" s="146">
        <v>25.689156691383317</v>
      </c>
      <c r="J301" s="146">
        <v>0.9094321662060999</v>
      </c>
      <c r="K301" s="146">
        <v>0.36</v>
      </c>
      <c r="L301" s="146">
        <v>130.44427655505581</v>
      </c>
      <c r="M301" s="146">
        <v>48.114692171946828</v>
      </c>
      <c r="N301" s="146">
        <v>6.5894502433154045</v>
      </c>
      <c r="Z301" s="146">
        <v>0.25650706726101463</v>
      </c>
      <c r="AL301" s="146">
        <v>4163.0075573811519</v>
      </c>
      <c r="AM301" s="146">
        <v>4.6459639352771795E-2</v>
      </c>
      <c r="AN301" s="146">
        <v>0.24644905469221967</v>
      </c>
      <c r="AO301" s="146">
        <v>918.3530252981418</v>
      </c>
      <c r="AP301" s="146">
        <v>868.28243572345093</v>
      </c>
      <c r="AQ301" t="s">
        <v>383</v>
      </c>
      <c r="AR301" s="146">
        <f t="shared" si="21"/>
        <v>19.525354503836514</v>
      </c>
      <c r="AS301" s="146">
        <f t="shared" si="22"/>
        <v>5.3287291164862003</v>
      </c>
      <c r="AT301" s="146">
        <v>0.4</v>
      </c>
      <c r="AU301">
        <v>0</v>
      </c>
      <c r="AV301" s="146">
        <v>0.5</v>
      </c>
      <c r="AW301">
        <v>3</v>
      </c>
      <c r="AX301" s="146">
        <v>0.89487548383145443</v>
      </c>
      <c r="AY301" s="146">
        <v>0.36</v>
      </c>
      <c r="AZ301" s="209">
        <v>868.28243572345093</v>
      </c>
      <c r="BA301" s="146">
        <v>0.89487548383145443</v>
      </c>
      <c r="BB301" s="252">
        <v>26.388669842793533</v>
      </c>
      <c r="BC301" s="244">
        <v>199.42663124384856</v>
      </c>
      <c r="BD301" s="229">
        <v>89804.405521026056</v>
      </c>
      <c r="BE301" s="244">
        <v>36.770846088693752</v>
      </c>
      <c r="BF301" s="146">
        <v>339245.48359584523</v>
      </c>
      <c r="BG301" t="s">
        <v>388</v>
      </c>
      <c r="BH301" s="146">
        <v>7.9908631932667999E-6</v>
      </c>
      <c r="BI301" s="146">
        <v>2098044.0552102607</v>
      </c>
      <c r="BJ301">
        <f t="shared" si="20"/>
        <v>0.16169607246967313</v>
      </c>
    </row>
    <row r="302" spans="1:62" s="140" customFormat="1" x14ac:dyDescent="0.3">
      <c r="A302" s="140">
        <v>-0.1</v>
      </c>
      <c r="B302" s="140">
        <v>1000</v>
      </c>
      <c r="C302" s="140">
        <v>25</v>
      </c>
      <c r="D302" s="140">
        <v>1100</v>
      </c>
      <c r="E302" s="253">
        <v>20.174931239519861</v>
      </c>
      <c r="F302" s="140">
        <v>0.93844957449479949</v>
      </c>
      <c r="G302" s="140">
        <v>21.233914301545038</v>
      </c>
      <c r="H302" s="140">
        <v>25.646593447153716</v>
      </c>
      <c r="J302" s="140">
        <v>0.88725157435027846</v>
      </c>
      <c r="K302" s="140">
        <v>0.36</v>
      </c>
      <c r="L302" s="140">
        <v>130.20856251187695</v>
      </c>
      <c r="M302" s="140">
        <v>48.027748467495591</v>
      </c>
      <c r="N302" s="140">
        <v>6.8909319903431872</v>
      </c>
      <c r="Z302" s="140">
        <v>0.26868800351759581</v>
      </c>
      <c r="AL302" s="140">
        <v>4413.3943338030967</v>
      </c>
      <c r="AM302" s="140">
        <v>4.4195787981800197E-2</v>
      </c>
      <c r="AN302" s="140">
        <v>0.24643063884293959</v>
      </c>
      <c r="AO302" s="140">
        <v>1018.131400647879</v>
      </c>
      <c r="AP302" s="140">
        <v>967.92833863150406</v>
      </c>
      <c r="AQ302" s="146" t="s">
        <v>383</v>
      </c>
      <c r="AR302" s="140">
        <f t="shared" si="21"/>
        <v>19.525354503836514</v>
      </c>
      <c r="AS302" s="140">
        <f t="shared" si="22"/>
        <v>5.3287291164862003</v>
      </c>
      <c r="AT302" s="140">
        <v>0.4</v>
      </c>
      <c r="AU302">
        <v>0</v>
      </c>
      <c r="AV302" s="140">
        <v>0.5</v>
      </c>
      <c r="AW302">
        <v>3</v>
      </c>
      <c r="AX302" s="140">
        <v>0.87078546111445032</v>
      </c>
      <c r="AY302" s="140">
        <v>0.36</v>
      </c>
      <c r="AZ302" s="209">
        <v>967.92833863150406</v>
      </c>
      <c r="BA302" s="140">
        <v>0.87078546111445032</v>
      </c>
      <c r="BB302" s="253">
        <v>26.245580661502323</v>
      </c>
      <c r="BC302" s="245">
        <v>198.85942353474414</v>
      </c>
      <c r="BD302" s="210">
        <v>89740.093019935579</v>
      </c>
      <c r="BE302" s="245">
        <v>37.043886376367148</v>
      </c>
      <c r="BF302" s="140">
        <v>340149.01287235116</v>
      </c>
      <c r="BG302" t="s">
        <v>388</v>
      </c>
      <c r="BH302" s="140">
        <v>8.0116040700643536E-6</v>
      </c>
      <c r="BI302" s="140">
        <v>2097400.9301993558</v>
      </c>
      <c r="BJ302">
        <f t="shared" si="20"/>
        <v>0.16217643845519814</v>
      </c>
    </row>
    <row r="303" spans="1:62" s="146" customFormat="1" x14ac:dyDescent="0.3">
      <c r="A303">
        <v>-0.1</v>
      </c>
      <c r="B303" s="146">
        <v>1000</v>
      </c>
      <c r="C303" s="146">
        <v>25</v>
      </c>
      <c r="D303" s="146">
        <v>400</v>
      </c>
      <c r="E303" s="252">
        <v>19.89999556050854</v>
      </c>
      <c r="F303" s="146">
        <v>1.2241658667739421</v>
      </c>
      <c r="G303" s="146">
        <v>21.1089758221739</v>
      </c>
      <c r="H303" s="146">
        <v>25.927303772047303</v>
      </c>
      <c r="J303" s="146">
        <v>0.99999999919405813</v>
      </c>
      <c r="K303" s="146">
        <v>0.36</v>
      </c>
      <c r="L303" s="146">
        <v>132.13914589766705</v>
      </c>
      <c r="M303" s="146">
        <v>48.739848896680471</v>
      </c>
      <c r="N303" s="146">
        <v>5.7288595528942103</v>
      </c>
      <c r="Z303" s="146">
        <v>0.2209585540888597</v>
      </c>
      <c r="AL303" s="146">
        <v>3134.4109746912959</v>
      </c>
      <c r="AM303" s="146">
        <v>5.7992669899598753E-2</v>
      </c>
      <c r="AN303" s="146">
        <v>0.24720333689217516</v>
      </c>
      <c r="AO303" s="146">
        <v>319.49948649281987</v>
      </c>
      <c r="AP303" s="146">
        <v>269.98119824418933</v>
      </c>
      <c r="AQ303" t="s">
        <v>383</v>
      </c>
      <c r="AR303" s="146">
        <f t="shared" si="21"/>
        <v>19.525354503836514</v>
      </c>
      <c r="AS303" s="146">
        <f t="shared" si="22"/>
        <v>5.3287291164862003</v>
      </c>
      <c r="AT303" s="146">
        <v>0.4</v>
      </c>
      <c r="AU303">
        <v>0</v>
      </c>
      <c r="AV303" s="146">
        <v>0.5</v>
      </c>
      <c r="AW303" s="146">
        <v>3</v>
      </c>
      <c r="AX303" s="146">
        <v>0.99999999900000003</v>
      </c>
      <c r="AY303" s="146">
        <v>0.36</v>
      </c>
      <c r="AZ303" s="209">
        <v>269.98119824418933</v>
      </c>
      <c r="BA303" s="146">
        <v>0.99999999900000003</v>
      </c>
      <c r="BB303" s="252">
        <v>27.125487095838203</v>
      </c>
      <c r="BC303" s="244">
        <v>203.54989672276415</v>
      </c>
      <c r="BD303" s="229">
        <v>90551.907562797322</v>
      </c>
      <c r="BE303" s="244">
        <v>35.209034588591642</v>
      </c>
      <c r="BF303" s="146">
        <v>336701.38872876822</v>
      </c>
      <c r="BG303" t="s">
        <v>389</v>
      </c>
      <c r="BH303" s="146">
        <v>7.8839828074115075E-6</v>
      </c>
      <c r="BI303" s="146">
        <v>2105519.0756279733</v>
      </c>
      <c r="BJ303">
        <f t="shared" si="20"/>
        <v>0.1599137203866684</v>
      </c>
    </row>
    <row r="304" spans="1:62" s="146" customFormat="1" x14ac:dyDescent="0.3">
      <c r="A304">
        <v>-0.1</v>
      </c>
      <c r="B304" s="146">
        <v>1000</v>
      </c>
      <c r="C304" s="146">
        <v>25</v>
      </c>
      <c r="D304" s="146">
        <v>400</v>
      </c>
      <c r="E304" s="252">
        <v>19.183826784078096</v>
      </c>
      <c r="F304" s="146">
        <v>1.1852831161422199</v>
      </c>
      <c r="G304" s="146">
        <v>20.342701346726948</v>
      </c>
      <c r="H304" s="146">
        <v>25.041683620794625</v>
      </c>
      <c r="J304" s="146">
        <v>0.99999999919537863</v>
      </c>
      <c r="K304" s="146">
        <v>0.36</v>
      </c>
      <c r="L304" s="146">
        <v>127.67597719367798</v>
      </c>
      <c r="M304" s="146">
        <v>47.093598145209093</v>
      </c>
      <c r="N304" s="146">
        <v>5.5747403398202913</v>
      </c>
      <c r="Z304" s="146">
        <v>0.22261843190092157</v>
      </c>
      <c r="AL304" s="146">
        <v>3062.5797678688027</v>
      </c>
      <c r="AM304" s="146">
        <v>5.8265767949885715E-2</v>
      </c>
      <c r="AN304" s="146">
        <v>0.24896538465155157</v>
      </c>
      <c r="AO304" s="146">
        <v>322.94580706097952</v>
      </c>
      <c r="AP304" s="146">
        <v>275.20959795865889</v>
      </c>
      <c r="AQ304" s="146" t="s">
        <v>383</v>
      </c>
      <c r="AR304" s="146">
        <f t="shared" si="21"/>
        <v>19.525354503836514</v>
      </c>
      <c r="AS304" s="146">
        <f t="shared" si="22"/>
        <v>5.3287291164862003</v>
      </c>
      <c r="AT304" s="146">
        <v>0.4</v>
      </c>
      <c r="AU304">
        <v>0</v>
      </c>
      <c r="AV304" s="146">
        <v>0.5</v>
      </c>
      <c r="AW304" s="146">
        <v>2.5</v>
      </c>
      <c r="AX304" s="146">
        <v>0.99999999900000003</v>
      </c>
      <c r="AY304" s="146">
        <v>0.36</v>
      </c>
      <c r="AZ304" s="209">
        <v>275.20959795865889</v>
      </c>
      <c r="BA304" s="146">
        <v>0.99999999900000003</v>
      </c>
      <c r="BB304" s="252">
        <v>26.212351994399828</v>
      </c>
      <c r="BC304" s="244">
        <v>192.85799638213356</v>
      </c>
      <c r="BD304" s="229">
        <v>84921.520593563357</v>
      </c>
      <c r="BE304" s="244">
        <v>33.635205448962587</v>
      </c>
      <c r="BF304" s="146">
        <v>381859.6771493362</v>
      </c>
      <c r="BG304" t="s">
        <v>389</v>
      </c>
      <c r="BH304" s="146">
        <v>7.6177869935831719E-6</v>
      </c>
      <c r="BI304" s="146">
        <v>2049215.2059356335</v>
      </c>
      <c r="BJ304">
        <f t="shared" si="20"/>
        <v>0.18634435077548928</v>
      </c>
    </row>
    <row r="305" spans="1:62" s="146" customFormat="1" x14ac:dyDescent="0.3">
      <c r="A305">
        <v>-0.1</v>
      </c>
      <c r="B305" s="146">
        <v>1000</v>
      </c>
      <c r="C305" s="146">
        <v>25</v>
      </c>
      <c r="D305" s="146">
        <v>400</v>
      </c>
      <c r="E305" s="252">
        <v>16.681098785924863</v>
      </c>
      <c r="F305" s="146">
        <v>1.0534100113265428</v>
      </c>
      <c r="G305" s="146">
        <v>17.676307591359688</v>
      </c>
      <c r="H305" s="146">
        <v>21.928322466623641</v>
      </c>
      <c r="J305" s="146">
        <v>0.99999999920116855</v>
      </c>
      <c r="K305" s="146">
        <v>0.36</v>
      </c>
      <c r="L305" s="146">
        <v>111.95035987257178</v>
      </c>
      <c r="M305" s="146">
        <v>41.293165526768284</v>
      </c>
      <c r="N305" s="146">
        <v>5.0129717857838969</v>
      </c>
      <c r="Z305" s="146">
        <v>0.22860717199931604</v>
      </c>
      <c r="AL305" s="146">
        <v>2799.4285479505857</v>
      </c>
      <c r="AM305" s="146">
        <v>5.9594460318254334E-2</v>
      </c>
      <c r="AN305" s="146">
        <v>0.25448358276663219</v>
      </c>
      <c r="AO305" s="146">
        <v>334.45117911114193</v>
      </c>
      <c r="AP305" s="146">
        <v>292.94265505863831</v>
      </c>
      <c r="AQ305" t="s">
        <v>383</v>
      </c>
      <c r="AR305" s="146">
        <f t="shared" si="21"/>
        <v>19.525354503836514</v>
      </c>
      <c r="AS305" s="146">
        <f t="shared" si="22"/>
        <v>5.3287291164862003</v>
      </c>
      <c r="AT305" s="146">
        <v>0.4</v>
      </c>
      <c r="AU305">
        <v>0</v>
      </c>
      <c r="AV305" s="146">
        <v>0.5</v>
      </c>
      <c r="AW305" s="146">
        <v>1.5</v>
      </c>
      <c r="AX305" s="146">
        <v>0.99999999900000003</v>
      </c>
      <c r="AY305" s="146">
        <v>0.36</v>
      </c>
      <c r="AZ305" s="209">
        <v>292.94265505863831</v>
      </c>
      <c r="BA305" s="146">
        <v>0.99999999900000003</v>
      </c>
      <c r="BB305" s="252">
        <v>23.042338317349074</v>
      </c>
      <c r="BC305" s="244">
        <v>158.92011208077062</v>
      </c>
      <c r="BD305" s="229">
        <v>67391.996491338054</v>
      </c>
      <c r="BE305" s="244">
        <v>28.481407827851111</v>
      </c>
      <c r="BF305" s="146">
        <v>499437.36073437572</v>
      </c>
      <c r="BG305" t="s">
        <v>389</v>
      </c>
      <c r="BH305" s="146">
        <v>6.7302788247838003E-6</v>
      </c>
      <c r="BI305" s="146">
        <v>1873919.9649133806</v>
      </c>
      <c r="BJ305">
        <f t="shared" si="20"/>
        <v>0.2665201129640889</v>
      </c>
    </row>
    <row r="306" spans="1:62" s="146" customFormat="1" x14ac:dyDescent="0.3">
      <c r="A306">
        <v>-0.1</v>
      </c>
      <c r="B306" s="146">
        <v>1000</v>
      </c>
      <c r="C306" s="146">
        <v>25</v>
      </c>
      <c r="D306" s="146">
        <v>400</v>
      </c>
      <c r="E306" s="252">
        <v>14.417631494315533</v>
      </c>
      <c r="F306" s="146">
        <v>0.93828623323689697</v>
      </c>
      <c r="G306" s="146">
        <v>15.27689273636862</v>
      </c>
      <c r="H306" s="146">
        <v>19.087167658285725</v>
      </c>
      <c r="J306" s="146">
        <v>0.99999999920828131</v>
      </c>
      <c r="K306" s="146">
        <v>0.36</v>
      </c>
      <c r="L306" s="146">
        <v>97.554919179082034</v>
      </c>
      <c r="M306" s="146">
        <v>35.983371828349938</v>
      </c>
      <c r="N306" s="146">
        <v>4.4744771057637021</v>
      </c>
      <c r="Z306" s="146">
        <v>0.23442331444190645</v>
      </c>
      <c r="AL306" s="146">
        <v>2545.6479446816115</v>
      </c>
      <c r="AM306" s="146">
        <v>6.1418656884536814E-2</v>
      </c>
      <c r="AN306" s="146">
        <v>0.25877755463803942</v>
      </c>
      <c r="AO306" s="146">
        <v>344.28561814612578</v>
      </c>
      <c r="AP306" s="146">
        <v>308.40939179976118</v>
      </c>
      <c r="AQ306" s="146" t="s">
        <v>383</v>
      </c>
      <c r="AR306" s="146">
        <f t="shared" si="21"/>
        <v>19.525354503836514</v>
      </c>
      <c r="AS306" s="146">
        <f t="shared" si="22"/>
        <v>5.3287291164862003</v>
      </c>
      <c r="AT306" s="146">
        <v>0.4</v>
      </c>
      <c r="AU306">
        <v>0</v>
      </c>
      <c r="AV306" s="146">
        <v>0.5</v>
      </c>
      <c r="AW306" s="146">
        <v>1</v>
      </c>
      <c r="AX306" s="146">
        <v>0.99999999900000003</v>
      </c>
      <c r="AY306" s="146">
        <v>0.36</v>
      </c>
      <c r="AZ306" s="209">
        <v>308.40939179976118</v>
      </c>
      <c r="BA306" s="146">
        <v>0.99999999900000003</v>
      </c>
      <c r="BB306" s="252">
        <v>20.193574351944942</v>
      </c>
      <c r="BC306" s="244">
        <v>131.86730912640627</v>
      </c>
      <c r="BD306" s="229">
        <v>53896.511138159112</v>
      </c>
      <c r="BE306" s="244">
        <v>24.179941047448644</v>
      </c>
      <c r="BF306" s="146">
        <v>569843.43430661771</v>
      </c>
      <c r="BG306" t="s">
        <v>389</v>
      </c>
      <c r="BH306" s="146">
        <v>5.9294404790447643E-6</v>
      </c>
      <c r="BI306" s="146">
        <v>1738965.1113815911</v>
      </c>
      <c r="BJ306">
        <f t="shared" si="20"/>
        <v>0.32769112535781847</v>
      </c>
    </row>
    <row r="307" spans="1:62" s="146" customFormat="1" x14ac:dyDescent="0.3">
      <c r="A307">
        <v>-0.1</v>
      </c>
      <c r="B307" s="146">
        <v>1000</v>
      </c>
      <c r="C307" s="146">
        <v>25</v>
      </c>
      <c r="D307" s="146">
        <v>400</v>
      </c>
      <c r="E307" s="252">
        <v>13.167759789269368</v>
      </c>
      <c r="F307" s="146">
        <v>0.8758236871944961</v>
      </c>
      <c r="G307" s="146">
        <v>13.955682602059479</v>
      </c>
      <c r="H307" s="146">
        <v>17.507713230439904</v>
      </c>
      <c r="J307" s="146">
        <v>0.99999999921314842</v>
      </c>
      <c r="K307" s="146">
        <v>0.36</v>
      </c>
      <c r="L307" s="146">
        <v>89.535258770001874</v>
      </c>
      <c r="M307" s="146">
        <v>33.0253003659843</v>
      </c>
      <c r="N307" s="146">
        <v>4.1649479608018964</v>
      </c>
      <c r="Z307" s="146">
        <v>0.23789217392254755</v>
      </c>
      <c r="AL307" s="146">
        <v>2399.2422458122724</v>
      </c>
      <c r="AM307" s="146">
        <v>6.2757495435246446E-2</v>
      </c>
      <c r="AN307" s="146">
        <v>0.2609251916799884</v>
      </c>
      <c r="AO307" s="146">
        <v>349.53434850622256</v>
      </c>
      <c r="AP307" s="146">
        <v>316.76826541132425</v>
      </c>
      <c r="AQ307" t="s">
        <v>383</v>
      </c>
      <c r="AR307" s="146">
        <f t="shared" si="21"/>
        <v>19.525354503836514</v>
      </c>
      <c r="AS307" s="146">
        <f t="shared" si="22"/>
        <v>5.3287291164862003</v>
      </c>
      <c r="AT307" s="146">
        <v>0.4</v>
      </c>
      <c r="AU307">
        <v>0</v>
      </c>
      <c r="AV307" s="146">
        <v>0.5</v>
      </c>
      <c r="AW307" s="146">
        <v>0.8</v>
      </c>
      <c r="AX307" s="146">
        <v>0.99999999900000003</v>
      </c>
      <c r="AY307" s="146">
        <v>0.36</v>
      </c>
      <c r="AZ307" s="209">
        <v>316.76826541132425</v>
      </c>
      <c r="BA307" s="146">
        <v>0.99999999900000003</v>
      </c>
      <c r="BB307" s="252">
        <v>18.623248253773074</v>
      </c>
      <c r="BC307" s="244">
        <v>118.08820840949771</v>
      </c>
      <c r="BD307" s="229">
        <v>47231.120350206205</v>
      </c>
      <c r="BE307" s="244">
        <v>21.916179267646815</v>
      </c>
      <c r="BF307" s="146">
        <v>598238.56163064658</v>
      </c>
      <c r="BG307" t="s">
        <v>389</v>
      </c>
      <c r="BH307" s="146">
        <v>5.4764145810688384E-6</v>
      </c>
      <c r="BI307" s="146">
        <v>1672311.203502062</v>
      </c>
      <c r="BJ307">
        <f t="shared" si="20"/>
        <v>0.35773159946417171</v>
      </c>
    </row>
    <row r="308" spans="1:62" s="146" customFormat="1" x14ac:dyDescent="0.3">
      <c r="A308">
        <v>-0.1</v>
      </c>
      <c r="B308" s="146">
        <v>1000</v>
      </c>
      <c r="C308" s="146">
        <v>25</v>
      </c>
      <c r="D308" s="146">
        <v>400</v>
      </c>
      <c r="E308" s="252">
        <v>11.624694680829814</v>
      </c>
      <c r="F308" s="146">
        <v>0.80928773804634146</v>
      </c>
      <c r="G308" s="146">
        <v>12.332075232526213</v>
      </c>
      <c r="H308" s="146">
        <v>15.494590302150785</v>
      </c>
      <c r="J308" s="146">
        <v>0.99999999922198424</v>
      </c>
      <c r="K308" s="146">
        <v>0.36</v>
      </c>
      <c r="L308" s="146">
        <v>79.298440155829766</v>
      </c>
      <c r="M308" s="146">
        <v>29.249424647642126</v>
      </c>
      <c r="N308" s="146">
        <v>3.7185272838371777</v>
      </c>
      <c r="Z308" s="146">
        <v>0.23998874518941063</v>
      </c>
      <c r="AL308" s="146">
        <v>2185.7629743819466</v>
      </c>
      <c r="AM308" s="146">
        <v>6.5624618953979544E-2</v>
      </c>
      <c r="AN308" s="146">
        <v>0.26079385097904811</v>
      </c>
      <c r="AO308" s="146">
        <v>355.42573324796786</v>
      </c>
      <c r="AP308" s="146">
        <v>326.499332463359</v>
      </c>
      <c r="AQ308" s="146" t="s">
        <v>383</v>
      </c>
      <c r="AR308" s="146">
        <f t="shared" si="21"/>
        <v>19.525354503836514</v>
      </c>
      <c r="AS308" s="146">
        <f t="shared" si="22"/>
        <v>5.3287291164862003</v>
      </c>
      <c r="AT308" s="146">
        <v>0.4</v>
      </c>
      <c r="AU308">
        <v>0</v>
      </c>
      <c r="AV308" s="146">
        <v>0.5</v>
      </c>
      <c r="AW308" s="146">
        <v>0.6</v>
      </c>
      <c r="AX308" s="146">
        <v>0.99999999900000003</v>
      </c>
      <c r="AY308" s="146">
        <v>0.36</v>
      </c>
      <c r="AZ308" s="209">
        <v>326.499332463359</v>
      </c>
      <c r="BA308" s="146">
        <v>0.99999999900000003</v>
      </c>
      <c r="BB308" s="252">
        <v>16.742207382480824</v>
      </c>
      <c r="BC308" s="244">
        <v>101.60015425360841</v>
      </c>
      <c r="BD308" s="229">
        <v>39678.153300484606</v>
      </c>
      <c r="BE308" s="244">
        <v>19.494518815683531</v>
      </c>
      <c r="BF308" s="146">
        <v>626555.19440664863</v>
      </c>
      <c r="BG308" t="s">
        <v>389</v>
      </c>
      <c r="BH308" s="146">
        <v>4.8969797408811468E-6</v>
      </c>
      <c r="BI308" s="146">
        <v>1596781.533004846</v>
      </c>
      <c r="BJ308">
        <f t="shared" si="20"/>
        <v>0.3923862979725149</v>
      </c>
    </row>
    <row r="309" spans="1:62" s="146" customFormat="1" x14ac:dyDescent="0.3">
      <c r="A309">
        <v>-0.1</v>
      </c>
      <c r="B309" s="146">
        <v>1000</v>
      </c>
      <c r="C309" s="146">
        <v>25</v>
      </c>
      <c r="D309" s="146">
        <v>400</v>
      </c>
      <c r="E309" s="252">
        <v>9.616030267491551</v>
      </c>
      <c r="F309" s="146">
        <v>0.72534029210235418</v>
      </c>
      <c r="G309" s="146">
        <v>10.223600593801351</v>
      </c>
      <c r="H309" s="146">
        <v>12.842876164797838</v>
      </c>
      <c r="J309" s="146">
        <v>0.99999999923683236</v>
      </c>
      <c r="K309" s="146">
        <v>0.36</v>
      </c>
      <c r="L309" s="146">
        <v>65.788053920936619</v>
      </c>
      <c r="M309" s="146">
        <v>24.266085462640557</v>
      </c>
      <c r="N309" s="146">
        <v>3.104395810504279</v>
      </c>
      <c r="Z309" s="146">
        <v>0.24172122900424664</v>
      </c>
      <c r="AL309" s="146">
        <v>1891.0589291687372</v>
      </c>
      <c r="AM309" s="146">
        <v>7.0947635859535993E-2</v>
      </c>
      <c r="AN309" s="146">
        <v>0.2584199903906072</v>
      </c>
      <c r="AO309" s="146">
        <v>362.78913928850193</v>
      </c>
      <c r="AP309" s="146">
        <v>338.86102391659927</v>
      </c>
      <c r="AQ309" t="s">
        <v>383</v>
      </c>
      <c r="AR309" s="146">
        <f t="shared" si="21"/>
        <v>19.525354503836514</v>
      </c>
      <c r="AS309" s="146">
        <f t="shared" si="22"/>
        <v>5.3287291164862003</v>
      </c>
      <c r="AT309" s="146">
        <v>0.4</v>
      </c>
      <c r="AU309">
        <v>0</v>
      </c>
      <c r="AV309" s="146">
        <v>0.5</v>
      </c>
      <c r="AW309" s="146">
        <v>0.4</v>
      </c>
      <c r="AX309" s="146">
        <v>0.99999999900000003</v>
      </c>
      <c r="AY309" s="146">
        <v>0.36</v>
      </c>
      <c r="AZ309" s="209">
        <v>338.86102391659927</v>
      </c>
      <c r="BA309" s="146">
        <v>0.99999999900000003</v>
      </c>
      <c r="BB309" s="252">
        <v>14.303370703391623</v>
      </c>
      <c r="BC309" s="244">
        <v>81.419738483903103</v>
      </c>
      <c r="BD309" s="229">
        <v>30859.466417095773</v>
      </c>
      <c r="BE309" s="244">
        <v>16.540333619545304</v>
      </c>
      <c r="BF309" s="146">
        <v>650364.57069218601</v>
      </c>
      <c r="BG309" t="s">
        <v>389</v>
      </c>
      <c r="BH309" s="146">
        <v>4.1134333667763078E-6</v>
      </c>
      <c r="BI309" s="146">
        <v>1508594.6641709576</v>
      </c>
      <c r="BJ309">
        <f t="shared" si="20"/>
        <v>0.43110623823503402</v>
      </c>
    </row>
    <row r="310" spans="1:62" s="146" customFormat="1" x14ac:dyDescent="0.3">
      <c r="A310">
        <v>-0.1</v>
      </c>
      <c r="B310" s="146">
        <v>1000</v>
      </c>
      <c r="C310" s="146">
        <v>25</v>
      </c>
      <c r="D310" s="146">
        <v>400</v>
      </c>
      <c r="E310" s="252">
        <v>8.3309400041385508</v>
      </c>
      <c r="F310" s="146">
        <v>0.66743812974588679</v>
      </c>
      <c r="G310" s="146">
        <v>8.8745215190923865</v>
      </c>
      <c r="H310" s="146">
        <v>11.152435600635881</v>
      </c>
      <c r="J310" s="146">
        <v>0.99999999924779348</v>
      </c>
      <c r="K310" s="146">
        <v>0.36</v>
      </c>
      <c r="L310" s="146">
        <v>57.160384814359034</v>
      </c>
      <c r="M310" s="146">
        <v>21.083748497099645</v>
      </c>
      <c r="N310" s="146">
        <v>2.716564374425964</v>
      </c>
      <c r="Z310" s="146">
        <v>0.2435848519287637</v>
      </c>
      <c r="AL310" s="146">
        <v>1705.0973771208633</v>
      </c>
      <c r="AM310" s="146">
        <v>7.5208351042924379E-2</v>
      </c>
      <c r="AN310" s="146">
        <v>0.2566966660765308</v>
      </c>
      <c r="AO310" s="146">
        <v>367.5455854901723</v>
      </c>
      <c r="AP310" s="146">
        <v>346.81518990788163</v>
      </c>
      <c r="AQ310" s="146" t="s">
        <v>383</v>
      </c>
      <c r="AR310" s="146">
        <f t="shared" si="21"/>
        <v>19.525354503836514</v>
      </c>
      <c r="AS310" s="146">
        <f t="shared" si="22"/>
        <v>5.3287291164862003</v>
      </c>
      <c r="AT310" s="146">
        <v>0.4</v>
      </c>
      <c r="AU310">
        <v>0</v>
      </c>
      <c r="AV310" s="146">
        <v>0.5</v>
      </c>
      <c r="AW310" s="146">
        <v>0.3</v>
      </c>
      <c r="AX310" s="146">
        <v>0.99999999900000003</v>
      </c>
      <c r="AY310" s="146">
        <v>0.36</v>
      </c>
      <c r="AZ310" s="209">
        <v>346.81518990788163</v>
      </c>
      <c r="BA310" s="146">
        <v>0.99999999900000003</v>
      </c>
      <c r="BB310" s="252">
        <v>12.712245366448085</v>
      </c>
      <c r="BC310" s="244">
        <v>69.3232434469559</v>
      </c>
      <c r="BD310" s="229">
        <v>25749.783900149156</v>
      </c>
      <c r="BE310" s="244">
        <v>14.62173658540094</v>
      </c>
      <c r="BF310" s="146">
        <v>656960.05747743801</v>
      </c>
      <c r="BG310" t="s">
        <v>389</v>
      </c>
      <c r="BH310" s="146">
        <v>3.5949957089922953E-6</v>
      </c>
      <c r="BI310" s="146">
        <v>1457497.8390014917</v>
      </c>
      <c r="BJ310">
        <f t="shared" si="20"/>
        <v>0.45074513313001602</v>
      </c>
    </row>
    <row r="311" spans="1:62" s="146" customFormat="1" x14ac:dyDescent="0.3">
      <c r="A311">
        <v>-0.1</v>
      </c>
      <c r="B311" s="146">
        <v>1000</v>
      </c>
      <c r="C311" s="146">
        <v>25</v>
      </c>
      <c r="D311" s="146">
        <v>400</v>
      </c>
      <c r="E311" s="252">
        <v>6.7333970597899997</v>
      </c>
      <c r="F311" s="146">
        <v>0.58958730627114597</v>
      </c>
      <c r="G311" s="146">
        <v>7.1962423819783821</v>
      </c>
      <c r="H311" s="146">
        <v>9.0545243000556823</v>
      </c>
      <c r="J311" s="146">
        <v>0.99999999926332006</v>
      </c>
      <c r="K311" s="146">
        <v>0.36</v>
      </c>
      <c r="L311" s="146">
        <v>46.438191716432691</v>
      </c>
      <c r="M311" s="146">
        <v>17.128841206880914</v>
      </c>
      <c r="N311" s="146">
        <v>2.2371014082390248</v>
      </c>
      <c r="Z311" s="146">
        <v>0.24707000987619718</v>
      </c>
      <c r="AL311" s="146">
        <v>1475.3038868070225</v>
      </c>
      <c r="AM311" s="146">
        <v>8.1929884372385103E-2</v>
      </c>
      <c r="AN311" s="146">
        <v>0.25416989355411085</v>
      </c>
      <c r="AO311" s="146">
        <v>373.50828233180766</v>
      </c>
      <c r="AP311" s="146">
        <v>356.75318268750937</v>
      </c>
      <c r="AQ311" t="s">
        <v>383</v>
      </c>
      <c r="AR311" s="146">
        <f t="shared" si="21"/>
        <v>19.525354503836514</v>
      </c>
      <c r="AS311" s="146">
        <f t="shared" si="22"/>
        <v>5.3287291164862003</v>
      </c>
      <c r="AT311" s="146">
        <v>0.4</v>
      </c>
      <c r="AU311">
        <v>0</v>
      </c>
      <c r="AV311" s="146">
        <v>0.5</v>
      </c>
      <c r="AW311" s="146">
        <v>0.2</v>
      </c>
      <c r="AX311" s="146">
        <v>0.99999999900000003</v>
      </c>
      <c r="AY311" s="146">
        <v>0.36</v>
      </c>
      <c r="AZ311" s="209">
        <v>356.75318268750937</v>
      </c>
      <c r="BA311" s="146">
        <v>0.99999999900000003</v>
      </c>
      <c r="BB311" s="252">
        <v>10.688214955572013</v>
      </c>
      <c r="BC311" s="244">
        <v>55.016787418373831</v>
      </c>
      <c r="BD311" s="229">
        <v>19909.616217904055</v>
      </c>
      <c r="BE311" s="244">
        <v>12.203880202750069</v>
      </c>
      <c r="BF311" s="146">
        <v>654414.04043042101</v>
      </c>
      <c r="BG311" t="s">
        <v>389</v>
      </c>
      <c r="BH311" s="146">
        <v>2.930251718620243E-6</v>
      </c>
      <c r="BI311" s="146">
        <v>1399096.1621790405</v>
      </c>
      <c r="BJ311">
        <f t="shared" si="20"/>
        <v>0.46774057289328519</v>
      </c>
    </row>
    <row r="312" spans="1:62" s="140" customFormat="1" x14ac:dyDescent="0.3">
      <c r="A312" s="140">
        <v>-0.1</v>
      </c>
      <c r="B312" s="140">
        <v>1000</v>
      </c>
      <c r="C312" s="140">
        <v>25</v>
      </c>
      <c r="D312" s="140">
        <v>400</v>
      </c>
      <c r="E312" s="253">
        <v>4.5563408401704359</v>
      </c>
      <c r="F312" s="140">
        <v>0.46709585403515425</v>
      </c>
      <c r="G312" s="140">
        <v>4.9034121382616993</v>
      </c>
      <c r="H312" s="140">
        <v>6.1992880354941748</v>
      </c>
      <c r="J312" s="140">
        <v>0.99999999928784866</v>
      </c>
      <c r="K312" s="140">
        <v>0.36</v>
      </c>
      <c r="L312" s="140">
        <v>31.821011206650965</v>
      </c>
      <c r="M312" s="140">
        <v>11.737258231961423</v>
      </c>
      <c r="N312" s="140">
        <v>1.5861855116018972</v>
      </c>
      <c r="Z312" s="140">
        <v>0.25586575466733491</v>
      </c>
      <c r="AL312" s="140">
        <v>1163.5487439545991</v>
      </c>
      <c r="AM312" s="140">
        <v>9.5259350196237769E-2</v>
      </c>
      <c r="AN312" s="140">
        <v>0.2502630230296774</v>
      </c>
      <c r="AO312" s="140">
        <v>381.79379124805774</v>
      </c>
      <c r="AP312" s="140">
        <v>370.45598815365025</v>
      </c>
      <c r="AQ312" s="146" t="s">
        <v>383</v>
      </c>
      <c r="AR312" s="140">
        <f t="shared" si="21"/>
        <v>19.525354503836514</v>
      </c>
      <c r="AS312" s="140">
        <f t="shared" si="22"/>
        <v>5.3287291164862003</v>
      </c>
      <c r="AT312" s="140">
        <v>0.4</v>
      </c>
      <c r="AU312">
        <v>0</v>
      </c>
      <c r="AV312" s="140">
        <v>0.5</v>
      </c>
      <c r="AW312" s="146">
        <v>0.1</v>
      </c>
      <c r="AX312" s="140">
        <v>0.99999999900000003</v>
      </c>
      <c r="AY312" s="140">
        <v>0.36</v>
      </c>
      <c r="AZ312" s="209">
        <v>370.45598815365025</v>
      </c>
      <c r="BA312" s="140">
        <v>0.99999999900000003</v>
      </c>
      <c r="BB312" s="253">
        <v>7.7970945967593215</v>
      </c>
      <c r="BC312" s="245">
        <v>36.617520045746424</v>
      </c>
      <c r="BD312" s="210">
        <v>12776.204695138927</v>
      </c>
      <c r="BE312" s="245">
        <v>8.7918283837281539</v>
      </c>
      <c r="BF312" s="140">
        <v>623302.76163268834</v>
      </c>
      <c r="BG312" t="s">
        <v>389</v>
      </c>
      <c r="BH312" s="140">
        <v>1.986224772907829E-6</v>
      </c>
      <c r="BI312" s="140">
        <v>1327762.0469513892</v>
      </c>
      <c r="BJ312">
        <f t="shared" si="20"/>
        <v>0.46943860390031777</v>
      </c>
    </row>
    <row r="313" spans="1:62" s="146" customFormat="1" x14ac:dyDescent="0.3">
      <c r="A313">
        <v>-0.1</v>
      </c>
      <c r="B313" s="146">
        <v>1000</v>
      </c>
      <c r="C313" s="146">
        <v>25</v>
      </c>
      <c r="D313" s="146">
        <v>400</v>
      </c>
      <c r="E313" s="252">
        <v>19.899987732510585</v>
      </c>
      <c r="F313" s="146">
        <v>1.2241660409799531</v>
      </c>
      <c r="G313" s="146">
        <v>21.108967718224505</v>
      </c>
      <c r="H313" s="146">
        <v>25.927291605794824</v>
      </c>
      <c r="J313" s="146">
        <v>0.99999999919405802</v>
      </c>
      <c r="K313" s="146">
        <v>0.36</v>
      </c>
      <c r="L313" s="146">
        <v>132.13908538374315</v>
      </c>
      <c r="M313" s="146">
        <v>48.739826575970831</v>
      </c>
      <c r="N313" s="146">
        <v>5.7288553961669031</v>
      </c>
      <c r="Z313" s="146">
        <v>0.22095849745009569</v>
      </c>
      <c r="AL313" s="146">
        <v>3134.408696718704</v>
      </c>
      <c r="AM313" s="146">
        <v>5.7992700416281594E-2</v>
      </c>
      <c r="AN313" s="146">
        <v>0.24720326008290985</v>
      </c>
      <c r="AO313" s="146">
        <v>319.49949314650502</v>
      </c>
      <c r="AP313" s="146">
        <v>269.98099863524772</v>
      </c>
      <c r="AQ313" t="s">
        <v>383</v>
      </c>
      <c r="AR313" s="146">
        <f t="shared" si="21"/>
        <v>19.525354503836514</v>
      </c>
      <c r="AS313" s="146">
        <f t="shared" si="22"/>
        <v>5.3287291164862003</v>
      </c>
      <c r="AT313" s="146">
        <v>0.4</v>
      </c>
      <c r="AU313">
        <v>0</v>
      </c>
      <c r="AV313" s="146">
        <v>0.5</v>
      </c>
      <c r="AW313" s="146">
        <v>3</v>
      </c>
      <c r="AX313" s="146">
        <v>0.99999999900000003</v>
      </c>
      <c r="AY313" s="146">
        <v>0.36</v>
      </c>
      <c r="AZ313" s="209">
        <v>269.98099863524772</v>
      </c>
      <c r="BA313" s="146">
        <v>0.99999999900000003</v>
      </c>
      <c r="BB313" s="252">
        <v>27.125480339201342</v>
      </c>
      <c r="BC313" s="244">
        <v>203.54974807837846</v>
      </c>
      <c r="BD313" s="229">
        <v>90551.84561655682</v>
      </c>
      <c r="BE313" s="244">
        <v>35.209038011199169</v>
      </c>
      <c r="BF313" s="146">
        <v>336701.07092438638</v>
      </c>
      <c r="BG313" t="s">
        <v>390</v>
      </c>
      <c r="BH313" s="146">
        <v>7.8839827653020048E-6</v>
      </c>
      <c r="BI313" s="146">
        <v>2105518.456165568</v>
      </c>
      <c r="BJ313">
        <f t="shared" si="20"/>
        <v>0.15991361649594099</v>
      </c>
    </row>
    <row r="314" spans="1:62" s="146" customFormat="1" x14ac:dyDescent="0.3">
      <c r="A314">
        <v>-0.2</v>
      </c>
      <c r="B314" s="146">
        <v>1000</v>
      </c>
      <c r="C314" s="146">
        <v>25</v>
      </c>
      <c r="D314" s="146">
        <v>400</v>
      </c>
      <c r="E314" s="252">
        <v>19.89831441319841</v>
      </c>
      <c r="F314" s="146">
        <v>1.2276362014590314</v>
      </c>
      <c r="G314" s="146">
        <v>21.109240512366149</v>
      </c>
      <c r="H314" s="146">
        <v>25.927896884459031</v>
      </c>
      <c r="J314" s="146">
        <v>0.99999999919420224</v>
      </c>
      <c r="K314" s="146">
        <v>0.36</v>
      </c>
      <c r="L314" s="146">
        <v>132.17156805540412</v>
      </c>
      <c r="M314" s="146">
        <v>48.751807889288408</v>
      </c>
      <c r="N314" s="146">
        <v>5.7310284773532238</v>
      </c>
      <c r="Z314" s="146">
        <v>0.22103715171701241</v>
      </c>
      <c r="AL314" s="146">
        <v>3125.4663559953942</v>
      </c>
      <c r="AM314" s="146">
        <v>5.8156341567090555E-2</v>
      </c>
      <c r="AN314" s="146">
        <v>0.21978883476034022</v>
      </c>
      <c r="AO314" s="146">
        <v>309.46621817757159</v>
      </c>
      <c r="AP314" s="146">
        <v>259.95211731878265</v>
      </c>
      <c r="AQ314" s="146" t="s">
        <v>383</v>
      </c>
      <c r="AR314" s="146">
        <f t="shared" si="21"/>
        <v>19.525354503836514</v>
      </c>
      <c r="AS314" s="146">
        <f t="shared" si="22"/>
        <v>5.3287291164862003</v>
      </c>
      <c r="AT314" s="146">
        <v>0.4</v>
      </c>
      <c r="AU314">
        <v>0</v>
      </c>
      <c r="AV314" s="146">
        <v>0.5</v>
      </c>
      <c r="AW314" s="146">
        <v>3</v>
      </c>
      <c r="AX314" s="146">
        <v>0.99999999900000003</v>
      </c>
      <c r="AY314" s="146">
        <v>0.36</v>
      </c>
      <c r="AZ314" s="209">
        <v>259.95211731878265</v>
      </c>
      <c r="BA314" s="146">
        <v>0.99999999900000003</v>
      </c>
      <c r="BB314" s="252">
        <v>27.142904636008417</v>
      </c>
      <c r="BC314" s="244">
        <v>203.6295522772638</v>
      </c>
      <c r="BD314" s="229">
        <v>90589.368993007811</v>
      </c>
      <c r="BE314" s="244">
        <v>35.213647098025618</v>
      </c>
      <c r="BF314" s="146">
        <v>336763.64892857766</v>
      </c>
      <c r="BG314" t="s">
        <v>390</v>
      </c>
      <c r="BH314" s="146">
        <v>7.8818368297710441E-6</v>
      </c>
      <c r="BI314" s="146">
        <v>2105893.6899300781</v>
      </c>
      <c r="BJ314">
        <f t="shared" si="20"/>
        <v>0.15991483831254522</v>
      </c>
    </row>
    <row r="315" spans="1:62" s="146" customFormat="1" x14ac:dyDescent="0.3">
      <c r="A315">
        <v>-0.3</v>
      </c>
      <c r="B315" s="146">
        <v>1000</v>
      </c>
      <c r="C315" s="146">
        <v>25</v>
      </c>
      <c r="D315" s="146">
        <v>400</v>
      </c>
      <c r="E315" s="252">
        <v>19.896171601100402</v>
      </c>
      <c r="F315" s="146">
        <v>1.2322153131805573</v>
      </c>
      <c r="G315" s="146">
        <v>21.109670649965828</v>
      </c>
      <c r="H315" s="146">
        <v>25.928245537191692</v>
      </c>
      <c r="J315" s="146">
        <v>0.99999999919435589</v>
      </c>
      <c r="K315" s="146">
        <v>0.36</v>
      </c>
      <c r="L315" s="146">
        <v>132.21492527978583</v>
      </c>
      <c r="M315" s="146">
        <v>48.767800308117728</v>
      </c>
      <c r="N315" s="146">
        <v>5.733378245024273</v>
      </c>
      <c r="Z315" s="146">
        <v>0.2211248052553447</v>
      </c>
      <c r="AL315" s="146">
        <v>3113.7590381436084</v>
      </c>
      <c r="AM315" s="146">
        <v>5.8372076647370714E-2</v>
      </c>
      <c r="AN315" s="146">
        <v>0.19237980563046725</v>
      </c>
      <c r="AO315" s="146">
        <v>296.57868955685524</v>
      </c>
      <c r="AP315" s="146">
        <v>247.06991563146971</v>
      </c>
      <c r="AQ315" t="s">
        <v>383</v>
      </c>
      <c r="AR315" s="146">
        <f t="shared" si="21"/>
        <v>19.525354503836514</v>
      </c>
      <c r="AS315" s="146">
        <f t="shared" si="22"/>
        <v>5.3287291164862003</v>
      </c>
      <c r="AT315" s="146">
        <v>0.4</v>
      </c>
      <c r="AU315">
        <v>0</v>
      </c>
      <c r="AV315" s="146">
        <v>0.5</v>
      </c>
      <c r="AW315" s="146">
        <v>3</v>
      </c>
      <c r="AX315" s="146">
        <v>0.99999999900000014</v>
      </c>
      <c r="AY315" s="146">
        <v>0.36</v>
      </c>
      <c r="AZ315" s="209">
        <v>247.06991563146971</v>
      </c>
      <c r="BA315" s="146">
        <v>0.99999999900000014</v>
      </c>
      <c r="BB315" s="252">
        <v>27.165964008820421</v>
      </c>
      <c r="BC315" s="244">
        <v>203.73611971853668</v>
      </c>
      <c r="BD315" s="229">
        <v>90639.90046496538</v>
      </c>
      <c r="BE315" s="244">
        <v>35.220437191521746</v>
      </c>
      <c r="BF315" s="146">
        <v>336850.09314677567</v>
      </c>
      <c r="BG315" t="s">
        <v>390</v>
      </c>
      <c r="BH315" s="146">
        <v>7.8789858507541672E-6</v>
      </c>
      <c r="BI315" s="146">
        <v>2106399.004649654</v>
      </c>
      <c r="BJ315">
        <f t="shared" si="20"/>
        <v>0.15991751439457319</v>
      </c>
    </row>
    <row r="316" spans="1:62" s="146" customFormat="1" x14ac:dyDescent="0.3">
      <c r="A316">
        <v>-0.4</v>
      </c>
      <c r="B316" s="146">
        <v>1000</v>
      </c>
      <c r="C316" s="146">
        <v>25</v>
      </c>
      <c r="D316" s="146">
        <v>400</v>
      </c>
      <c r="E316" s="252">
        <v>19.893425561686964</v>
      </c>
      <c r="F316" s="146">
        <v>1.2385646722598489</v>
      </c>
      <c r="G316" s="146">
        <v>21.110506132311532</v>
      </c>
      <c r="H316" s="146">
        <v>25.927933780712717</v>
      </c>
      <c r="J316" s="146">
        <v>0.99999999919449289</v>
      </c>
      <c r="K316" s="146">
        <v>0.36</v>
      </c>
      <c r="L316" s="146">
        <v>132.27661570586889</v>
      </c>
      <c r="M316" s="146">
        <v>48.79055497347624</v>
      </c>
      <c r="N316" s="146">
        <v>5.7356091065165984</v>
      </c>
      <c r="Z316" s="146">
        <v>0.22121350490270095</v>
      </c>
      <c r="AL316" s="146">
        <v>3097.7220747016404</v>
      </c>
      <c r="AM316" s="146">
        <v>5.867053421159401E-2</v>
      </c>
      <c r="AN316" s="146">
        <v>0.16498039833178008</v>
      </c>
      <c r="AO316" s="146">
        <v>279.41945974890456</v>
      </c>
      <c r="AP316" s="146">
        <v>229.9175214433395</v>
      </c>
      <c r="AQ316" s="146" t="s">
        <v>383</v>
      </c>
      <c r="AR316" s="146">
        <f t="shared" si="21"/>
        <v>19.525354503836514</v>
      </c>
      <c r="AS316" s="146">
        <f t="shared" si="22"/>
        <v>5.3287291164862003</v>
      </c>
      <c r="AT316" s="146">
        <v>0.4</v>
      </c>
      <c r="AU316">
        <v>0</v>
      </c>
      <c r="AV316" s="146">
        <v>0.5</v>
      </c>
      <c r="AW316" s="146">
        <v>3</v>
      </c>
      <c r="AX316" s="146">
        <v>0.99999999900000014</v>
      </c>
      <c r="AY316" s="146">
        <v>0.36</v>
      </c>
      <c r="AZ316" s="209">
        <v>229.9175214433395</v>
      </c>
      <c r="BA316" s="146">
        <v>0.99999999900000014</v>
      </c>
      <c r="BB316" s="252">
        <v>27.198164139876873</v>
      </c>
      <c r="BC316" s="244">
        <v>203.88783972836887</v>
      </c>
      <c r="BD316" s="229">
        <v>90712.743058852546</v>
      </c>
      <c r="BE316" s="244">
        <v>35.231454069488073</v>
      </c>
      <c r="BF316" s="146">
        <v>336981.52244724869</v>
      </c>
      <c r="BG316" t="s">
        <v>390</v>
      </c>
      <c r="BH316" s="146">
        <v>7.8749949765391538E-6</v>
      </c>
      <c r="BI316" s="146">
        <v>2107127.4305885257</v>
      </c>
      <c r="BJ316">
        <f t="shared" si="20"/>
        <v>0.15992460520203514</v>
      </c>
    </row>
    <row r="317" spans="1:62" s="146" customFormat="1" x14ac:dyDescent="0.3">
      <c r="A317">
        <v>-0.5</v>
      </c>
      <c r="B317" s="146">
        <v>1000</v>
      </c>
      <c r="C317" s="146">
        <v>25</v>
      </c>
      <c r="D317" s="146">
        <v>400</v>
      </c>
      <c r="E317" s="252">
        <v>19.889649296373623</v>
      </c>
      <c r="F317" s="146">
        <v>1.248033768487179</v>
      </c>
      <c r="G317" s="146">
        <v>21.112095767402103</v>
      </c>
      <c r="H317" s="146">
        <v>25.92530913794452</v>
      </c>
      <c r="J317" s="146">
        <v>0.99999999919451543</v>
      </c>
      <c r="K317" s="146">
        <v>0.36</v>
      </c>
      <c r="L317" s="146">
        <v>132.37111604111706</v>
      </c>
      <c r="M317" s="146">
        <v>48.82541165451039</v>
      </c>
      <c r="N317" s="146">
        <v>5.7364450524293211</v>
      </c>
      <c r="Z317" s="146">
        <v>0.22126814464994779</v>
      </c>
      <c r="AL317" s="146">
        <v>3074.1840569168139</v>
      </c>
      <c r="AM317" s="146">
        <v>5.9114631831776343E-2</v>
      </c>
      <c r="AN317" s="146">
        <v>0.13760089245532633</v>
      </c>
      <c r="AO317" s="146">
        <v>255.4540676192851</v>
      </c>
      <c r="AP317" s="146">
        <v>205.96153070215524</v>
      </c>
      <c r="AQ317" t="s">
        <v>383</v>
      </c>
      <c r="AR317" s="146">
        <f t="shared" si="21"/>
        <v>19.525354503836514</v>
      </c>
      <c r="AS317" s="146">
        <f t="shared" si="22"/>
        <v>5.3287291164862003</v>
      </c>
      <c r="AT317" s="146">
        <v>0.4</v>
      </c>
      <c r="AU317">
        <v>0</v>
      </c>
      <c r="AV317" s="146">
        <v>0.5</v>
      </c>
      <c r="AW317" s="146">
        <v>3</v>
      </c>
      <c r="AX317" s="146">
        <v>0.99999999900000003</v>
      </c>
      <c r="AY317" s="146">
        <v>0.36</v>
      </c>
      <c r="AZ317" s="209">
        <v>205.96153070215524</v>
      </c>
      <c r="BA317" s="146">
        <v>0.99999999900000003</v>
      </c>
      <c r="BB317" s="252">
        <v>27.246511662613706</v>
      </c>
      <c r="BC317" s="244">
        <v>204.12046042545919</v>
      </c>
      <c r="BD317" s="229">
        <v>90826.449835384323</v>
      </c>
      <c r="BE317" s="244">
        <v>35.251374288497026</v>
      </c>
      <c r="BF317" s="146">
        <v>337196.73707033286</v>
      </c>
      <c r="BG317" t="s">
        <v>390</v>
      </c>
      <c r="BH317" s="146">
        <v>7.8689444319290055E-6</v>
      </c>
      <c r="BI317" s="146">
        <v>2108264.4983538431</v>
      </c>
      <c r="BJ317">
        <f t="shared" si="20"/>
        <v>0.15994043315419859</v>
      </c>
    </row>
    <row r="318" spans="1:62" s="146" customFormat="1" x14ac:dyDescent="0.3">
      <c r="A318">
        <v>-0.6</v>
      </c>
      <c r="B318" s="146">
        <v>1000</v>
      </c>
      <c r="C318" s="146">
        <v>25</v>
      </c>
      <c r="D318" s="146">
        <v>400</v>
      </c>
      <c r="E318" s="252">
        <v>19.884268220807453</v>
      </c>
      <c r="F318" s="146">
        <v>1.2640702883654877</v>
      </c>
      <c r="G318" s="146">
        <v>21.115884262571768</v>
      </c>
      <c r="H318" s="146">
        <v>25.914372929611062</v>
      </c>
      <c r="J318" s="146">
        <v>0.99999999919398064</v>
      </c>
      <c r="K318" s="146">
        <v>0.36</v>
      </c>
      <c r="L318" s="146">
        <v>132.53996926758609</v>
      </c>
      <c r="M318" s="146">
        <v>48.887693582306348</v>
      </c>
      <c r="N318" s="146">
        <v>5.7303142634813042</v>
      </c>
      <c r="Z318" s="146">
        <v>0.22112494402415425</v>
      </c>
      <c r="AL318" s="146">
        <v>3035.3629885984483</v>
      </c>
      <c r="AM318" s="146">
        <v>5.9863478727531762E-2</v>
      </c>
      <c r="AN318" s="146">
        <v>0.11027517927594609</v>
      </c>
      <c r="AO318" s="146">
        <v>219.68500662283907</v>
      </c>
      <c r="AP318" s="146">
        <v>170.20585685779827</v>
      </c>
      <c r="AQ318" s="146" t="s">
        <v>383</v>
      </c>
      <c r="AR318" s="146">
        <f t="shared" si="21"/>
        <v>19.525354503836514</v>
      </c>
      <c r="AS318" s="146">
        <f t="shared" si="22"/>
        <v>5.3287291164862003</v>
      </c>
      <c r="AT318" s="146">
        <v>0.4</v>
      </c>
      <c r="AU318">
        <v>0</v>
      </c>
      <c r="AV318" s="146">
        <v>0.5</v>
      </c>
      <c r="AW318" s="146">
        <v>3</v>
      </c>
      <c r="AX318" s="146">
        <v>0.99999999900000003</v>
      </c>
      <c r="AY318" s="146">
        <v>0.36</v>
      </c>
      <c r="AZ318" s="209">
        <v>170.20585685779827</v>
      </c>
      <c r="BA318" s="146">
        <v>0.99999999900000003</v>
      </c>
      <c r="BB318" s="252">
        <v>27.32942833849194</v>
      </c>
      <c r="BC318" s="244">
        <v>204.53673767722103</v>
      </c>
      <c r="BD318" s="229">
        <v>91035.679737058934</v>
      </c>
      <c r="BE318" s="244">
        <v>35.295621355407981</v>
      </c>
      <c r="BF318" s="146">
        <v>337623.7099250789</v>
      </c>
      <c r="BG318" t="s">
        <v>390</v>
      </c>
      <c r="BH318" s="146">
        <v>7.8583609349494239E-6</v>
      </c>
      <c r="BI318" s="146">
        <v>2110356.7973705893</v>
      </c>
      <c r="BJ318">
        <f t="shared" si="20"/>
        <v>0.15998418388101152</v>
      </c>
    </row>
    <row r="319" spans="1:62" s="146" customFormat="1" x14ac:dyDescent="0.3">
      <c r="A319">
        <v>-0.7</v>
      </c>
      <c r="B319" s="146">
        <v>1000</v>
      </c>
      <c r="C319" s="146">
        <v>25</v>
      </c>
      <c r="D319" s="146">
        <v>400</v>
      </c>
      <c r="E319" s="252">
        <v>19.882374976419754</v>
      </c>
      <c r="F319" s="146">
        <v>1.3011938471865159</v>
      </c>
      <c r="G319" s="146">
        <v>21.135943668833047</v>
      </c>
      <c r="H319" s="146">
        <v>25.863826651354191</v>
      </c>
      <c r="J319" s="146">
        <v>0.99999999918951288</v>
      </c>
      <c r="K319" s="146">
        <v>0.36</v>
      </c>
      <c r="L319" s="146">
        <v>133.0222637842721</v>
      </c>
      <c r="M319" s="146">
        <v>49.0655891007561</v>
      </c>
      <c r="N319" s="146">
        <v>5.6799657925421592</v>
      </c>
      <c r="Z319" s="146">
        <v>0.21961041840824294</v>
      </c>
      <c r="AL319" s="146">
        <v>2951.5495260275343</v>
      </c>
      <c r="AM319" s="146">
        <v>6.1563082660238612E-2</v>
      </c>
      <c r="AN319" s="146">
        <v>8.3204150391320855E-2</v>
      </c>
      <c r="AO319" s="146">
        <v>161.04106726755649</v>
      </c>
      <c r="AP319" s="146">
        <v>111.56662975645422</v>
      </c>
      <c r="AQ319" t="s">
        <v>383</v>
      </c>
      <c r="AR319" s="146">
        <f t="shared" si="21"/>
        <v>19.525354503836514</v>
      </c>
      <c r="AS319" s="146">
        <f t="shared" si="22"/>
        <v>5.3287291164862003</v>
      </c>
      <c r="AT319" s="146">
        <v>0.4</v>
      </c>
      <c r="AU319">
        <v>0</v>
      </c>
      <c r="AV319" s="146">
        <v>0.5</v>
      </c>
      <c r="AW319" s="146">
        <v>3</v>
      </c>
      <c r="AX319" s="146">
        <v>0.99999999899999992</v>
      </c>
      <c r="AY319" s="146">
        <v>0.36</v>
      </c>
      <c r="AZ319" s="209">
        <v>111.56662975645422</v>
      </c>
      <c r="BA319" s="146">
        <v>0.99999999899999992</v>
      </c>
      <c r="BB319" s="252">
        <v>27.53198169320423</v>
      </c>
      <c r="BC319" s="244">
        <v>205.73022709382892</v>
      </c>
      <c r="BD319" s="229">
        <v>91659.838890499959</v>
      </c>
      <c r="BE319" s="244">
        <v>35.458480434184906</v>
      </c>
      <c r="BF319" s="146">
        <v>339180.73232386436</v>
      </c>
      <c r="BG319" t="s">
        <v>390</v>
      </c>
      <c r="BH319" s="146">
        <v>7.8317038548640919E-6</v>
      </c>
      <c r="BI319" s="146">
        <v>2116598.3889049995</v>
      </c>
      <c r="BJ319">
        <f t="shared" si="20"/>
        <v>0.16024803481936695</v>
      </c>
    </row>
    <row r="320" spans="1:62" s="146" customFormat="1" x14ac:dyDescent="0.3">
      <c r="A320">
        <v>-0.8</v>
      </c>
      <c r="B320" s="146">
        <v>1000</v>
      </c>
      <c r="C320" s="146">
        <v>25</v>
      </c>
      <c r="D320" s="146">
        <v>400</v>
      </c>
      <c r="E320" s="252">
        <v>20.823622955692478</v>
      </c>
      <c r="F320" s="146">
        <v>1.7316380164197691</v>
      </c>
      <c r="G320" s="146">
        <v>22.422673152032242</v>
      </c>
      <c r="H320" s="146">
        <v>25.967759148618764</v>
      </c>
      <c r="J320" s="146">
        <v>0.99999999903544678</v>
      </c>
      <c r="K320" s="146">
        <v>0.36</v>
      </c>
      <c r="L320" s="146">
        <v>150.48416048178316</v>
      </c>
      <c r="M320" s="146">
        <v>55.506452636723303</v>
      </c>
      <c r="N320" s="146">
        <v>4.7775205978760589</v>
      </c>
      <c r="Z320" s="146">
        <v>0.18397893212630853</v>
      </c>
      <c r="AL320" s="146">
        <v>2412.1952085028547</v>
      </c>
      <c r="AM320" s="146">
        <v>7.7227099760976761E-2</v>
      </c>
      <c r="AN320" s="146">
        <v>6.4122334791566746E-2</v>
      </c>
      <c r="AO320" s="146">
        <v>75.251641672424512</v>
      </c>
      <c r="AP320" s="146">
        <v>23.434909564826725</v>
      </c>
      <c r="AQ320" s="146" t="s">
        <v>383</v>
      </c>
      <c r="AR320" s="146">
        <f t="shared" si="21"/>
        <v>19.525354503836514</v>
      </c>
      <c r="AS320" s="146">
        <f t="shared" si="22"/>
        <v>5.3287291164862003</v>
      </c>
      <c r="AT320" s="146">
        <v>0.4</v>
      </c>
      <c r="AU320">
        <v>0</v>
      </c>
      <c r="AV320" s="146">
        <v>0.5</v>
      </c>
      <c r="AW320" s="146">
        <v>3</v>
      </c>
      <c r="AX320" s="146">
        <v>0.99999999900000014</v>
      </c>
      <c r="AY320" s="146">
        <v>0.36</v>
      </c>
      <c r="AZ320" s="209">
        <v>23.434909564826725</v>
      </c>
      <c r="BA320" s="146">
        <v>0.99999999900000014</v>
      </c>
      <c r="BB320" s="252">
        <v>30.849359893349391</v>
      </c>
      <c r="BC320" s="244">
        <v>254.14952889193916</v>
      </c>
      <c r="BD320" s="229">
        <v>115476.81364871412</v>
      </c>
      <c r="BE320" s="244">
        <v>39.142946360011294</v>
      </c>
      <c r="BF320" s="146">
        <v>425967.39114572614</v>
      </c>
      <c r="BG320" t="s">
        <v>390</v>
      </c>
      <c r="BH320" s="146">
        <v>7.2170441482850877E-6</v>
      </c>
      <c r="BI320" s="146">
        <v>2354768.1364871413</v>
      </c>
      <c r="BJ320">
        <f t="shared" si="20"/>
        <v>0.18089568333516995</v>
      </c>
    </row>
    <row r="321" spans="1:62" s="146" customFormat="1" x14ac:dyDescent="0.3">
      <c r="A321">
        <v>-0.85</v>
      </c>
      <c r="B321" s="146">
        <v>1000</v>
      </c>
      <c r="C321" s="146">
        <v>25</v>
      </c>
      <c r="D321" s="146">
        <v>400</v>
      </c>
      <c r="E321" s="252">
        <v>14.124040025389611</v>
      </c>
      <c r="F321" s="146">
        <v>1.0844349206693027</v>
      </c>
      <c r="G321" s="146">
        <v>15.063276332559054</v>
      </c>
      <c r="H321" s="146">
        <v>18.520975770665743</v>
      </c>
      <c r="J321" s="146">
        <v>0.99999999916164783</v>
      </c>
      <c r="K321" s="146">
        <v>0.36</v>
      </c>
      <c r="L321" s="146">
        <v>98.897657961904855</v>
      </c>
      <c r="M321" s="146">
        <v>36.478644330210813</v>
      </c>
      <c r="N321" s="146">
        <v>4.1984263220968643</v>
      </c>
      <c r="Z321" s="146">
        <v>0.22668494220193833</v>
      </c>
      <c r="AL321" s="146">
        <v>2153.4311898481842</v>
      </c>
      <c r="AM321" s="146">
        <v>7.199196886040736E-2</v>
      </c>
      <c r="AN321" s="146">
        <v>4.5468088685168745E-2</v>
      </c>
      <c r="AO321" s="146">
        <v>89.363673868333535</v>
      </c>
      <c r="AP321" s="146">
        <v>54.218028799750911</v>
      </c>
      <c r="AQ321" t="s">
        <v>383</v>
      </c>
      <c r="AR321" s="146">
        <f t="shared" si="21"/>
        <v>19.525354503836514</v>
      </c>
      <c r="AS321" s="146">
        <f t="shared" si="22"/>
        <v>5.3287291164862003</v>
      </c>
      <c r="AT321" s="146">
        <v>0.4</v>
      </c>
      <c r="AU321">
        <v>0</v>
      </c>
      <c r="AV321" s="146">
        <v>0.5</v>
      </c>
      <c r="AW321" s="146">
        <v>3</v>
      </c>
      <c r="AX321" s="146">
        <v>0.99999999900000003</v>
      </c>
      <c r="AY321" s="146">
        <v>0.36</v>
      </c>
      <c r="AZ321" s="209">
        <v>54.218028799750911</v>
      </c>
      <c r="BA321" s="146">
        <v>0.99999999900000003</v>
      </c>
      <c r="BB321" s="252">
        <v>20.767270151192974</v>
      </c>
      <c r="BC321" s="244">
        <v>134.25738623920518</v>
      </c>
      <c r="BD321" s="229">
        <v>55057.728279937888</v>
      </c>
      <c r="BE321" s="244">
        <v>24.550152494711444</v>
      </c>
      <c r="BF321" s="146">
        <v>639794.38502758287</v>
      </c>
      <c r="BG321" t="s">
        <v>390</v>
      </c>
      <c r="BH321" s="146">
        <v>5.5838157548717909E-6</v>
      </c>
      <c r="BI321" s="146">
        <v>1750577.282799379</v>
      </c>
      <c r="BJ321">
        <f t="shared" si="20"/>
        <v>0.36547622964949961</v>
      </c>
    </row>
    <row r="322" spans="1:62" s="256" customFormat="1" ht="15" thickBot="1" x14ac:dyDescent="0.35">
      <c r="A322" s="256">
        <v>-0.87</v>
      </c>
      <c r="B322" s="256">
        <v>1000</v>
      </c>
      <c r="C322" s="256">
        <v>25</v>
      </c>
      <c r="D322" s="256">
        <v>400</v>
      </c>
      <c r="E322" s="257">
        <v>4.4298566052713397</v>
      </c>
      <c r="F322" s="256">
        <v>0.49877082046720933</v>
      </c>
      <c r="G322" s="256">
        <v>4.79123290973107</v>
      </c>
      <c r="H322" s="256">
        <v>6.0733507995718385</v>
      </c>
      <c r="J322" s="256">
        <v>0.9999999992988664</v>
      </c>
      <c r="K322" s="256">
        <v>0.36</v>
      </c>
      <c r="L322" s="256">
        <v>31.262430673027247</v>
      </c>
      <c r="M322" s="256">
        <v>11.531224428575626</v>
      </c>
      <c r="N322" s="256">
        <v>1.5874987485565493</v>
      </c>
      <c r="Z322" s="256">
        <v>0.26138762619614619</v>
      </c>
      <c r="AL322" s="256">
        <v>1059.1639852162309</v>
      </c>
      <c r="AM322" s="256">
        <v>0.10410072519208947</v>
      </c>
      <c r="AN322" s="256">
        <v>3.5851191167750082E-2</v>
      </c>
      <c r="AO322" s="256">
        <v>276.43767303173416</v>
      </c>
      <c r="AP322" s="256">
        <v>265.41461093795658</v>
      </c>
      <c r="AQ322" s="255" t="s">
        <v>383</v>
      </c>
      <c r="AR322" s="256">
        <f t="shared" si="21"/>
        <v>19.525354503836514</v>
      </c>
      <c r="AS322" s="256">
        <f t="shared" si="22"/>
        <v>5.3287291164862003</v>
      </c>
      <c r="AT322" s="256">
        <v>0.4</v>
      </c>
      <c r="AU322" s="254">
        <v>0</v>
      </c>
      <c r="AV322" s="256">
        <v>0.5</v>
      </c>
      <c r="AW322" s="146">
        <v>3</v>
      </c>
      <c r="AX322" s="256">
        <v>0.99999999900000003</v>
      </c>
      <c r="AY322" s="256">
        <v>0.36</v>
      </c>
      <c r="AZ322" s="258">
        <v>265.41461093795658</v>
      </c>
      <c r="BA322" s="256">
        <v>0.99999999900000003</v>
      </c>
      <c r="BB322" s="257">
        <v>7.889738598568651</v>
      </c>
      <c r="BC322" s="259">
        <v>35.936821344436062</v>
      </c>
      <c r="BD322" s="258">
        <v>12610.142220798973</v>
      </c>
      <c r="BE322" s="259">
        <v>8.859536346014222</v>
      </c>
      <c r="BF322" s="256">
        <v>896627.85878618876</v>
      </c>
      <c r="BG322" s="254" t="s">
        <v>390</v>
      </c>
      <c r="BH322" s="256">
        <v>1.6047318247307621E-6</v>
      </c>
      <c r="BI322" s="256">
        <v>1326101.4222079897</v>
      </c>
      <c r="BJ322">
        <f t="shared" si="20"/>
        <v>0.67613822274112523</v>
      </c>
    </row>
    <row r="323" spans="1:62" x14ac:dyDescent="0.3">
      <c r="A323">
        <v>-0.1</v>
      </c>
      <c r="B323" s="146">
        <v>100</v>
      </c>
      <c r="C323" s="146">
        <v>25</v>
      </c>
      <c r="D323" s="146">
        <v>400</v>
      </c>
      <c r="E323" s="249">
        <v>3.167139901658476</v>
      </c>
      <c r="F323">
        <v>0.75746792699120014</v>
      </c>
      <c r="G323">
        <v>3.7627400200375423</v>
      </c>
      <c r="H323">
        <v>1.8703187835719688</v>
      </c>
      <c r="J323">
        <v>0.30366684205875261</v>
      </c>
      <c r="K323">
        <v>0.18</v>
      </c>
      <c r="L323">
        <v>18.818082133465605</v>
      </c>
      <c r="M323">
        <v>9.3699994025554894</v>
      </c>
      <c r="N323">
        <v>0.6220744458302927</v>
      </c>
      <c r="Z323">
        <v>0.33260343172207446</v>
      </c>
      <c r="AL323">
        <v>687.38201049061342</v>
      </c>
      <c r="AM323">
        <v>0.20130753731522558</v>
      </c>
      <c r="AN323">
        <v>0.20078400394650581</v>
      </c>
      <c r="AO323">
        <v>384.22613435628921</v>
      </c>
      <c r="AP323">
        <v>376.34478757546725</v>
      </c>
      <c r="AQ323" t="s">
        <v>384</v>
      </c>
      <c r="AR323">
        <f t="shared" ref="AR323:AR362" si="23">0.3*Jsat_t</f>
        <v>9.762677251918257</v>
      </c>
      <c r="AS323">
        <f t="shared" ref="AS323:AS362" si="24">0.1*Jatp</f>
        <v>2.6643645582431001</v>
      </c>
      <c r="AT323">
        <v>0.2</v>
      </c>
      <c r="AU323">
        <v>0</v>
      </c>
      <c r="AV323">
        <v>0.3</v>
      </c>
      <c r="AW323">
        <v>3</v>
      </c>
      <c r="AX323">
        <v>0.19718755253132855</v>
      </c>
      <c r="AY323">
        <v>0.18</v>
      </c>
      <c r="AZ323" s="209">
        <v>376.34478757546725</v>
      </c>
      <c r="BA323">
        <v>0.19718755253132855</v>
      </c>
      <c r="BB323" s="249">
        <v>8.9888237802670314</v>
      </c>
      <c r="BC323" s="243">
        <v>69.931473548382172</v>
      </c>
      <c r="BD323" s="209">
        <v>25544.232218561199</v>
      </c>
      <c r="BE323" s="243">
        <v>16.814988405004335</v>
      </c>
      <c r="BF323">
        <v>17838.106639458405</v>
      </c>
      <c r="BG323" t="s">
        <v>387</v>
      </c>
      <c r="BH323">
        <v>1.9440693774860812E-6</v>
      </c>
      <c r="BI323">
        <v>1455442.3221856121</v>
      </c>
      <c r="BJ323">
        <f t="shared" si="20"/>
        <v>1.2256141220815425E-2</v>
      </c>
    </row>
    <row r="324" spans="1:62" x14ac:dyDescent="0.3">
      <c r="A324">
        <v>-0.1</v>
      </c>
      <c r="B324" s="146">
        <v>200</v>
      </c>
      <c r="C324" s="146">
        <v>25</v>
      </c>
      <c r="D324" s="146">
        <v>400</v>
      </c>
      <c r="E324" s="252">
        <v>5.86023493401665</v>
      </c>
      <c r="F324" s="146">
        <v>1.3567542752831585</v>
      </c>
      <c r="G324" s="146">
        <v>6.8586270704137746</v>
      </c>
      <c r="H324" s="146">
        <v>3.4566625668175166</v>
      </c>
      <c r="I324" s="146"/>
      <c r="J324" s="146">
        <v>0.30174128315485427</v>
      </c>
      <c r="K324" s="146">
        <v>0.18</v>
      </c>
      <c r="L324" s="146">
        <v>34.847848036705265</v>
      </c>
      <c r="M324" s="146">
        <v>17.351625578442459</v>
      </c>
      <c r="N324" s="146">
        <v>0.9743170104076464</v>
      </c>
      <c r="O324" s="146"/>
      <c r="P324" s="146"/>
      <c r="Q324" s="146"/>
      <c r="R324" s="146"/>
      <c r="S324" s="146"/>
      <c r="T324" s="146"/>
      <c r="U324" s="146"/>
      <c r="V324" s="146"/>
      <c r="W324" s="146"/>
      <c r="X324" s="146"/>
      <c r="Y324" s="146"/>
      <c r="Z324" s="146">
        <v>0.28186639325477508</v>
      </c>
      <c r="AA324" s="146"/>
      <c r="AB324" s="146"/>
      <c r="AC324" s="146"/>
      <c r="AD324" s="146"/>
      <c r="AE324" s="146"/>
      <c r="AF324" s="146"/>
      <c r="AG324" s="146"/>
      <c r="AH324" s="146"/>
      <c r="AI324" s="146"/>
      <c r="AJ324" s="146"/>
      <c r="AK324" s="146"/>
      <c r="AL324" s="146">
        <v>846.52730968689787</v>
      </c>
      <c r="AM324" s="146">
        <v>0.19781718139127613</v>
      </c>
      <c r="AN324" s="146">
        <v>0.22497129469809135</v>
      </c>
      <c r="AO324" s="146">
        <v>373.95118811988431</v>
      </c>
      <c r="AP324" s="146">
        <v>359.36880448307483</v>
      </c>
      <c r="AQ324" t="s">
        <v>384</v>
      </c>
      <c r="AR324">
        <f t="shared" si="23"/>
        <v>9.762677251918257</v>
      </c>
      <c r="AS324">
        <f t="shared" si="24"/>
        <v>2.6643645582431001</v>
      </c>
      <c r="AT324">
        <v>0.2</v>
      </c>
      <c r="AU324">
        <v>0</v>
      </c>
      <c r="AV324">
        <v>0.3</v>
      </c>
      <c r="AW324">
        <v>3</v>
      </c>
      <c r="AX324" s="146">
        <v>0.20600641696591732</v>
      </c>
      <c r="AY324">
        <v>0.18</v>
      </c>
      <c r="AZ324" s="209">
        <v>359.36880448307483</v>
      </c>
      <c r="BA324">
        <v>0.20600641696591732</v>
      </c>
      <c r="BB324" s="249">
        <v>16.155874257181129</v>
      </c>
      <c r="BC324" s="243">
        <v>101.89019630344238</v>
      </c>
      <c r="BD324" s="209">
        <v>41061.238537937723</v>
      </c>
      <c r="BE324" s="243">
        <v>26.115803198775822</v>
      </c>
      <c r="BF324">
        <v>49704.494892026341</v>
      </c>
      <c r="BG324" t="s">
        <v>387</v>
      </c>
      <c r="BH324">
        <v>3.3156177549148853E-6</v>
      </c>
      <c r="BI324">
        <v>1610612.3853793773</v>
      </c>
      <c r="BJ324">
        <f t="shared" ref="BJ324:BJ387" si="25">BF324/BI324</f>
        <v>3.0860618820038765E-2</v>
      </c>
    </row>
    <row r="325" spans="1:62" x14ac:dyDescent="0.3">
      <c r="A325">
        <v>-0.1</v>
      </c>
      <c r="B325" s="146">
        <v>300</v>
      </c>
      <c r="C325" s="146">
        <v>25</v>
      </c>
      <c r="D325" s="146">
        <v>400</v>
      </c>
      <c r="E325" s="252">
        <v>8.173748531991702</v>
      </c>
      <c r="F325" s="146">
        <v>1.8822171319686609</v>
      </c>
      <c r="G325" s="146">
        <v>9.5109264989462972</v>
      </c>
      <c r="H325" s="146">
        <v>4.8535548298726363</v>
      </c>
      <c r="I325" s="146"/>
      <c r="J325" s="146">
        <v>0.30171908218475491</v>
      </c>
      <c r="K325" s="146">
        <v>0.18</v>
      </c>
      <c r="L325" s="146">
        <v>49.002964032819605</v>
      </c>
      <c r="M325" s="146">
        <v>24.399816115926779</v>
      </c>
      <c r="N325" s="146">
        <v>1.2300020159803644</v>
      </c>
      <c r="O325" s="146"/>
      <c r="P325" s="146"/>
      <c r="Q325" s="146"/>
      <c r="R325" s="146"/>
      <c r="S325" s="146"/>
      <c r="T325" s="146"/>
      <c r="U325" s="146"/>
      <c r="V325" s="146"/>
      <c r="W325" s="146"/>
      <c r="X325" s="146"/>
      <c r="Y325" s="146"/>
      <c r="Z325" s="146">
        <v>0.2534229155937322</v>
      </c>
      <c r="AA325" s="146"/>
      <c r="AB325" s="146"/>
      <c r="AC325" s="146"/>
      <c r="AD325" s="146"/>
      <c r="AE325" s="146"/>
      <c r="AF325" s="146"/>
      <c r="AG325" s="146"/>
      <c r="AH325" s="146"/>
      <c r="AI325" s="146"/>
      <c r="AJ325" s="146"/>
      <c r="AK325" s="146"/>
      <c r="AL325" s="146">
        <v>960.36833633446361</v>
      </c>
      <c r="AM325" s="146">
        <v>0.19790050235139439</v>
      </c>
      <c r="AN325" s="146">
        <v>0.23834733721318044</v>
      </c>
      <c r="AO325" s="146">
        <v>365.70656661173012</v>
      </c>
      <c r="AP325" s="146">
        <v>345.36732834428187</v>
      </c>
      <c r="AQ325" t="s">
        <v>384</v>
      </c>
      <c r="AR325">
        <f t="shared" si="23"/>
        <v>9.762677251918257</v>
      </c>
      <c r="AS325">
        <f t="shared" si="24"/>
        <v>2.6643645582431001</v>
      </c>
      <c r="AT325">
        <v>0.2</v>
      </c>
      <c r="AU325">
        <v>0</v>
      </c>
      <c r="AV325">
        <v>0.3</v>
      </c>
      <c r="AW325">
        <v>3</v>
      </c>
      <c r="AX325" s="146">
        <v>0.21193968841633251</v>
      </c>
      <c r="AY325">
        <v>0.18</v>
      </c>
      <c r="AZ325" s="209">
        <v>345.36732834428187</v>
      </c>
      <c r="BA325">
        <v>0.21193968841633251</v>
      </c>
      <c r="BB325" s="249">
        <v>22.339079672213622</v>
      </c>
      <c r="BC325" s="243">
        <v>124.88314495760629</v>
      </c>
      <c r="BD325" s="209">
        <v>53575.117645252838</v>
      </c>
      <c r="BE325" s="243">
        <v>33.544615430499164</v>
      </c>
      <c r="BF325">
        <v>86166.137308786492</v>
      </c>
      <c r="BG325" t="s">
        <v>387</v>
      </c>
      <c r="BH325">
        <v>4.2642737661473396E-6</v>
      </c>
      <c r="BI325">
        <v>1735751.1764525282</v>
      </c>
      <c r="BJ325">
        <f t="shared" si="25"/>
        <v>4.9641986983923608E-2</v>
      </c>
    </row>
    <row r="326" spans="1:62" x14ac:dyDescent="0.3">
      <c r="A326">
        <v>-0.1</v>
      </c>
      <c r="B326" s="146">
        <v>400</v>
      </c>
      <c r="C326" s="146">
        <v>25</v>
      </c>
      <c r="D326" s="146">
        <v>400</v>
      </c>
      <c r="E326" s="252">
        <v>10.189146226859725</v>
      </c>
      <c r="F326" s="146">
        <v>2.3557773363487766</v>
      </c>
      <c r="G326" s="146">
        <v>11.824657176017656</v>
      </c>
      <c r="H326" s="146">
        <v>6.1023633283896777</v>
      </c>
      <c r="I326" s="146"/>
      <c r="J326" s="146">
        <v>0.30221004470516849</v>
      </c>
      <c r="K326" s="146">
        <v>0.18</v>
      </c>
      <c r="L326" s="146">
        <v>61.685671346211649</v>
      </c>
      <c r="M326" s="146">
        <v>30.714857101848121</v>
      </c>
      <c r="N326" s="146">
        <v>1.4313140511104754</v>
      </c>
      <c r="O326" s="146"/>
      <c r="P326" s="146"/>
      <c r="Q326" s="146"/>
      <c r="R326" s="146"/>
      <c r="S326" s="146"/>
      <c r="T326" s="146"/>
      <c r="U326" s="146"/>
      <c r="V326" s="146"/>
      <c r="W326" s="146"/>
      <c r="X326" s="146"/>
      <c r="Y326" s="146"/>
      <c r="Z326" s="146">
        <v>0.23455077550883516</v>
      </c>
      <c r="AA326" s="146"/>
      <c r="AB326" s="146"/>
      <c r="AC326" s="146"/>
      <c r="AD326" s="146"/>
      <c r="AE326" s="146"/>
      <c r="AF326" s="146"/>
      <c r="AG326" s="146"/>
      <c r="AH326" s="146"/>
      <c r="AI326" s="146"/>
      <c r="AJ326" s="146"/>
      <c r="AK326" s="146"/>
      <c r="AL326" s="146">
        <v>1049.0926428472962</v>
      </c>
      <c r="AM326" s="146">
        <v>0.19922584657478945</v>
      </c>
      <c r="AN326" s="146">
        <v>0.24724861310226684</v>
      </c>
      <c r="AO326" s="146">
        <v>358.78987510176529</v>
      </c>
      <c r="AP326" s="146">
        <v>333.4356172920584</v>
      </c>
      <c r="AQ326" t="s">
        <v>384</v>
      </c>
      <c r="AR326">
        <f t="shared" si="23"/>
        <v>9.762677251918257</v>
      </c>
      <c r="AS326">
        <f t="shared" si="24"/>
        <v>2.6643645582431001</v>
      </c>
      <c r="AT326">
        <v>0.2</v>
      </c>
      <c r="AU326">
        <v>0</v>
      </c>
      <c r="AV326">
        <v>0.3</v>
      </c>
      <c r="AW326">
        <v>3</v>
      </c>
      <c r="AX326" s="146">
        <v>0.21622964961684149</v>
      </c>
      <c r="AY326">
        <v>0.18</v>
      </c>
      <c r="AZ326" s="209">
        <v>333.4356172920584</v>
      </c>
      <c r="BA326">
        <v>0.21622964961684149</v>
      </c>
      <c r="BB326" s="249">
        <v>27.808541814930358</v>
      </c>
      <c r="BC326" s="243">
        <v>143.18531381561218</v>
      </c>
      <c r="BD326" s="209">
        <v>64258.426922888189</v>
      </c>
      <c r="BE326" s="243">
        <v>39.863598577805043</v>
      </c>
      <c r="BF326">
        <v>124333.36440114828</v>
      </c>
      <c r="BG326" t="s">
        <v>387</v>
      </c>
      <c r="BH326">
        <v>4.9507616876878404E-6</v>
      </c>
      <c r="BI326">
        <v>1842584.2692288819</v>
      </c>
      <c r="BJ326">
        <f t="shared" si="25"/>
        <v>6.7477708606066389E-2</v>
      </c>
    </row>
    <row r="327" spans="1:62" x14ac:dyDescent="0.3">
      <c r="A327">
        <v>-0.1</v>
      </c>
      <c r="B327" s="146">
        <v>600</v>
      </c>
      <c r="C327" s="146">
        <v>25</v>
      </c>
      <c r="D327" s="146">
        <v>400</v>
      </c>
      <c r="E327" s="252">
        <v>13.518514006823766</v>
      </c>
      <c r="F327" s="146">
        <v>3.1798746087192478</v>
      </c>
      <c r="G327" s="146">
        <v>15.661660626330317</v>
      </c>
      <c r="H327" s="146">
        <v>8.2422376579596133</v>
      </c>
      <c r="I327" s="146"/>
      <c r="J327" s="146">
        <v>0.30401767049707229</v>
      </c>
      <c r="K327" s="146">
        <v>0.18</v>
      </c>
      <c r="L327" s="146">
        <v>83.477879731234424</v>
      </c>
      <c r="M327" s="146">
        <v>41.565749243768181</v>
      </c>
      <c r="N327" s="146">
        <v>1.7318263489383634</v>
      </c>
      <c r="O327" s="146"/>
      <c r="P327" s="146"/>
      <c r="Q327" s="146"/>
      <c r="R327" s="146"/>
      <c r="S327" s="146"/>
      <c r="T327" s="146"/>
      <c r="U327" s="146"/>
      <c r="V327" s="146"/>
      <c r="W327" s="146"/>
      <c r="X327" s="146"/>
      <c r="Y327" s="146"/>
      <c r="Z327" s="146">
        <v>0.21011604139634593</v>
      </c>
      <c r="AA327" s="146"/>
      <c r="AB327" s="146"/>
      <c r="AC327" s="146"/>
      <c r="AD327" s="146"/>
      <c r="AE327" s="146"/>
      <c r="AF327" s="146"/>
      <c r="AG327" s="146"/>
      <c r="AH327" s="146"/>
      <c r="AI327" s="146"/>
      <c r="AJ327" s="146"/>
      <c r="AK327" s="146"/>
      <c r="AL327" s="146">
        <v>1180.0613938444194</v>
      </c>
      <c r="AM327" s="146">
        <v>0.20303559658119882</v>
      </c>
      <c r="AN327" s="146">
        <v>0.25891138035475364</v>
      </c>
      <c r="AO327" s="146">
        <v>347.78710001738415</v>
      </c>
      <c r="AP327" s="146">
        <v>314.14821937523732</v>
      </c>
      <c r="AQ327" t="s">
        <v>384</v>
      </c>
      <c r="AR327">
        <f t="shared" si="23"/>
        <v>9.762677251918257</v>
      </c>
      <c r="AS327">
        <f t="shared" si="24"/>
        <v>2.6643645582431001</v>
      </c>
      <c r="AT327">
        <v>0.2</v>
      </c>
      <c r="AU327">
        <v>0</v>
      </c>
      <c r="AV327">
        <v>0.3</v>
      </c>
      <c r="AW327">
        <v>3</v>
      </c>
      <c r="AX327" s="146">
        <v>0.22242389395373441</v>
      </c>
      <c r="AY327">
        <v>0.18</v>
      </c>
      <c r="AZ327" s="209">
        <v>314.14821937523732</v>
      </c>
      <c r="BA327">
        <v>0.22242389395373441</v>
      </c>
      <c r="BB327" s="249">
        <v>37.084427161724456</v>
      </c>
      <c r="BC327" s="243">
        <v>171.11726958316092</v>
      </c>
      <c r="BD327" s="209">
        <v>81670.918962799289</v>
      </c>
      <c r="BE327" s="243">
        <v>50.166456475609728</v>
      </c>
      <c r="BF327">
        <v>200317.6472913374</v>
      </c>
      <c r="BG327" t="s">
        <v>387</v>
      </c>
      <c r="BH327">
        <v>5.8554217091672921E-6</v>
      </c>
      <c r="BI327">
        <v>2016709.1896279929</v>
      </c>
      <c r="BJ327">
        <f t="shared" si="25"/>
        <v>9.9328970345143555E-2</v>
      </c>
    </row>
    <row r="328" spans="1:62" x14ac:dyDescent="0.3">
      <c r="A328">
        <v>-0.1</v>
      </c>
      <c r="B328" s="146">
        <v>800</v>
      </c>
      <c r="C328" s="146">
        <v>25</v>
      </c>
      <c r="D328" s="146">
        <v>400</v>
      </c>
      <c r="E328" s="252">
        <v>16.120444536653633</v>
      </c>
      <c r="F328" s="146">
        <v>3.8667797904729522</v>
      </c>
      <c r="G328" s="146">
        <v>18.677674882985144</v>
      </c>
      <c r="H328" s="146">
        <v>9.991731013183875</v>
      </c>
      <c r="I328" s="146"/>
      <c r="J328" s="146">
        <v>0.3064238500288532</v>
      </c>
      <c r="K328" s="146">
        <v>0.18</v>
      </c>
      <c r="L328" s="146">
        <v>101.35334159824363</v>
      </c>
      <c r="M328" s="146">
        <v>50.466394156801812</v>
      </c>
      <c r="N328" s="146">
        <v>1.9426613268662134</v>
      </c>
      <c r="O328" s="146"/>
      <c r="P328" s="146"/>
      <c r="Q328" s="146"/>
      <c r="R328" s="146"/>
      <c r="S328" s="146"/>
      <c r="T328" s="146"/>
      <c r="U328" s="146"/>
      <c r="V328" s="146"/>
      <c r="W328" s="146"/>
      <c r="X328" s="146"/>
      <c r="Y328" s="146"/>
      <c r="Z328" s="146">
        <v>0.19442690403723972</v>
      </c>
      <c r="AA328" s="146"/>
      <c r="AB328" s="146"/>
      <c r="AC328" s="146"/>
      <c r="AD328" s="146"/>
      <c r="AE328" s="146"/>
      <c r="AF328" s="146"/>
      <c r="AG328" s="146"/>
      <c r="AH328" s="146"/>
      <c r="AI328" s="146"/>
      <c r="AJ328" s="146"/>
      <c r="AK328" s="146"/>
      <c r="AL328" s="146">
        <v>1270.7042213487516</v>
      </c>
      <c r="AM328" s="146">
        <v>0.20702682826948035</v>
      </c>
      <c r="AN328" s="146">
        <v>0.2663963012960468</v>
      </c>
      <c r="AO328" s="146">
        <v>339.48698064415339</v>
      </c>
      <c r="AP328" s="146">
        <v>299.37355791564516</v>
      </c>
      <c r="AQ328" t="s">
        <v>384</v>
      </c>
      <c r="AR328">
        <f t="shared" si="23"/>
        <v>9.762677251918257</v>
      </c>
      <c r="AS328">
        <f t="shared" si="24"/>
        <v>2.6643645582431001</v>
      </c>
      <c r="AT328">
        <v>0.2</v>
      </c>
      <c r="AU328">
        <v>0</v>
      </c>
      <c r="AV328">
        <v>0.3</v>
      </c>
      <c r="AW328">
        <v>3</v>
      </c>
      <c r="AX328" s="146">
        <v>0.22702714061238682</v>
      </c>
      <c r="AY328">
        <v>0.18</v>
      </c>
      <c r="AZ328" s="209">
        <v>299.37355791564516</v>
      </c>
      <c r="BA328">
        <v>0.22702714061238682</v>
      </c>
      <c r="BB328" s="249">
        <v>44.585810461987791</v>
      </c>
      <c r="BC328" s="243">
        <v>191.34023386327954</v>
      </c>
      <c r="BD328" s="209">
        <v>95089.137811738183</v>
      </c>
      <c r="BE328" s="243">
        <v>58.195946574734194</v>
      </c>
      <c r="BF328">
        <v>271231.33385287924</v>
      </c>
      <c r="BG328" t="s">
        <v>387</v>
      </c>
      <c r="BH328">
        <v>6.4032450937132093E-6</v>
      </c>
      <c r="BI328">
        <v>2150891.3781173816</v>
      </c>
      <c r="BJ328">
        <f t="shared" si="25"/>
        <v>0.12610182764797767</v>
      </c>
    </row>
    <row r="329" spans="1:62" x14ac:dyDescent="0.3">
      <c r="A329">
        <v>-0.1</v>
      </c>
      <c r="B329" s="146">
        <v>1000</v>
      </c>
      <c r="C329" s="146">
        <v>25</v>
      </c>
      <c r="D329" s="146">
        <v>400</v>
      </c>
      <c r="E329" s="252">
        <v>18.161142787759825</v>
      </c>
      <c r="F329" s="146">
        <v>4.4292033535915785</v>
      </c>
      <c r="G329" s="146">
        <v>21.052465746038806</v>
      </c>
      <c r="H329" s="146">
        <v>11.41831145340289</v>
      </c>
      <c r="I329" s="146"/>
      <c r="J329" s="146">
        <v>0.30637186544226069</v>
      </c>
      <c r="K329" s="146">
        <v>0.18</v>
      </c>
      <c r="L329" s="146">
        <v>115.97405719539333</v>
      </c>
      <c r="M329" s="146">
        <v>57.746418520527811</v>
      </c>
      <c r="N329" s="146">
        <v>2.1276281474850478</v>
      </c>
      <c r="O329" s="146"/>
      <c r="P329" s="146"/>
      <c r="Q329" s="146"/>
      <c r="R329" s="146"/>
      <c r="S329" s="146"/>
      <c r="T329" s="146"/>
      <c r="U329" s="146"/>
      <c r="V329" s="146"/>
      <c r="W329" s="146"/>
      <c r="X329" s="146"/>
      <c r="Y329" s="146"/>
      <c r="Z329" s="146">
        <v>0.18633474451697246</v>
      </c>
      <c r="AA329" s="146"/>
      <c r="AB329" s="146"/>
      <c r="AC329" s="146"/>
      <c r="AD329" s="146"/>
      <c r="AE329" s="146"/>
      <c r="AF329" s="146"/>
      <c r="AG329" s="146"/>
      <c r="AH329" s="146"/>
      <c r="AI329" s="146"/>
      <c r="AJ329" s="146"/>
      <c r="AK329" s="146"/>
      <c r="AL329" s="146">
        <v>1351.8179596621069</v>
      </c>
      <c r="AM329" s="146">
        <v>0.21038881654159536</v>
      </c>
      <c r="AN329" s="146">
        <v>0.27185419200629918</v>
      </c>
      <c r="AO329" s="146">
        <v>333.19528143476629</v>
      </c>
      <c r="AP329" s="146">
        <v>288.00388591958222</v>
      </c>
      <c r="AQ329" t="s">
        <v>384</v>
      </c>
      <c r="AR329">
        <f t="shared" si="23"/>
        <v>9.762677251918257</v>
      </c>
      <c r="AS329">
        <f t="shared" si="24"/>
        <v>2.6643645582431001</v>
      </c>
      <c r="AT329">
        <v>0.2</v>
      </c>
      <c r="AU329">
        <v>0</v>
      </c>
      <c r="AV329">
        <v>0.3</v>
      </c>
      <c r="AW329">
        <v>3</v>
      </c>
      <c r="AX329" s="146">
        <v>0.22934102300528184</v>
      </c>
      <c r="AY329">
        <v>0.18</v>
      </c>
      <c r="AZ329" s="209">
        <v>288.00388591958222</v>
      </c>
      <c r="BA329">
        <v>0.22934102300528184</v>
      </c>
      <c r="BB329" s="249">
        <v>50.623736297952242</v>
      </c>
      <c r="BC329" s="243">
        <v>206.14748731977329</v>
      </c>
      <c r="BD329" s="209">
        <v>105423.08049286317</v>
      </c>
      <c r="BE329" s="243">
        <v>64.54102527350453</v>
      </c>
      <c r="BF329">
        <v>334213.86455658812</v>
      </c>
      <c r="BG329" t="s">
        <v>387</v>
      </c>
      <c r="BH329">
        <v>6.7559826910320697E-6</v>
      </c>
      <c r="BI329">
        <v>2254230.8049286315</v>
      </c>
      <c r="BJ329">
        <f t="shared" si="25"/>
        <v>0.1482607121799</v>
      </c>
    </row>
    <row r="330" spans="1:62" x14ac:dyDescent="0.3">
      <c r="A330">
        <v>-0.1</v>
      </c>
      <c r="B330" s="146">
        <v>1300</v>
      </c>
      <c r="C330" s="146">
        <v>25</v>
      </c>
      <c r="D330" s="146">
        <v>400</v>
      </c>
      <c r="E330" s="252">
        <v>20.416251285932805</v>
      </c>
      <c r="F330" s="146">
        <v>5.0820550269958229</v>
      </c>
      <c r="G330" s="146">
        <v>23.689130676421321</v>
      </c>
      <c r="H330" s="146">
        <v>13.076518752791999</v>
      </c>
      <c r="I330" s="146"/>
      <c r="J330" s="146">
        <v>0.31097031173240708</v>
      </c>
      <c r="K330" s="146">
        <v>0.18</v>
      </c>
      <c r="L330" s="146">
        <v>133.02739988258674</v>
      </c>
      <c r="M330" s="146">
        <v>66.237709485105441</v>
      </c>
      <c r="N330" s="146">
        <v>2.282696238299156</v>
      </c>
      <c r="O330" s="146"/>
      <c r="P330" s="146"/>
      <c r="Q330" s="146"/>
      <c r="R330" s="146"/>
      <c r="S330" s="146"/>
      <c r="T330" s="146"/>
      <c r="U330" s="146"/>
      <c r="V330" s="146"/>
      <c r="W330" s="146"/>
      <c r="X330" s="146"/>
      <c r="Y330" s="146"/>
      <c r="Z330" s="146">
        <v>0.17456452144893472</v>
      </c>
      <c r="AA330" s="146"/>
      <c r="AB330" s="146"/>
      <c r="AC330" s="146"/>
      <c r="AD330" s="146"/>
      <c r="AE330" s="146"/>
      <c r="AF330" s="146"/>
      <c r="AG330" s="146"/>
      <c r="AH330" s="146"/>
      <c r="AI330" s="146"/>
      <c r="AJ330" s="146"/>
      <c r="AK330" s="146"/>
      <c r="AL330" s="146">
        <v>1417.0042584128041</v>
      </c>
      <c r="AM330" s="146">
        <v>0.21453109007728099</v>
      </c>
      <c r="AN330" s="146">
        <v>0.27761763007196921</v>
      </c>
      <c r="AO330" s="146">
        <v>326.45909670563742</v>
      </c>
      <c r="AP330" s="146">
        <v>275.65613926322715</v>
      </c>
      <c r="AQ330" t="s">
        <v>384</v>
      </c>
      <c r="AR330">
        <f t="shared" si="23"/>
        <v>9.762677251918257</v>
      </c>
      <c r="AS330">
        <f t="shared" si="24"/>
        <v>2.6643645582431001</v>
      </c>
      <c r="AT330">
        <v>0.2</v>
      </c>
      <c r="AU330">
        <v>0</v>
      </c>
      <c r="AV330">
        <v>0.3</v>
      </c>
      <c r="AW330">
        <v>3</v>
      </c>
      <c r="AX330" s="146">
        <v>0.23444693925551785</v>
      </c>
      <c r="AY330">
        <v>0.18</v>
      </c>
      <c r="AZ330" s="209">
        <v>275.65613926322715</v>
      </c>
      <c r="BA330">
        <v>0.23444693925551785</v>
      </c>
      <c r="BB330" s="249">
        <v>57.443987945961922</v>
      </c>
      <c r="BC330" s="243">
        <v>221.44413818475331</v>
      </c>
      <c r="BD330" s="209">
        <v>116386.74216076585</v>
      </c>
      <c r="BE330" s="243">
        <v>71.296612611487959</v>
      </c>
      <c r="BF330">
        <v>411257.12716855737</v>
      </c>
      <c r="BG330" t="s">
        <v>387</v>
      </c>
      <c r="BH330">
        <v>7.087720222205069E-6</v>
      </c>
      <c r="BI330">
        <v>2363867.4216076583</v>
      </c>
      <c r="BJ330">
        <f t="shared" si="25"/>
        <v>0.17397639284222749</v>
      </c>
    </row>
    <row r="331" spans="1:62" x14ac:dyDescent="0.3">
      <c r="A331">
        <v>-0.1</v>
      </c>
      <c r="B331" s="227">
        <v>1600</v>
      </c>
      <c r="C331" s="146">
        <v>25</v>
      </c>
      <c r="D331" s="146">
        <v>400</v>
      </c>
      <c r="E331" s="252">
        <v>21.992551023345758</v>
      </c>
      <c r="F331" s="146">
        <v>5.5574993202159586</v>
      </c>
      <c r="G331" s="146">
        <v>25.539086556489796</v>
      </c>
      <c r="H331" s="146">
        <v>14.300146665770315</v>
      </c>
      <c r="I331" s="146"/>
      <c r="J331" s="146">
        <v>0.31738968467744394</v>
      </c>
      <c r="K331" s="146">
        <v>0.18</v>
      </c>
      <c r="L331" s="146">
        <v>145.6589760547711</v>
      </c>
      <c r="M331" s="146">
        <v>72.527290981628767</v>
      </c>
      <c r="N331" s="146">
        <v>2.3555249214590592</v>
      </c>
      <c r="O331" s="146"/>
      <c r="P331" s="146"/>
      <c r="Q331" s="146"/>
      <c r="R331" s="146"/>
      <c r="S331" s="146"/>
      <c r="T331" s="146"/>
      <c r="U331" s="146"/>
      <c r="V331" s="146"/>
      <c r="W331" s="146"/>
      <c r="X331" s="146"/>
      <c r="Y331" s="146"/>
      <c r="Z331" s="146">
        <v>0.16472033305066613</v>
      </c>
      <c r="AA331" s="146"/>
      <c r="AB331" s="146"/>
      <c r="AC331" s="146"/>
      <c r="AD331" s="146"/>
      <c r="AE331" s="146"/>
      <c r="AF331" s="146"/>
      <c r="AG331" s="146"/>
      <c r="AH331" s="146"/>
      <c r="AI331" s="146"/>
      <c r="AJ331" s="146"/>
      <c r="AK331" s="146"/>
      <c r="AL331" s="146">
        <v>1444.9575711202974</v>
      </c>
      <c r="AM331" s="146">
        <v>0.21760759954837655</v>
      </c>
      <c r="AN331" s="146">
        <v>0.28166875357800664</v>
      </c>
      <c r="AO331" s="146">
        <v>321.920515698043</v>
      </c>
      <c r="AP331" s="146">
        <v>267.1951103907673</v>
      </c>
      <c r="AQ331" t="s">
        <v>384</v>
      </c>
      <c r="AR331">
        <f t="shared" si="23"/>
        <v>9.762677251918257</v>
      </c>
      <c r="AS331">
        <f t="shared" si="24"/>
        <v>2.6643645582431001</v>
      </c>
      <c r="AT331">
        <v>0.2</v>
      </c>
      <c r="AU331">
        <v>0</v>
      </c>
      <c r="AV331">
        <v>0.3</v>
      </c>
      <c r="AW331">
        <v>3</v>
      </c>
      <c r="AX331" s="146">
        <v>0.23988514919730095</v>
      </c>
      <c r="AY331">
        <v>0.18</v>
      </c>
      <c r="AZ331" s="209">
        <v>267.1951103907673</v>
      </c>
      <c r="BA331">
        <v>0.23988514919730095</v>
      </c>
      <c r="BB331" s="249">
        <v>62.277615645511105</v>
      </c>
      <c r="BC331" s="243">
        <v>231.37135063273786</v>
      </c>
      <c r="BD331" s="209">
        <v>123615.93037743213</v>
      </c>
      <c r="BE331" s="243">
        <v>75.742998581684532</v>
      </c>
      <c r="BF331">
        <v>469603.00330265769</v>
      </c>
      <c r="BG331" t="s">
        <v>387</v>
      </c>
      <c r="BH331">
        <v>7.2931810155664712E-6</v>
      </c>
      <c r="BI331">
        <v>2436159.3037743215</v>
      </c>
      <c r="BJ331">
        <f t="shared" si="25"/>
        <v>0.1927636680307013</v>
      </c>
    </row>
    <row r="332" spans="1:62" s="140" customFormat="1" x14ac:dyDescent="0.3">
      <c r="A332" s="140">
        <v>-0.1</v>
      </c>
      <c r="B332" s="140">
        <v>1900</v>
      </c>
      <c r="C332" s="140">
        <v>25</v>
      </c>
      <c r="D332" s="140">
        <v>400</v>
      </c>
      <c r="E332" s="253">
        <v>23.234746826511241</v>
      </c>
      <c r="F332" s="140">
        <v>5.9740194011242238</v>
      </c>
      <c r="G332" s="140">
        <v>27.017904374227832</v>
      </c>
      <c r="H332" s="140">
        <v>15.202015361109252</v>
      </c>
      <c r="J332" s="140">
        <v>0.31555871118419143</v>
      </c>
      <c r="K332" s="140">
        <v>0.18</v>
      </c>
      <c r="L332" s="140">
        <v>155.007504248424</v>
      </c>
      <c r="M332" s="140">
        <v>77.1821597917464</v>
      </c>
      <c r="N332" s="140">
        <v>2.4541109074558989</v>
      </c>
      <c r="Z332" s="140">
        <v>0.16143326060136468</v>
      </c>
      <c r="AL332" s="140">
        <v>1486.9773233720871</v>
      </c>
      <c r="AM332" s="140">
        <v>0.22111335203417162</v>
      </c>
      <c r="AN332" s="140">
        <v>0.28244912096542257</v>
      </c>
      <c r="AO332" s="140">
        <v>317.73829301683099</v>
      </c>
      <c r="AP332" s="140">
        <v>259.92186964413787</v>
      </c>
      <c r="AQ332" t="s">
        <v>384</v>
      </c>
      <c r="AR332">
        <f t="shared" si="23"/>
        <v>9.762677251918257</v>
      </c>
      <c r="AS332">
        <f t="shared" si="24"/>
        <v>2.6643645582431001</v>
      </c>
      <c r="AT332" s="140">
        <v>0.2</v>
      </c>
      <c r="AU332">
        <v>0</v>
      </c>
      <c r="AV332">
        <v>0.3</v>
      </c>
      <c r="AW332">
        <v>3</v>
      </c>
      <c r="AX332" s="140">
        <v>0.23944263375276101</v>
      </c>
      <c r="AY332">
        <v>0.18</v>
      </c>
      <c r="AZ332" s="209">
        <v>259.92186964413787</v>
      </c>
      <c r="BA332" s="140">
        <v>0.23944263375276101</v>
      </c>
      <c r="BB332" s="253">
        <v>66.44923427564494</v>
      </c>
      <c r="BC332" s="245">
        <v>237.7479087968419</v>
      </c>
      <c r="BD332" s="210">
        <v>129897.23864917397</v>
      </c>
      <c r="BE332" s="245">
        <v>80.711230064949575</v>
      </c>
      <c r="BF332" s="140">
        <v>520472.34447790595</v>
      </c>
      <c r="BG332" t="s">
        <v>387</v>
      </c>
      <c r="BH332" s="140">
        <v>7.4145986368288605E-6</v>
      </c>
      <c r="BI332" s="140">
        <v>2498972.3864917397</v>
      </c>
      <c r="BJ332">
        <f t="shared" si="25"/>
        <v>0.2082745480867787</v>
      </c>
    </row>
    <row r="333" spans="1:62" x14ac:dyDescent="0.3">
      <c r="A333">
        <v>-0.1</v>
      </c>
      <c r="B333" s="146">
        <v>1000</v>
      </c>
      <c r="C333" s="146">
        <v>25</v>
      </c>
      <c r="D333" s="146">
        <v>200</v>
      </c>
      <c r="E333" s="252">
        <v>14.059071335812545</v>
      </c>
      <c r="F333" s="146">
        <v>7.5355863227480695</v>
      </c>
      <c r="G333" s="146">
        <v>18.586219320178735</v>
      </c>
      <c r="H333" s="146">
        <v>11.89572753309816</v>
      </c>
      <c r="I333" s="146"/>
      <c r="J333" s="146">
        <v>0.36934882314270434</v>
      </c>
      <c r="K333" s="146">
        <v>0.18</v>
      </c>
      <c r="L333" s="146">
        <v>121.60841758067859</v>
      </c>
      <c r="M333" s="146">
        <v>60.551909168802624</v>
      </c>
      <c r="N333" s="146">
        <v>1.2087290932246439</v>
      </c>
      <c r="O333" s="146"/>
      <c r="P333" s="146"/>
      <c r="Q333" s="146"/>
      <c r="R333" s="146"/>
      <c r="S333" s="146"/>
      <c r="T333" s="146"/>
      <c r="U333" s="146"/>
      <c r="V333" s="146"/>
      <c r="W333" s="146"/>
      <c r="X333" s="146"/>
      <c r="Y333" s="146"/>
      <c r="Z333" s="146">
        <v>0.10161035463039382</v>
      </c>
      <c r="AA333" s="146"/>
      <c r="AB333" s="146"/>
      <c r="AC333" s="146"/>
      <c r="AD333" s="146"/>
      <c r="AE333" s="146"/>
      <c r="AF333" s="146"/>
      <c r="AG333" s="146"/>
      <c r="AH333" s="146"/>
      <c r="AI333" s="146"/>
      <c r="AJ333" s="146"/>
      <c r="AK333" s="146"/>
      <c r="AL333" s="146">
        <v>716.71670679029637</v>
      </c>
      <c r="AM333" s="146">
        <v>0.40543943837824054</v>
      </c>
      <c r="AN333" s="146">
        <v>0.26695861898364143</v>
      </c>
      <c r="AO333" s="146">
        <v>147.33614000050679</v>
      </c>
      <c r="AP333" s="146">
        <v>112.35216017797586</v>
      </c>
      <c r="AQ333" t="s">
        <v>384</v>
      </c>
      <c r="AR333">
        <f t="shared" si="23"/>
        <v>9.762677251918257</v>
      </c>
      <c r="AS333">
        <f t="shared" si="24"/>
        <v>2.6643645582431001</v>
      </c>
      <c r="AT333">
        <v>0.2</v>
      </c>
      <c r="AU333">
        <v>0</v>
      </c>
      <c r="AV333">
        <v>0.3</v>
      </c>
      <c r="AW333">
        <v>3</v>
      </c>
      <c r="AX333" s="146">
        <v>0.23381198083772631</v>
      </c>
      <c r="AY333">
        <v>0.18</v>
      </c>
      <c r="AZ333" s="209">
        <v>112.35216017797586</v>
      </c>
      <c r="BA333">
        <v>0.23381198083772631</v>
      </c>
      <c r="BB333" s="249">
        <v>67.728327457969783</v>
      </c>
      <c r="BC333" s="243">
        <v>222.87363484128056</v>
      </c>
      <c r="BD333" s="209">
        <v>123726.24712911469</v>
      </c>
      <c r="BE333" s="243">
        <v>80.868294355581327</v>
      </c>
      <c r="BF333">
        <v>272054.10847897333</v>
      </c>
      <c r="BG333" t="s">
        <v>388</v>
      </c>
      <c r="BH333">
        <v>4.9422978236961149E-6</v>
      </c>
      <c r="BI333">
        <v>2437262.4712911472</v>
      </c>
      <c r="BJ333">
        <f t="shared" si="25"/>
        <v>0.11162281932435937</v>
      </c>
    </row>
    <row r="334" spans="1:62" x14ac:dyDescent="0.3">
      <c r="A334">
        <v>-0.1</v>
      </c>
      <c r="B334" s="146">
        <v>1000</v>
      </c>
      <c r="C334" s="146">
        <v>25</v>
      </c>
      <c r="D334" s="146">
        <v>300</v>
      </c>
      <c r="E334" s="252">
        <v>16.453311626293306</v>
      </c>
      <c r="F334" s="146">
        <v>5.4668140655438613</v>
      </c>
      <c r="G334" s="146">
        <v>19.888461418507497</v>
      </c>
      <c r="H334" s="146">
        <v>11.621980558382431</v>
      </c>
      <c r="I334" s="146"/>
      <c r="J334" s="146">
        <v>0.32943661190843526</v>
      </c>
      <c r="K334" s="146">
        <v>0.18</v>
      </c>
      <c r="L334" s="146">
        <v>118.24294433222057</v>
      </c>
      <c r="M334" s="146">
        <v>58.876154854217717</v>
      </c>
      <c r="N334" s="146">
        <v>1.7256082958904688</v>
      </c>
      <c r="O334" s="146"/>
      <c r="P334" s="146"/>
      <c r="Q334" s="146"/>
      <c r="R334" s="146"/>
      <c r="S334" s="146"/>
      <c r="T334" s="146"/>
      <c r="U334" s="146"/>
      <c r="V334" s="146"/>
      <c r="W334" s="146"/>
      <c r="X334" s="146"/>
      <c r="Y334" s="146"/>
      <c r="Z334" s="146">
        <v>0.1484779885168421</v>
      </c>
      <c r="AA334" s="146"/>
      <c r="AB334" s="146"/>
      <c r="AC334" s="146"/>
      <c r="AD334" s="146"/>
      <c r="AE334" s="146"/>
      <c r="AF334" s="146"/>
      <c r="AG334" s="146"/>
      <c r="AH334" s="146"/>
      <c r="AI334" s="146"/>
      <c r="AJ334" s="146"/>
      <c r="AK334" s="146"/>
      <c r="AL334" s="146">
        <v>1062.3035465811365</v>
      </c>
      <c r="AM334" s="146">
        <v>0.27487365415087556</v>
      </c>
      <c r="AN334" s="146">
        <v>0.27625279807734354</v>
      </c>
      <c r="AO334" s="146">
        <v>240.44110415965159</v>
      </c>
      <c r="AP334" s="146">
        <v>199.49939863590259</v>
      </c>
      <c r="AQ334" t="s">
        <v>384</v>
      </c>
      <c r="AR334">
        <f t="shared" si="23"/>
        <v>9.762677251918257</v>
      </c>
      <c r="AS334">
        <f t="shared" si="24"/>
        <v>2.6643645582431001</v>
      </c>
      <c r="AT334">
        <v>0.2</v>
      </c>
      <c r="AU334">
        <v>0</v>
      </c>
      <c r="AV334">
        <v>0.3</v>
      </c>
      <c r="AW334">
        <v>3</v>
      </c>
      <c r="AX334" s="146">
        <v>0.23208727648704808</v>
      </c>
      <c r="AY334">
        <v>0.18</v>
      </c>
      <c r="AZ334" s="209">
        <v>199.49939863590259</v>
      </c>
      <c r="BA334">
        <v>0.23208727648704808</v>
      </c>
      <c r="BB334" s="249">
        <v>56.094970492862132</v>
      </c>
      <c r="BC334" s="243">
        <v>212.72635974888294</v>
      </c>
      <c r="BD334" s="209">
        <v>110477.79794219964</v>
      </c>
      <c r="BE334" s="243">
        <v>67.97074402802177</v>
      </c>
      <c r="BF334">
        <v>306016.24684183754</v>
      </c>
      <c r="BG334" t="s">
        <v>388</v>
      </c>
      <c r="BH334">
        <v>6.0473341944588478E-6</v>
      </c>
      <c r="BI334">
        <v>2304777.9794219965</v>
      </c>
      <c r="BJ334">
        <f t="shared" si="25"/>
        <v>0.13277471824795106</v>
      </c>
    </row>
    <row r="335" spans="1:62" x14ac:dyDescent="0.3">
      <c r="A335">
        <v>-0.1</v>
      </c>
      <c r="B335" s="146">
        <v>1000</v>
      </c>
      <c r="C335" s="146">
        <v>25</v>
      </c>
      <c r="D335" s="146">
        <v>400</v>
      </c>
      <c r="E335" s="252">
        <v>18.161665110715912</v>
      </c>
      <c r="F335" s="146">
        <v>4.4294279194216299</v>
      </c>
      <c r="G335" s="146">
        <v>21.053129372336304</v>
      </c>
      <c r="H335" s="146">
        <v>11.418535921605324</v>
      </c>
      <c r="I335" s="146"/>
      <c r="J335" s="146">
        <v>0.30636660946057898</v>
      </c>
      <c r="K335" s="146">
        <v>0.18</v>
      </c>
      <c r="L335" s="146">
        <v>115.97631869481205</v>
      </c>
      <c r="M335" s="146">
        <v>57.747544578329659</v>
      </c>
      <c r="N335" s="146">
        <v>2.1276367575424544</v>
      </c>
      <c r="O335" s="146"/>
      <c r="P335" s="146"/>
      <c r="Q335" s="146"/>
      <c r="R335" s="146"/>
      <c r="S335" s="146"/>
      <c r="T335" s="146"/>
      <c r="U335" s="146"/>
      <c r="V335" s="146"/>
      <c r="W335" s="146"/>
      <c r="X335" s="146"/>
      <c r="Y335" s="146"/>
      <c r="Z335" s="146">
        <v>0.18633183554790897</v>
      </c>
      <c r="AA335" s="146"/>
      <c r="AB335" s="146"/>
      <c r="AC335" s="146"/>
      <c r="AD335" s="146"/>
      <c r="AE335" s="146"/>
      <c r="AF335" s="146"/>
      <c r="AG335" s="146"/>
      <c r="AH335" s="146"/>
      <c r="AI335" s="146"/>
      <c r="AJ335" s="146"/>
      <c r="AK335" s="146"/>
      <c r="AL335" s="146">
        <v>1351.8171634432583</v>
      </c>
      <c r="AM335" s="146">
        <v>0.21039285139442851</v>
      </c>
      <c r="AN335" s="146">
        <v>0.27184675701028355</v>
      </c>
      <c r="AO335" s="146">
        <v>333.19153294137374</v>
      </c>
      <c r="AP335" s="146">
        <v>287.99878467203189</v>
      </c>
      <c r="AQ335" t="s">
        <v>384</v>
      </c>
      <c r="AR335">
        <f t="shared" si="23"/>
        <v>9.762677251918257</v>
      </c>
      <c r="AS335">
        <f t="shared" si="24"/>
        <v>2.6643645582431001</v>
      </c>
      <c r="AT335">
        <v>0.2</v>
      </c>
      <c r="AU335">
        <v>0</v>
      </c>
      <c r="AV335">
        <v>0.3</v>
      </c>
      <c r="AW335">
        <v>3</v>
      </c>
      <c r="AX335" s="146">
        <v>0.22933637211894375</v>
      </c>
      <c r="AY335">
        <v>0.18</v>
      </c>
      <c r="AZ335" s="209">
        <v>287.99878467203189</v>
      </c>
      <c r="BA335">
        <v>0.22933637211894375</v>
      </c>
      <c r="BB335" s="249">
        <v>50.625902775308482</v>
      </c>
      <c r="BC335" s="243">
        <v>206.15394504449287</v>
      </c>
      <c r="BD335" s="209">
        <v>105429.23345835572</v>
      </c>
      <c r="BE335" s="243">
        <v>64.54617571933818</v>
      </c>
      <c r="BF335">
        <v>334238.15528006421</v>
      </c>
      <c r="BG335" t="s">
        <v>388</v>
      </c>
      <c r="BH335">
        <v>6.7559494761319943E-6</v>
      </c>
      <c r="BI335">
        <v>2254292.3345835572</v>
      </c>
      <c r="BJ335">
        <f t="shared" si="25"/>
        <v>0.14826744080723192</v>
      </c>
    </row>
    <row r="336" spans="1:62" x14ac:dyDescent="0.3">
      <c r="A336">
        <v>-0.1</v>
      </c>
      <c r="B336" s="146">
        <v>1000</v>
      </c>
      <c r="C336" s="146">
        <v>25</v>
      </c>
      <c r="D336" s="146">
        <v>500</v>
      </c>
      <c r="E336" s="252">
        <v>19.252458347978237</v>
      </c>
      <c r="F336" s="146">
        <v>3.6845211665539588</v>
      </c>
      <c r="G336" s="146">
        <v>21.752086341134969</v>
      </c>
      <c r="H336" s="146">
        <v>11.292801825899865</v>
      </c>
      <c r="I336" s="146"/>
      <c r="J336" s="146">
        <v>0.30424300579557134</v>
      </c>
      <c r="K336" s="146">
        <v>0.18</v>
      </c>
      <c r="L336" s="146">
        <v>114.59560417390414</v>
      </c>
      <c r="M336" s="146">
        <v>57.060051870823642</v>
      </c>
      <c r="N336" s="146">
        <v>2.3469910371098575</v>
      </c>
      <c r="O336" s="146"/>
      <c r="P336" s="146"/>
      <c r="Q336" s="146"/>
      <c r="R336" s="146"/>
      <c r="S336" s="146"/>
      <c r="T336" s="146"/>
      <c r="U336" s="146"/>
      <c r="V336" s="146"/>
      <c r="W336" s="146"/>
      <c r="X336" s="146"/>
      <c r="Y336" s="146"/>
      <c r="Z336" s="146">
        <v>0.20783071139414402</v>
      </c>
      <c r="AA336" s="146"/>
      <c r="AB336" s="146"/>
      <c r="AC336" s="146"/>
      <c r="AD336" s="146"/>
      <c r="AE336" s="146"/>
      <c r="AF336" s="146"/>
      <c r="AG336" s="146"/>
      <c r="AH336" s="146"/>
      <c r="AI336" s="146"/>
      <c r="AJ336" s="146"/>
      <c r="AK336" s="146"/>
      <c r="AL336" s="146">
        <v>1553.9808943893659</v>
      </c>
      <c r="AM336" s="146">
        <v>0.16938702379027565</v>
      </c>
      <c r="AN336" s="146">
        <v>0.2688607798225085</v>
      </c>
      <c r="AO336" s="146">
        <v>428.39246259462624</v>
      </c>
      <c r="AP336" s="146">
        <v>380.48537583443596</v>
      </c>
      <c r="AQ336" t="s">
        <v>384</v>
      </c>
      <c r="AR336">
        <f t="shared" si="23"/>
        <v>9.762677251918257</v>
      </c>
      <c r="AS336">
        <f t="shared" si="24"/>
        <v>2.6643645582431001</v>
      </c>
      <c r="AT336">
        <v>0.2</v>
      </c>
      <c r="AU336">
        <v>0</v>
      </c>
      <c r="AV336">
        <v>0.3</v>
      </c>
      <c r="AW336">
        <v>3</v>
      </c>
      <c r="AX336" s="146">
        <v>0.23582612959514859</v>
      </c>
      <c r="AY336">
        <v>0.18</v>
      </c>
      <c r="AZ336" s="209">
        <v>380.48537583443596</v>
      </c>
      <c r="BA336">
        <v>0.23582612959514859</v>
      </c>
      <c r="BB336" s="249">
        <v>46.390678783678446</v>
      </c>
      <c r="BC336" s="243">
        <v>202.2471268153391</v>
      </c>
      <c r="BD336" s="209">
        <v>101224.48191257066</v>
      </c>
      <c r="BE336" s="243">
        <v>60.699837136563161</v>
      </c>
      <c r="BF336">
        <v>349047.9323215136</v>
      </c>
      <c r="BG336" t="s">
        <v>388</v>
      </c>
      <c r="BH336">
        <v>7.2530993390383006E-6</v>
      </c>
      <c r="BI336">
        <v>2212244.8191257063</v>
      </c>
      <c r="BJ336">
        <f t="shared" si="25"/>
        <v>0.15777997502982496</v>
      </c>
    </row>
    <row r="337" spans="1:62" s="146" customFormat="1" x14ac:dyDescent="0.3">
      <c r="A337">
        <v>-0.1</v>
      </c>
      <c r="B337" s="146">
        <v>1000</v>
      </c>
      <c r="C337" s="146">
        <v>25</v>
      </c>
      <c r="D337" s="146">
        <v>600</v>
      </c>
      <c r="E337" s="252">
        <v>20.012336869893296</v>
      </c>
      <c r="F337" s="146">
        <v>3.1455307826264658</v>
      </c>
      <c r="G337" s="146">
        <v>22.228196362636389</v>
      </c>
      <c r="H337" s="146">
        <v>11.203243181647615</v>
      </c>
      <c r="J337" s="146">
        <v>0.30305403450791257</v>
      </c>
      <c r="K337" s="146">
        <v>0.18</v>
      </c>
      <c r="L337" s="146">
        <v>113.6245435240314</v>
      </c>
      <c r="M337" s="146">
        <v>56.576536194538456</v>
      </c>
      <c r="N337" s="146">
        <v>2.5334233418736822</v>
      </c>
      <c r="Z337" s="146">
        <v>0.22613303137289412</v>
      </c>
      <c r="AL337" s="146">
        <v>1741.9200305740565</v>
      </c>
      <c r="AM337" s="146">
        <v>0.14151084196438996</v>
      </c>
      <c r="AN337" s="146">
        <v>0.26685375774441317</v>
      </c>
      <c r="AO337" s="146">
        <v>525.00635164725441</v>
      </c>
      <c r="AP337" s="146">
        <v>475.20835963721561</v>
      </c>
      <c r="AQ337" t="s">
        <v>384</v>
      </c>
      <c r="AR337">
        <f t="shared" si="23"/>
        <v>9.762677251918257</v>
      </c>
      <c r="AS337">
        <f t="shared" si="24"/>
        <v>2.6643645582431001</v>
      </c>
      <c r="AT337">
        <v>0.2</v>
      </c>
      <c r="AU337">
        <v>0</v>
      </c>
      <c r="AV337">
        <v>0.3</v>
      </c>
      <c r="AW337">
        <v>3</v>
      </c>
      <c r="AX337" s="146">
        <v>0.2411668181224606</v>
      </c>
      <c r="AY337">
        <v>0.18</v>
      </c>
      <c r="AZ337" s="209">
        <v>475.20835963721561</v>
      </c>
      <c r="BA337" s="146">
        <v>0.2411668181224606</v>
      </c>
      <c r="BB337" s="252">
        <v>43.282663175016999</v>
      </c>
      <c r="BC337" s="244">
        <v>199.54153520312801</v>
      </c>
      <c r="BD337" s="229">
        <v>98099.475252428179</v>
      </c>
      <c r="BE337" s="244">
        <v>57.69610536881558</v>
      </c>
      <c r="BF337" s="146">
        <v>358108.97287288611</v>
      </c>
      <c r="BG337" t="s">
        <v>388</v>
      </c>
      <c r="BH337" s="146">
        <v>7.6158364113758624E-6</v>
      </c>
      <c r="BI337" s="146">
        <v>2180994.7525242819</v>
      </c>
      <c r="BJ337">
        <f t="shared" si="25"/>
        <v>0.16419524735601085</v>
      </c>
    </row>
    <row r="338" spans="1:62" s="140" customFormat="1" x14ac:dyDescent="0.3">
      <c r="A338">
        <v>-0.1</v>
      </c>
      <c r="B338" s="146">
        <v>1000</v>
      </c>
      <c r="C338" s="146">
        <v>25</v>
      </c>
      <c r="D338" s="146">
        <v>700</v>
      </c>
      <c r="E338" s="252">
        <v>20.578726351233602</v>
      </c>
      <c r="F338" s="146">
        <v>2.7453155760512438</v>
      </c>
      <c r="G338" s="146">
        <v>22.584085116328573</v>
      </c>
      <c r="H338" s="146">
        <v>11.13997224408247</v>
      </c>
      <c r="I338" s="146"/>
      <c r="J338" s="146">
        <v>0.30265488542049057</v>
      </c>
      <c r="K338" s="146">
        <v>0.18</v>
      </c>
      <c r="L338" s="146">
        <v>112.94144190138763</v>
      </c>
      <c r="M338" s="146">
        <v>56.236402606500064</v>
      </c>
      <c r="N338" s="146">
        <v>2.6823592464794199</v>
      </c>
      <c r="O338" s="146"/>
      <c r="P338" s="146"/>
      <c r="Q338" s="146"/>
      <c r="R338" s="146"/>
      <c r="S338" s="146"/>
      <c r="T338" s="146"/>
      <c r="U338" s="146"/>
      <c r="V338" s="146"/>
      <c r="W338" s="146"/>
      <c r="X338" s="146"/>
      <c r="Y338" s="146"/>
      <c r="Z338" s="146">
        <v>0.24078688776843979</v>
      </c>
      <c r="AA338" s="146"/>
      <c r="AB338" s="146"/>
      <c r="AC338" s="146"/>
      <c r="AD338" s="146"/>
      <c r="AE338" s="146"/>
      <c r="AF338" s="146"/>
      <c r="AG338" s="146"/>
      <c r="AH338" s="146"/>
      <c r="AI338" s="146"/>
      <c r="AJ338" s="146"/>
      <c r="AK338" s="146"/>
      <c r="AL338" s="146">
        <v>1912.3794537474446</v>
      </c>
      <c r="AM338" s="146">
        <v>0.12155974270865401</v>
      </c>
      <c r="AN338" s="146">
        <v>0.26521523820723619</v>
      </c>
      <c r="AO338" s="146">
        <v>622.40745105621113</v>
      </c>
      <c r="AP338" s="146">
        <v>571.19983050773521</v>
      </c>
      <c r="AQ338" t="s">
        <v>384</v>
      </c>
      <c r="AR338">
        <f t="shared" si="23"/>
        <v>9.762677251918257</v>
      </c>
      <c r="AS338">
        <f t="shared" si="24"/>
        <v>2.6643645582431001</v>
      </c>
      <c r="AT338">
        <v>0.2</v>
      </c>
      <c r="AU338">
        <v>0</v>
      </c>
      <c r="AV338">
        <v>0.3</v>
      </c>
      <c r="AW338">
        <v>3</v>
      </c>
      <c r="AX338" s="146">
        <v>0.24572050540013401</v>
      </c>
      <c r="AY338">
        <v>0.18</v>
      </c>
      <c r="AZ338" s="209">
        <v>571.19983050773521</v>
      </c>
      <c r="BA338" s="140">
        <v>0.24572050540013401</v>
      </c>
      <c r="BB338" s="253">
        <v>40.967307242211298</v>
      </c>
      <c r="BC338" s="245">
        <v>197.65852816373538</v>
      </c>
      <c r="BD338" s="210">
        <v>95810.649755243139</v>
      </c>
      <c r="BE338" s="245">
        <v>55.42186266400487</v>
      </c>
      <c r="BF338" s="140">
        <v>364482.39083294838</v>
      </c>
      <c r="BG338" t="s">
        <v>388</v>
      </c>
      <c r="BH338" s="140">
        <v>7.8903529952150648E-6</v>
      </c>
      <c r="BI338" s="140">
        <v>2158106.4975524312</v>
      </c>
      <c r="BJ338">
        <f t="shared" si="25"/>
        <v>0.16888990012602159</v>
      </c>
    </row>
    <row r="339" spans="1:62" x14ac:dyDescent="0.3">
      <c r="A339">
        <v>-0.1</v>
      </c>
      <c r="B339" s="146">
        <v>1000</v>
      </c>
      <c r="C339" s="146">
        <v>25</v>
      </c>
      <c r="D339" s="146">
        <v>800</v>
      </c>
      <c r="E339" s="252">
        <v>21.011514968747651</v>
      </c>
      <c r="F339" s="146">
        <v>2.4361450289059983</v>
      </c>
      <c r="G339" s="146">
        <v>22.854217665466074</v>
      </c>
      <c r="H339" s="146">
        <v>11.091585694662351</v>
      </c>
      <c r="I339" s="146"/>
      <c r="J339" s="146">
        <v>0.30246672224796323</v>
      </c>
      <c r="K339" s="146">
        <v>0.18</v>
      </c>
      <c r="L339" s="146">
        <v>112.42160413214049</v>
      </c>
      <c r="M339" s="146">
        <v>55.977562223472454</v>
      </c>
      <c r="N339" s="146">
        <v>2.8054192998467258</v>
      </c>
      <c r="O339" s="146"/>
      <c r="P339" s="146"/>
      <c r="Q339" s="146"/>
      <c r="R339" s="146"/>
      <c r="S339" s="146"/>
      <c r="T339" s="146"/>
      <c r="U339" s="146"/>
      <c r="V339" s="146"/>
      <c r="W339" s="146"/>
      <c r="X339" s="146"/>
      <c r="Y339" s="146"/>
      <c r="Z339" s="146">
        <v>0.25293221159502821</v>
      </c>
      <c r="AA339" s="146"/>
      <c r="AB339" s="146"/>
      <c r="AC339" s="146"/>
      <c r="AD339" s="146"/>
      <c r="AE339" s="146"/>
      <c r="AF339" s="146"/>
      <c r="AG339" s="146"/>
      <c r="AH339" s="146"/>
      <c r="AI339" s="146"/>
      <c r="AJ339" s="146"/>
      <c r="AK339" s="146"/>
      <c r="AL339" s="146">
        <v>2070.8185855723054</v>
      </c>
      <c r="AM339" s="146">
        <v>0.10659498673573682</v>
      </c>
      <c r="AN339" s="146">
        <v>0.26394179303179566</v>
      </c>
      <c r="AO339" s="146">
        <v>720.39337640546944</v>
      </c>
      <c r="AP339" s="146">
        <v>668.10893564894172</v>
      </c>
      <c r="AQ339" t="s">
        <v>384</v>
      </c>
      <c r="AR339">
        <f t="shared" si="23"/>
        <v>9.762677251918257</v>
      </c>
      <c r="AS339">
        <f t="shared" si="24"/>
        <v>2.6643645582431001</v>
      </c>
      <c r="AT339">
        <v>0.2</v>
      </c>
      <c r="AU339">
        <v>0</v>
      </c>
      <c r="AV339">
        <v>0.3</v>
      </c>
      <c r="AW339">
        <v>3</v>
      </c>
      <c r="AX339" s="146">
        <v>0.24952064388698428</v>
      </c>
      <c r="AY339">
        <v>0.18</v>
      </c>
      <c r="AZ339" s="209">
        <v>668.10893564894172</v>
      </c>
      <c r="BA339">
        <v>0.24952064388698428</v>
      </c>
      <c r="BB339" s="249">
        <v>39.169591639743707</v>
      </c>
      <c r="BC339" s="243">
        <v>196.23656867990377</v>
      </c>
      <c r="BD339" s="209">
        <v>94028.548224243277</v>
      </c>
      <c r="BE339" s="243">
        <v>53.615504226266026</v>
      </c>
      <c r="BF339">
        <v>368976.52192068216</v>
      </c>
      <c r="BG339" t="s">
        <v>388</v>
      </c>
      <c r="BH339">
        <v>8.104962132535444E-6</v>
      </c>
      <c r="BI339">
        <v>2140285.4822424329</v>
      </c>
      <c r="BJ339">
        <f t="shared" si="25"/>
        <v>0.17239593735602779</v>
      </c>
    </row>
    <row r="340" spans="1:62" x14ac:dyDescent="0.3">
      <c r="A340">
        <v>-0.1</v>
      </c>
      <c r="B340" s="146">
        <v>1000</v>
      </c>
      <c r="C340" s="146">
        <v>25</v>
      </c>
      <c r="D340" s="146">
        <v>900</v>
      </c>
      <c r="E340" s="252">
        <v>21.354005738373871</v>
      </c>
      <c r="F340" s="146">
        <v>2.1906807435056139</v>
      </c>
      <c r="G340" s="146">
        <v>23.067595003080513</v>
      </c>
      <c r="H340" s="146">
        <v>11.053723023584826</v>
      </c>
      <c r="I340" s="146"/>
      <c r="J340" s="146">
        <v>0.3022005985014769</v>
      </c>
      <c r="K340" s="146">
        <v>0.18</v>
      </c>
      <c r="L340" s="146">
        <v>112.01608829557017</v>
      </c>
      <c r="M340" s="146">
        <v>55.775645624350304</v>
      </c>
      <c r="N340" s="146">
        <v>2.9106451947663512</v>
      </c>
      <c r="O340" s="146"/>
      <c r="P340" s="146"/>
      <c r="Q340" s="146"/>
      <c r="R340" s="146"/>
      <c r="S340" s="146"/>
      <c r="T340" s="146"/>
      <c r="U340" s="146"/>
      <c r="V340" s="146"/>
      <c r="W340" s="146"/>
      <c r="X340" s="146"/>
      <c r="Y340" s="146"/>
      <c r="Z340" s="146">
        <v>0.26331808645431409</v>
      </c>
      <c r="AA340" s="146"/>
      <c r="AB340" s="146"/>
      <c r="AC340" s="146"/>
      <c r="AD340" s="146"/>
      <c r="AE340" s="146"/>
      <c r="AF340" s="146"/>
      <c r="AG340" s="146"/>
      <c r="AH340" s="146"/>
      <c r="AI340" s="146"/>
      <c r="AJ340" s="146"/>
      <c r="AK340" s="146"/>
      <c r="AL340" s="146">
        <v>2220.96233872127</v>
      </c>
      <c r="AM340" s="146">
        <v>9.4967886475077451E-2</v>
      </c>
      <c r="AN340" s="146">
        <v>0.26290321181638593</v>
      </c>
      <c r="AO340" s="146">
        <v>818.7761701698505</v>
      </c>
      <c r="AP340" s="146">
        <v>765.63974133809506</v>
      </c>
      <c r="AQ340" t="s">
        <v>384</v>
      </c>
      <c r="AR340">
        <f t="shared" si="23"/>
        <v>9.762677251918257</v>
      </c>
      <c r="AS340">
        <f t="shared" si="24"/>
        <v>2.6643645582431001</v>
      </c>
      <c r="AT340">
        <v>0.2</v>
      </c>
      <c r="AU340">
        <v>0</v>
      </c>
      <c r="AV340">
        <v>0.3</v>
      </c>
      <c r="AW340">
        <v>3</v>
      </c>
      <c r="AX340" s="146">
        <v>0.25260868485417676</v>
      </c>
      <c r="AY340">
        <v>0.18</v>
      </c>
      <c r="AZ340" s="209">
        <v>765.63974133809506</v>
      </c>
      <c r="BA340">
        <v>0.25260868485417676</v>
      </c>
      <c r="BB340" s="249">
        <v>37.739488466090009</v>
      </c>
      <c r="BC340" s="243">
        <v>195.13383342358969</v>
      </c>
      <c r="BD340" s="209">
        <v>92617.63044810266</v>
      </c>
      <c r="BE340" s="243">
        <v>52.16572375794393</v>
      </c>
      <c r="BF340">
        <v>372344.53902704606</v>
      </c>
      <c r="BG340" t="s">
        <v>388</v>
      </c>
      <c r="BH340">
        <v>8.2771135724272168E-6</v>
      </c>
      <c r="BI340">
        <v>2126176.3044810267</v>
      </c>
      <c r="BJ340">
        <f t="shared" si="25"/>
        <v>0.17512401875719838</v>
      </c>
    </row>
    <row r="341" spans="1:62" x14ac:dyDescent="0.3">
      <c r="A341">
        <v>-0.1</v>
      </c>
      <c r="B341" s="146">
        <v>1000</v>
      </c>
      <c r="C341" s="146">
        <v>25</v>
      </c>
      <c r="D341" s="146">
        <v>1000</v>
      </c>
      <c r="E341" s="252">
        <v>21.633904598316686</v>
      </c>
      <c r="F341" s="146">
        <v>1.9913758609281358</v>
      </c>
      <c r="G341" s="146">
        <v>23.242748239392316</v>
      </c>
      <c r="H341" s="146">
        <v>11.02374725704593</v>
      </c>
      <c r="I341" s="146"/>
      <c r="J341" s="146">
        <v>0.30175774492008939</v>
      </c>
      <c r="K341" s="146">
        <v>0.18</v>
      </c>
      <c r="L341" s="146">
        <v>111.69552316428695</v>
      </c>
      <c r="M341" s="146">
        <v>55.616028131595165</v>
      </c>
      <c r="N341" s="146">
        <v>3.0031053153459926</v>
      </c>
      <c r="O341" s="146"/>
      <c r="P341" s="146"/>
      <c r="Q341" s="146"/>
      <c r="R341" s="146"/>
      <c r="S341" s="146"/>
      <c r="T341" s="146"/>
      <c r="U341" s="146"/>
      <c r="V341" s="146"/>
      <c r="W341" s="146"/>
      <c r="X341" s="146"/>
      <c r="Y341" s="146"/>
      <c r="Z341" s="146">
        <v>0.27242145935689249</v>
      </c>
      <c r="AA341" s="146"/>
      <c r="AB341" s="146"/>
      <c r="AC341" s="146"/>
      <c r="AD341" s="146"/>
      <c r="AE341" s="146"/>
      <c r="AF341" s="146"/>
      <c r="AG341" s="146"/>
      <c r="AH341" s="146"/>
      <c r="AI341" s="146"/>
      <c r="AJ341" s="146"/>
      <c r="AK341" s="146"/>
      <c r="AL341" s="146">
        <v>2365.1481594895099</v>
      </c>
      <c r="AM341" s="146">
        <v>8.5677297728205329E-2</v>
      </c>
      <c r="AN341" s="146">
        <v>0.26200173359461409</v>
      </c>
      <c r="AO341" s="146">
        <v>917.42839140221088</v>
      </c>
      <c r="AP341" s="146">
        <v>863.59550181651502</v>
      </c>
      <c r="AQ341" t="s">
        <v>384</v>
      </c>
      <c r="AR341">
        <f t="shared" si="23"/>
        <v>9.762677251918257</v>
      </c>
      <c r="AS341">
        <f t="shared" si="24"/>
        <v>2.6643645582431001</v>
      </c>
      <c r="AT341">
        <v>0.2</v>
      </c>
      <c r="AU341">
        <v>0</v>
      </c>
      <c r="AV341">
        <v>0.3</v>
      </c>
      <c r="AW341">
        <v>3</v>
      </c>
      <c r="AX341" s="146">
        <v>0.25506844628952369</v>
      </c>
      <c r="AY341">
        <v>0.18</v>
      </c>
      <c r="AZ341" s="209">
        <v>863.59550181651502</v>
      </c>
      <c r="BA341">
        <v>0.25506844628952369</v>
      </c>
      <c r="BB341" s="249">
        <v>36.57958912711797</v>
      </c>
      <c r="BC341" s="243">
        <v>194.26610155112508</v>
      </c>
      <c r="BD341" s="209">
        <v>91490.734421245681</v>
      </c>
      <c r="BE341" s="243">
        <v>50.996182693499236</v>
      </c>
      <c r="BF341">
        <v>375046.49235819466</v>
      </c>
      <c r="BG341" t="s">
        <v>388</v>
      </c>
      <c r="BH341">
        <v>8.4181850388992062E-6</v>
      </c>
      <c r="BI341">
        <v>2114907.3442124566</v>
      </c>
      <c r="BJ341">
        <f t="shared" si="25"/>
        <v>0.17733471557726962</v>
      </c>
    </row>
    <row r="342" spans="1:62" s="140" customFormat="1" x14ac:dyDescent="0.3">
      <c r="A342" s="140">
        <v>-0.1</v>
      </c>
      <c r="B342" s="140">
        <v>1000</v>
      </c>
      <c r="C342" s="140">
        <v>25</v>
      </c>
      <c r="D342" s="140">
        <v>1100</v>
      </c>
      <c r="E342" s="253">
        <v>21.865159596700163</v>
      </c>
      <c r="F342" s="140">
        <v>1.8260638507287577</v>
      </c>
      <c r="G342" s="140">
        <v>23.387126907534288</v>
      </c>
      <c r="H342" s="140">
        <v>10.999032693063437</v>
      </c>
      <c r="J342" s="140">
        <v>0.30120265774478966</v>
      </c>
      <c r="K342" s="140">
        <v>0.18</v>
      </c>
      <c r="L342" s="140">
        <v>111.43179318366629</v>
      </c>
      <c r="M342" s="140">
        <v>55.484710298920973</v>
      </c>
      <c r="N342" s="140">
        <v>3.0850391210134873</v>
      </c>
      <c r="Z342" s="140">
        <v>0.2804827667217567</v>
      </c>
      <c r="AL342" s="140">
        <v>2504.4160606437772</v>
      </c>
      <c r="AM342" s="140">
        <v>7.8079870945604757E-2</v>
      </c>
      <c r="AN342" s="140">
        <v>0.26124776533128002</v>
      </c>
      <c r="AO342" s="140">
        <v>1016.3048932917238</v>
      </c>
      <c r="AP342" s="140">
        <v>961.89650013703204</v>
      </c>
      <c r="AQ342" t="s">
        <v>384</v>
      </c>
      <c r="AR342">
        <f t="shared" si="23"/>
        <v>9.762677251918257</v>
      </c>
      <c r="AS342">
        <f t="shared" si="24"/>
        <v>2.6643645582431001</v>
      </c>
      <c r="AT342" s="140">
        <v>0.2</v>
      </c>
      <c r="AU342">
        <v>0</v>
      </c>
      <c r="AV342">
        <v>0.3</v>
      </c>
      <c r="AW342">
        <v>3</v>
      </c>
      <c r="AX342" s="140">
        <v>0.25705796047182217</v>
      </c>
      <c r="AY342">
        <v>0.18</v>
      </c>
      <c r="AZ342" s="209">
        <v>961.89650013703204</v>
      </c>
      <c r="BA342" s="140">
        <v>0.25705796047182217</v>
      </c>
      <c r="BB342" s="253">
        <v>35.616245055123002</v>
      </c>
      <c r="BC342" s="245">
        <v>193.55483688603121</v>
      </c>
      <c r="BD342" s="210">
        <v>90556.633346101036</v>
      </c>
      <c r="BE342" s="245">
        <v>50.019317301866963</v>
      </c>
      <c r="BF342" s="140">
        <v>377185.57416146109</v>
      </c>
      <c r="BG342" t="s">
        <v>388</v>
      </c>
      <c r="BH342" s="140">
        <v>8.5359270958576764E-6</v>
      </c>
      <c r="BI342" s="140">
        <v>2105566.3334610104</v>
      </c>
      <c r="BJ342">
        <f t="shared" si="25"/>
        <v>0.17913735044455467</v>
      </c>
    </row>
    <row r="343" spans="1:62" x14ac:dyDescent="0.3">
      <c r="A343">
        <v>-0.1</v>
      </c>
      <c r="B343" s="146">
        <v>1000</v>
      </c>
      <c r="C343" s="146">
        <v>25</v>
      </c>
      <c r="D343" s="146">
        <v>400</v>
      </c>
      <c r="E343" s="252">
        <v>18.162792863725844</v>
      </c>
      <c r="F343" s="146">
        <v>4.4299113806562751</v>
      </c>
      <c r="G343" s="146">
        <v>21.054561549930838</v>
      </c>
      <c r="H343" s="146">
        <v>11.419022507736566</v>
      </c>
      <c r="I343" s="146"/>
      <c r="J343" s="146">
        <v>0.30635513511002765</v>
      </c>
      <c r="K343" s="146">
        <v>0.18</v>
      </c>
      <c r="L343" s="146">
        <v>115.9812208698022</v>
      </c>
      <c r="M343" s="146">
        <v>57.749985495337206</v>
      </c>
      <c r="N343" s="146">
        <v>2.1276583622853344</v>
      </c>
      <c r="O343" s="146"/>
      <c r="P343" s="146"/>
      <c r="Q343" s="146"/>
      <c r="R343" s="146"/>
      <c r="S343" s="146"/>
      <c r="T343" s="146"/>
      <c r="U343" s="146"/>
      <c r="V343" s="146"/>
      <c r="W343" s="146"/>
      <c r="X343" s="146"/>
      <c r="Y343" s="146"/>
      <c r="Z343" s="146">
        <v>0.18632578759204763</v>
      </c>
      <c r="AA343" s="146"/>
      <c r="AB343" s="146"/>
      <c r="AC343" s="146"/>
      <c r="AD343" s="146"/>
      <c r="AE343" s="146"/>
      <c r="AF343" s="146"/>
      <c r="AG343" s="146"/>
      <c r="AH343" s="146"/>
      <c r="AI343" s="146"/>
      <c r="AJ343" s="146"/>
      <c r="AK343" s="146"/>
      <c r="AL343" s="146">
        <v>1351.8169881863325</v>
      </c>
      <c r="AM343" s="146">
        <v>0.21040150231344176</v>
      </c>
      <c r="AN343" s="146">
        <v>0.27183083590218171</v>
      </c>
      <c r="AO343" s="146">
        <v>333.18347124436713</v>
      </c>
      <c r="AP343" s="146">
        <v>287.98780704366465</v>
      </c>
      <c r="AQ343" t="s">
        <v>384</v>
      </c>
      <c r="AR343">
        <f t="shared" si="23"/>
        <v>9.762677251918257</v>
      </c>
      <c r="AS343">
        <f t="shared" si="24"/>
        <v>2.6643645582431001</v>
      </c>
      <c r="AT343">
        <v>0.2</v>
      </c>
      <c r="AU343">
        <v>0</v>
      </c>
      <c r="AV343">
        <v>0.3</v>
      </c>
      <c r="AW343" s="146">
        <v>3</v>
      </c>
      <c r="AX343" s="146">
        <v>0.22932629146633601</v>
      </c>
      <c r="AY343">
        <v>0.18</v>
      </c>
      <c r="AZ343" s="209">
        <v>287.98780704366465</v>
      </c>
      <c r="BA343">
        <v>0.22932629146633601</v>
      </c>
      <c r="BB343" s="249">
        <v>50.630571823761329</v>
      </c>
      <c r="BC343" s="243">
        <v>206.16794390286097</v>
      </c>
      <c r="BD343" s="209">
        <v>105442.5134657521</v>
      </c>
      <c r="BE343" s="243">
        <v>64.557254447881107</v>
      </c>
      <c r="BF343">
        <v>334290.59380667377</v>
      </c>
      <c r="BG343" t="s">
        <v>389</v>
      </c>
      <c r="BH343">
        <v>6.7558779237992811E-6</v>
      </c>
      <c r="BI343">
        <v>2254425.1346575208</v>
      </c>
      <c r="BJ343">
        <f t="shared" si="25"/>
        <v>0.14828196717096009</v>
      </c>
    </row>
    <row r="344" spans="1:62" x14ac:dyDescent="0.3">
      <c r="A344">
        <v>-0.1</v>
      </c>
      <c r="B344" s="146">
        <v>1000</v>
      </c>
      <c r="C344" s="146">
        <v>25</v>
      </c>
      <c r="D344" s="146">
        <v>400</v>
      </c>
      <c r="E344" s="252">
        <v>17.552444490401207</v>
      </c>
      <c r="F344" s="146">
        <v>4.2357185329748113</v>
      </c>
      <c r="G344" s="146">
        <v>20.311863634980202</v>
      </c>
      <c r="H344" s="146">
        <v>11.028011185563896</v>
      </c>
      <c r="I344" s="146"/>
      <c r="J344" s="146">
        <v>0.30987875125133441</v>
      </c>
      <c r="K344" s="146">
        <v>0.18</v>
      </c>
      <c r="L344" s="146">
        <v>112.04814151077794</v>
      </c>
      <c r="M344" s="146">
        <v>55.791605731507694</v>
      </c>
      <c r="N344" s="146">
        <v>2.0608905181994146</v>
      </c>
      <c r="O344" s="146"/>
      <c r="P344" s="146"/>
      <c r="Q344" s="146"/>
      <c r="R344" s="146"/>
      <c r="S344" s="146"/>
      <c r="T344" s="146"/>
      <c r="U344" s="146"/>
      <c r="V344" s="146"/>
      <c r="W344" s="146"/>
      <c r="X344" s="146"/>
      <c r="Y344" s="146"/>
      <c r="Z344" s="146">
        <v>0.18687780448547259</v>
      </c>
      <c r="AA344" s="146"/>
      <c r="AB344" s="146"/>
      <c r="AC344" s="146"/>
      <c r="AD344" s="146"/>
      <c r="AE344" s="146"/>
      <c r="AF344" s="146"/>
      <c r="AG344" s="146"/>
      <c r="AH344" s="146"/>
      <c r="AI344" s="146"/>
      <c r="AJ344" s="146"/>
      <c r="AK344" s="146"/>
      <c r="AL344" s="146">
        <v>1322.5430671560171</v>
      </c>
      <c r="AM344" s="146">
        <v>0.20853421473745237</v>
      </c>
      <c r="AN344" s="146">
        <v>0.27329423103695882</v>
      </c>
      <c r="AO344" s="146">
        <v>335.77455175763475</v>
      </c>
      <c r="AP344" s="146">
        <v>292.09780805630908</v>
      </c>
      <c r="AQ344" t="s">
        <v>384</v>
      </c>
      <c r="AR344">
        <f t="shared" si="23"/>
        <v>9.762677251918257</v>
      </c>
      <c r="AS344">
        <f t="shared" si="24"/>
        <v>2.6643645582431001</v>
      </c>
      <c r="AT344">
        <v>0.2</v>
      </c>
      <c r="AU344">
        <v>0</v>
      </c>
      <c r="AV344">
        <v>0.3</v>
      </c>
      <c r="AW344" s="146">
        <v>2.5</v>
      </c>
      <c r="AX344" s="146">
        <v>0.23159472973642103</v>
      </c>
      <c r="AY344">
        <v>0.18</v>
      </c>
      <c r="AZ344" s="209">
        <v>292.09780805630908</v>
      </c>
      <c r="BA344">
        <v>0.23159472973642103</v>
      </c>
      <c r="BB344" s="249">
        <v>48.596365236875798</v>
      </c>
      <c r="BC344" s="243">
        <v>195.22079097669382</v>
      </c>
      <c r="BD344" s="209">
        <v>98816.70794349919</v>
      </c>
      <c r="BE344" s="243">
        <v>61.403160259943242</v>
      </c>
      <c r="BF344">
        <v>381073.06777024461</v>
      </c>
      <c r="BG344" t="s">
        <v>389</v>
      </c>
      <c r="BH344">
        <v>6.5625482230643749E-6</v>
      </c>
      <c r="BI344">
        <v>2188167.0794349918</v>
      </c>
      <c r="BJ344">
        <f t="shared" si="25"/>
        <v>0.17415172330836901</v>
      </c>
    </row>
    <row r="345" spans="1:62" x14ac:dyDescent="0.3">
      <c r="A345">
        <v>-0.1</v>
      </c>
      <c r="B345" s="146">
        <v>1000</v>
      </c>
      <c r="C345" s="146">
        <v>25</v>
      </c>
      <c r="D345" s="146">
        <v>400</v>
      </c>
      <c r="E345" s="252">
        <v>15.34219404923333</v>
      </c>
      <c r="F345" s="146">
        <v>3.5849511133839806</v>
      </c>
      <c r="G345" s="146">
        <v>17.662097841426423</v>
      </c>
      <c r="H345" s="146">
        <v>9.6312583311377189</v>
      </c>
      <c r="I345" s="146"/>
      <c r="J345" s="146">
        <v>0.32657622603514547</v>
      </c>
      <c r="K345" s="146">
        <v>0.18</v>
      </c>
      <c r="L345" s="146">
        <v>97.969696523208086</v>
      </c>
      <c r="M345" s="146">
        <v>48.781591629813157</v>
      </c>
      <c r="N345" s="146">
        <v>1.7849390521818922</v>
      </c>
      <c r="O345" s="146"/>
      <c r="P345" s="146"/>
      <c r="Q345" s="146"/>
      <c r="R345" s="146"/>
      <c r="S345" s="146"/>
      <c r="T345" s="146"/>
      <c r="U345" s="146"/>
      <c r="V345" s="146"/>
      <c r="W345" s="146"/>
      <c r="X345" s="146"/>
      <c r="Y345" s="146"/>
      <c r="Z345" s="146">
        <v>0.18532771013017169</v>
      </c>
      <c r="AA345" s="146"/>
      <c r="AB345" s="146"/>
      <c r="AC345" s="146"/>
      <c r="AD345" s="146"/>
      <c r="AE345" s="146"/>
      <c r="AF345" s="146"/>
      <c r="AG345" s="146"/>
      <c r="AH345" s="146"/>
      <c r="AI345" s="146"/>
      <c r="AJ345" s="146"/>
      <c r="AK345" s="146"/>
      <c r="AL345" s="146">
        <v>1199.0568022755995</v>
      </c>
      <c r="AM345" s="146">
        <v>0.20297425286454271</v>
      </c>
      <c r="AN345" s="146">
        <v>0.27775804154131339</v>
      </c>
      <c r="AO345" s="146">
        <v>344.76417689260188</v>
      </c>
      <c r="AP345" s="146">
        <v>306.58727618465264</v>
      </c>
      <c r="AQ345" t="s">
        <v>384</v>
      </c>
      <c r="AR345">
        <f t="shared" si="23"/>
        <v>9.762677251918257</v>
      </c>
      <c r="AS345">
        <f t="shared" si="24"/>
        <v>2.6643645582431001</v>
      </c>
      <c r="AT345">
        <v>0.2</v>
      </c>
      <c r="AU345">
        <v>0</v>
      </c>
      <c r="AV345">
        <v>0.3</v>
      </c>
      <c r="AW345" s="146">
        <v>1.5</v>
      </c>
      <c r="AX345" s="146">
        <v>0.24183777036548801</v>
      </c>
      <c r="AY345">
        <v>0.18</v>
      </c>
      <c r="AZ345" s="209">
        <v>306.58727618465264</v>
      </c>
      <c r="BA345">
        <v>0.24183777036548801</v>
      </c>
      <c r="BB345" s="249">
        <v>41.601394828260155</v>
      </c>
      <c r="BC345" s="243">
        <v>160.04769634691911</v>
      </c>
      <c r="BD345" s="209">
        <v>77787.433696071472</v>
      </c>
      <c r="BE345" s="243">
        <v>50.923597853522082</v>
      </c>
      <c r="BF345">
        <v>502559.34397984104</v>
      </c>
      <c r="BG345" t="s">
        <v>389</v>
      </c>
      <c r="BH345">
        <v>5.8907358545653166E-6</v>
      </c>
      <c r="BI345">
        <v>1977874.3369607148</v>
      </c>
      <c r="BJ345">
        <f t="shared" si="25"/>
        <v>0.25409063386306685</v>
      </c>
    </row>
    <row r="346" spans="1:62" x14ac:dyDescent="0.3">
      <c r="A346">
        <v>-0.1</v>
      </c>
      <c r="B346" s="146">
        <v>1000</v>
      </c>
      <c r="C346" s="146">
        <v>25</v>
      </c>
      <c r="D346" s="146">
        <v>400</v>
      </c>
      <c r="E346" s="252">
        <v>13.296480720452749</v>
      </c>
      <c r="F346" s="146">
        <v>3.0342861581607066</v>
      </c>
      <c r="G346" s="146">
        <v>15.249254062893929</v>
      </c>
      <c r="H346" s="146">
        <v>8.3309268858746695</v>
      </c>
      <c r="I346" s="146"/>
      <c r="J346" s="146">
        <v>0.33795190378908341</v>
      </c>
      <c r="K346" s="146">
        <v>0.18</v>
      </c>
      <c r="L346" s="146">
        <v>84.826629761907824</v>
      </c>
      <c r="M346" s="146">
        <v>42.237326022526716</v>
      </c>
      <c r="N346" s="146">
        <v>1.568852288364746</v>
      </c>
      <c r="O346" s="146"/>
      <c r="P346" s="146"/>
      <c r="Q346" s="146"/>
      <c r="R346" s="146"/>
      <c r="S346" s="146"/>
      <c r="T346" s="146"/>
      <c r="U346" s="146"/>
      <c r="V346" s="146"/>
      <c r="W346" s="146"/>
      <c r="X346" s="146"/>
      <c r="Y346" s="146"/>
      <c r="Z346" s="146">
        <v>0.18831665550021584</v>
      </c>
      <c r="AA346" s="146"/>
      <c r="AB346" s="146"/>
      <c r="AC346" s="146"/>
      <c r="AD346" s="146"/>
      <c r="AE346" s="146"/>
      <c r="AF346" s="146"/>
      <c r="AG346" s="146"/>
      <c r="AH346" s="146"/>
      <c r="AI346" s="146"/>
      <c r="AJ346" s="146"/>
      <c r="AK346" s="146"/>
      <c r="AL346" s="146">
        <v>1103.9520471732424</v>
      </c>
      <c r="AM346" s="146">
        <v>0.19897931699780957</v>
      </c>
      <c r="AN346" s="146">
        <v>0.28058928209366352</v>
      </c>
      <c r="AO346" s="146">
        <v>352.61230000932733</v>
      </c>
      <c r="AP346" s="146">
        <v>319.52590299086853</v>
      </c>
      <c r="AQ346" t="s">
        <v>384</v>
      </c>
      <c r="AR346">
        <f t="shared" si="23"/>
        <v>9.762677251918257</v>
      </c>
      <c r="AS346">
        <f t="shared" si="24"/>
        <v>2.6643645582431001</v>
      </c>
      <c r="AT346">
        <v>0.2</v>
      </c>
      <c r="AU346">
        <v>0</v>
      </c>
      <c r="AV346">
        <v>0.3</v>
      </c>
      <c r="AW346" s="146">
        <v>1</v>
      </c>
      <c r="AX346" s="146">
        <v>0.24864361378594782</v>
      </c>
      <c r="AY346">
        <v>0.18</v>
      </c>
      <c r="AZ346" s="209">
        <v>319.52590299086853</v>
      </c>
      <c r="BA346">
        <v>0.24864361378594782</v>
      </c>
      <c r="BB346" s="249">
        <v>35.550473390085159</v>
      </c>
      <c r="BC346" s="243">
        <v>131.62681157592991</v>
      </c>
      <c r="BD346" s="209">
        <v>61601.254875876017</v>
      </c>
      <c r="BE346" s="243">
        <v>42.625293768400709</v>
      </c>
      <c r="BF346">
        <v>573751.95998941502</v>
      </c>
      <c r="BG346" t="s">
        <v>389</v>
      </c>
      <c r="BH346">
        <v>5.25188856814006E-6</v>
      </c>
      <c r="BI346">
        <v>1816012.5487587601</v>
      </c>
      <c r="BJ346">
        <f t="shared" si="25"/>
        <v>0.31594052606165801</v>
      </c>
    </row>
    <row r="347" spans="1:62" x14ac:dyDescent="0.3">
      <c r="A347">
        <v>-0.1</v>
      </c>
      <c r="B347" s="146">
        <v>1000</v>
      </c>
      <c r="C347" s="146">
        <v>25</v>
      </c>
      <c r="D347" s="146">
        <v>400</v>
      </c>
      <c r="E347" s="252">
        <v>12.168567119351993</v>
      </c>
      <c r="F347" s="146">
        <v>2.7504713830486711</v>
      </c>
      <c r="G347" s="146">
        <v>13.932854072243238</v>
      </c>
      <c r="H347" s="146">
        <v>7.5905864552725264</v>
      </c>
      <c r="I347" s="146"/>
      <c r="J347" s="146">
        <v>0.34008913467542778</v>
      </c>
      <c r="K347" s="146">
        <v>0.18</v>
      </c>
      <c r="L347" s="146">
        <v>77.329808081087009</v>
      </c>
      <c r="M347" s="146">
        <v>38.50446875406822</v>
      </c>
      <c r="N347" s="146">
        <v>1.4673277471680573</v>
      </c>
      <c r="O347" s="146"/>
      <c r="P347" s="146"/>
      <c r="Q347" s="146"/>
      <c r="R347" s="146"/>
      <c r="S347" s="146"/>
      <c r="T347" s="146"/>
      <c r="U347" s="146"/>
      <c r="V347" s="146"/>
      <c r="W347" s="146"/>
      <c r="X347" s="146"/>
      <c r="Y347" s="146"/>
      <c r="Z347" s="146">
        <v>0.19330887749112338</v>
      </c>
      <c r="AA347" s="146"/>
      <c r="AB347" s="146"/>
      <c r="AC347" s="146"/>
      <c r="AD347" s="146"/>
      <c r="AE347" s="146"/>
      <c r="AF347" s="146"/>
      <c r="AG347" s="146"/>
      <c r="AH347" s="146"/>
      <c r="AI347" s="146"/>
      <c r="AJ347" s="146"/>
      <c r="AK347" s="146"/>
      <c r="AL347" s="146">
        <v>1060.0193799352314</v>
      </c>
      <c r="AM347" s="146">
        <v>0.19740904259724554</v>
      </c>
      <c r="AN347" s="146">
        <v>0.28060956736671705</v>
      </c>
      <c r="AO347" s="146">
        <v>356.63523794450884</v>
      </c>
      <c r="AP347" s="146">
        <v>326.35550635120234</v>
      </c>
      <c r="AQ347" t="s">
        <v>384</v>
      </c>
      <c r="AR347">
        <f t="shared" si="23"/>
        <v>9.762677251918257</v>
      </c>
      <c r="AS347">
        <f t="shared" si="24"/>
        <v>2.6643645582431001</v>
      </c>
      <c r="AT347">
        <v>0.2</v>
      </c>
      <c r="AU347">
        <v>0</v>
      </c>
      <c r="AV347">
        <v>0.3</v>
      </c>
      <c r="AW347" s="146">
        <v>0.8</v>
      </c>
      <c r="AX347" s="146">
        <v>0.24956650115829263</v>
      </c>
      <c r="AY347">
        <v>0.18</v>
      </c>
      <c r="AZ347" s="209">
        <v>326.35550635120234</v>
      </c>
      <c r="BA347">
        <v>0.24956650115829263</v>
      </c>
      <c r="BB347" s="249">
        <v>32.377887629169052</v>
      </c>
      <c r="BC347" s="243">
        <v>116.88037387741838</v>
      </c>
      <c r="BD347" s="209">
        <v>53761.9961699864</v>
      </c>
      <c r="BE347" s="243">
        <v>38.740130669345547</v>
      </c>
      <c r="BF347">
        <v>603037.04036542331</v>
      </c>
      <c r="BG347" t="s">
        <v>389</v>
      </c>
      <c r="BH347">
        <v>4.8785526556686699E-6</v>
      </c>
      <c r="BI347">
        <v>1737619.9616998639</v>
      </c>
      <c r="BJ347">
        <f t="shared" si="25"/>
        <v>0.34704771679504037</v>
      </c>
    </row>
    <row r="348" spans="1:62" x14ac:dyDescent="0.3">
      <c r="A348">
        <v>-0.1</v>
      </c>
      <c r="B348" s="146">
        <v>1000</v>
      </c>
      <c r="C348" s="146">
        <v>25</v>
      </c>
      <c r="D348" s="146">
        <v>400</v>
      </c>
      <c r="E348" s="252">
        <v>10.773061215707294</v>
      </c>
      <c r="F348" s="146">
        <v>2.4112937368447946</v>
      </c>
      <c r="G348" s="146">
        <v>12.313899077866605</v>
      </c>
      <c r="H348" s="146">
        <v>6.6872145250063273</v>
      </c>
      <c r="I348" s="146"/>
      <c r="J348" s="146">
        <v>0.34317629473927003</v>
      </c>
      <c r="K348" s="146">
        <v>0.18</v>
      </c>
      <c r="L348" s="146">
        <v>68.168840691853831</v>
      </c>
      <c r="M348" s="146">
        <v>33.942991215860836</v>
      </c>
      <c r="N348" s="146">
        <v>1.3369468677033698</v>
      </c>
      <c r="O348" s="146"/>
      <c r="P348" s="146"/>
      <c r="Q348" s="146"/>
      <c r="R348" s="146"/>
      <c r="S348" s="146"/>
      <c r="T348" s="146"/>
      <c r="U348" s="146"/>
      <c r="V348" s="146"/>
      <c r="W348" s="146"/>
      <c r="X348" s="146"/>
      <c r="Y348" s="146"/>
      <c r="Z348" s="146">
        <v>0.19992582303199025</v>
      </c>
      <c r="AA348" s="146"/>
      <c r="AB348" s="146"/>
      <c r="AC348" s="146"/>
      <c r="AD348" s="146"/>
      <c r="AE348" s="146"/>
      <c r="AF348" s="146"/>
      <c r="AG348" s="146"/>
      <c r="AH348" s="146"/>
      <c r="AI348" s="146"/>
      <c r="AJ348" s="146"/>
      <c r="AK348" s="146"/>
      <c r="AL348" s="146">
        <v>1003.272665790374</v>
      </c>
      <c r="AM348" s="146">
        <v>0.19581886465018469</v>
      </c>
      <c r="AN348" s="146">
        <v>0.28059596796288011</v>
      </c>
      <c r="AO348" s="146">
        <v>361.60650028608944</v>
      </c>
      <c r="AP348" s="146">
        <v>334.79923193868984</v>
      </c>
      <c r="AQ348" t="s">
        <v>384</v>
      </c>
      <c r="AR348">
        <f t="shared" si="23"/>
        <v>9.762677251918257</v>
      </c>
      <c r="AS348">
        <f t="shared" si="24"/>
        <v>2.6643645582431001</v>
      </c>
      <c r="AT348">
        <v>0.2</v>
      </c>
      <c r="AU348">
        <v>0</v>
      </c>
      <c r="AV348">
        <v>0.3</v>
      </c>
      <c r="AW348" s="146">
        <v>0.6</v>
      </c>
      <c r="AX348" s="146">
        <v>0.25091776722630871</v>
      </c>
      <c r="AY348">
        <v>0.18</v>
      </c>
      <c r="AZ348" s="209">
        <v>334.79923193868984</v>
      </c>
      <c r="BA348">
        <v>0.25091776722630871</v>
      </c>
      <c r="BB348" s="249">
        <v>28.532918140928</v>
      </c>
      <c r="BC348" s="243">
        <v>100.03313942127932</v>
      </c>
      <c r="BD348" s="209">
        <v>44944.440001616007</v>
      </c>
      <c r="BE348" s="243">
        <v>34.043258073486356</v>
      </c>
      <c r="BF348">
        <v>632281.78357087122</v>
      </c>
      <c r="BG348" t="s">
        <v>389</v>
      </c>
      <c r="BH348">
        <v>4.3921357517588226E-6</v>
      </c>
      <c r="BI348">
        <v>1649444.4000161602</v>
      </c>
      <c r="BJ348">
        <f t="shared" si="25"/>
        <v>0.38333015866717091</v>
      </c>
    </row>
    <row r="349" spans="1:62" x14ac:dyDescent="0.3">
      <c r="A349">
        <v>-0.1</v>
      </c>
      <c r="B349" s="146">
        <v>1000</v>
      </c>
      <c r="C349" s="146">
        <v>25</v>
      </c>
      <c r="D349" s="146">
        <v>400</v>
      </c>
      <c r="E349" s="252">
        <v>8.9180203912481506</v>
      </c>
      <c r="F349" s="146">
        <v>1.9789167920648363</v>
      </c>
      <c r="G349" s="146">
        <v>10.176352059745554</v>
      </c>
      <c r="H349" s="146">
        <v>5.5050413668278884</v>
      </c>
      <c r="I349" s="146"/>
      <c r="J349" s="146">
        <v>0.34852898608169008</v>
      </c>
      <c r="K349" s="146">
        <v>0.18</v>
      </c>
      <c r="L349" s="146">
        <v>56.160436850315456</v>
      </c>
      <c r="M349" s="146">
        <v>27.963702996007697</v>
      </c>
      <c r="N349" s="146">
        <v>1.1523880021488502</v>
      </c>
      <c r="O349" s="146"/>
      <c r="P349" s="146"/>
      <c r="Q349" s="146"/>
      <c r="R349" s="146"/>
      <c r="S349" s="146"/>
      <c r="T349" s="146"/>
      <c r="U349" s="146"/>
      <c r="V349" s="146"/>
      <c r="W349" s="146"/>
      <c r="X349" s="146"/>
      <c r="Y349" s="146"/>
      <c r="Z349" s="146">
        <v>0.20933321393239201</v>
      </c>
      <c r="AA349" s="146"/>
      <c r="AB349" s="146"/>
      <c r="AC349" s="146"/>
      <c r="AD349" s="146"/>
      <c r="AE349" s="146"/>
      <c r="AF349" s="146"/>
      <c r="AG349" s="146"/>
      <c r="AH349" s="146"/>
      <c r="AI349" s="146"/>
      <c r="AJ349" s="146"/>
      <c r="AK349" s="146"/>
      <c r="AL349" s="146">
        <v>922.20092319459081</v>
      </c>
      <c r="AM349" s="146">
        <v>0.19446229655249531</v>
      </c>
      <c r="AN349" s="146">
        <v>0.28042444756972645</v>
      </c>
      <c r="AO349" s="146">
        <v>368.19813511790653</v>
      </c>
      <c r="AP349" s="146">
        <v>346.00692212016645</v>
      </c>
      <c r="AQ349" t="s">
        <v>384</v>
      </c>
      <c r="AR349">
        <f t="shared" si="23"/>
        <v>9.762677251918257</v>
      </c>
      <c r="AS349">
        <f t="shared" si="24"/>
        <v>2.6643645582431001</v>
      </c>
      <c r="AT349">
        <v>0.2</v>
      </c>
      <c r="AU349">
        <v>0</v>
      </c>
      <c r="AV349">
        <v>0.3</v>
      </c>
      <c r="AW349" s="146">
        <v>0.4</v>
      </c>
      <c r="AX349" s="146">
        <v>0.25341375065134242</v>
      </c>
      <c r="AY349">
        <v>0.18</v>
      </c>
      <c r="AZ349" s="209">
        <v>346.00692212016645</v>
      </c>
      <c r="BA349">
        <v>0.25341375065134242</v>
      </c>
      <c r="BB349" s="249">
        <v>23.543238852895747</v>
      </c>
      <c r="BC349" s="243">
        <v>79.573902239506722</v>
      </c>
      <c r="BD349" s="209">
        <v>34530.970224333061</v>
      </c>
      <c r="BE349" s="243">
        <v>27.975406746487174</v>
      </c>
      <c r="BF349">
        <v>650189.23983590503</v>
      </c>
      <c r="BG349" t="s">
        <v>389</v>
      </c>
      <c r="BH349">
        <v>3.723754450928127E-6</v>
      </c>
      <c r="BI349">
        <v>1545309.7022433307</v>
      </c>
      <c r="BJ349">
        <f t="shared" si="25"/>
        <v>0.42075011817503211</v>
      </c>
    </row>
    <row r="350" spans="1:62" x14ac:dyDescent="0.3">
      <c r="A350">
        <v>-0.1</v>
      </c>
      <c r="B350" s="146">
        <v>1000</v>
      </c>
      <c r="C350" s="146">
        <v>25</v>
      </c>
      <c r="D350" s="146">
        <v>400</v>
      </c>
      <c r="E350" s="252">
        <v>7.7387075767164752</v>
      </c>
      <c r="F350" s="146">
        <v>1.7136360344188271</v>
      </c>
      <c r="G350" s="146">
        <v>8.824824515311537</v>
      </c>
      <c r="H350" s="146">
        <v>4.7639622700006043</v>
      </c>
      <c r="I350" s="146"/>
      <c r="J350" s="146">
        <v>0.35342510168793601</v>
      </c>
      <c r="K350" s="146">
        <v>0.18</v>
      </c>
      <c r="L350" s="146">
        <v>48.621942289218516</v>
      </c>
      <c r="M350" s="146">
        <v>24.210095745668973</v>
      </c>
      <c r="N350" s="146">
        <v>1.0254618182122739</v>
      </c>
      <c r="O350" s="146"/>
      <c r="P350" s="146"/>
      <c r="Q350" s="146"/>
      <c r="R350" s="146"/>
      <c r="S350" s="146"/>
      <c r="T350" s="146"/>
      <c r="U350" s="146"/>
      <c r="V350" s="146"/>
      <c r="W350" s="146"/>
      <c r="X350" s="146"/>
      <c r="Y350" s="146"/>
      <c r="Z350" s="146">
        <v>0.21525397559711232</v>
      </c>
      <c r="AA350" s="146"/>
      <c r="AB350" s="146"/>
      <c r="AC350" s="146"/>
      <c r="AD350" s="146"/>
      <c r="AE350" s="146"/>
      <c r="AF350" s="146"/>
      <c r="AG350" s="146"/>
      <c r="AH350" s="146"/>
      <c r="AI350" s="146"/>
      <c r="AJ350" s="146"/>
      <c r="AK350" s="146"/>
      <c r="AL350" s="146">
        <v>865.85810502512652</v>
      </c>
      <c r="AM350" s="146">
        <v>0.19418358194495289</v>
      </c>
      <c r="AN350" s="146">
        <v>0.28022696050140528</v>
      </c>
      <c r="AO350" s="146">
        <v>372.38414332843013</v>
      </c>
      <c r="AP350" s="146">
        <v>353.12719591898934</v>
      </c>
      <c r="AQ350" t="s">
        <v>384</v>
      </c>
      <c r="AR350">
        <f t="shared" si="23"/>
        <v>9.762677251918257</v>
      </c>
      <c r="AS350">
        <f t="shared" si="24"/>
        <v>2.6643645582431001</v>
      </c>
      <c r="AT350">
        <v>0.2</v>
      </c>
      <c r="AU350">
        <v>0</v>
      </c>
      <c r="AV350">
        <v>0.3</v>
      </c>
      <c r="AW350" s="146">
        <v>0.3</v>
      </c>
      <c r="AX350" s="146">
        <v>0.25596388560323602</v>
      </c>
      <c r="AY350">
        <v>0.18</v>
      </c>
      <c r="AZ350" s="209">
        <v>353.12719591898934</v>
      </c>
      <c r="BA350">
        <v>0.25596388560323602</v>
      </c>
      <c r="BB350" s="249">
        <v>20.431981371168259</v>
      </c>
      <c r="BC350" s="243">
        <v>67.519844025825833</v>
      </c>
      <c r="BD350" s="209">
        <v>28593.081449543759</v>
      </c>
      <c r="BE350" s="243">
        <v>24.199724528433702</v>
      </c>
      <c r="BF350">
        <v>653135.1140741203</v>
      </c>
      <c r="BG350" t="s">
        <v>389</v>
      </c>
      <c r="BH350">
        <v>3.2753071847204718E-6</v>
      </c>
      <c r="BI350">
        <v>1485930.8144954375</v>
      </c>
      <c r="BJ350">
        <f t="shared" si="25"/>
        <v>0.43954611325285609</v>
      </c>
    </row>
    <row r="351" spans="1:62" x14ac:dyDescent="0.3">
      <c r="A351">
        <v>-0.1</v>
      </c>
      <c r="B351" s="146">
        <v>1000</v>
      </c>
      <c r="C351" s="146">
        <v>25</v>
      </c>
      <c r="D351" s="146">
        <v>400</v>
      </c>
      <c r="E351" s="252">
        <v>6.2802348818455211</v>
      </c>
      <c r="F351" s="146">
        <v>1.3932022414687655</v>
      </c>
      <c r="G351" s="146">
        <v>7.1594914221286539</v>
      </c>
      <c r="H351" s="146">
        <v>3.8573413731602066</v>
      </c>
      <c r="I351" s="146"/>
      <c r="J351" s="146">
        <v>0.36110896708609164</v>
      </c>
      <c r="K351" s="146">
        <v>0.18</v>
      </c>
      <c r="L351" s="146">
        <v>39.389233055417641</v>
      </c>
      <c r="M351" s="146">
        <v>19.612896127178914</v>
      </c>
      <c r="N351" s="146">
        <v>0.86069718634102754</v>
      </c>
      <c r="O351" s="146"/>
      <c r="P351" s="146"/>
      <c r="Q351" s="146"/>
      <c r="R351" s="146"/>
      <c r="S351" s="146"/>
      <c r="T351" s="146"/>
      <c r="U351" s="146"/>
      <c r="V351" s="146"/>
      <c r="W351" s="146"/>
      <c r="X351" s="146"/>
      <c r="Y351" s="146"/>
      <c r="Z351" s="146">
        <v>0.22313223100497417</v>
      </c>
      <c r="AA351" s="146"/>
      <c r="AB351" s="146"/>
      <c r="AC351" s="146"/>
      <c r="AD351" s="146"/>
      <c r="AE351" s="146"/>
      <c r="AF351" s="146"/>
      <c r="AG351" s="146"/>
      <c r="AH351" s="146"/>
      <c r="AI351" s="146"/>
      <c r="AJ351" s="146"/>
      <c r="AK351" s="146"/>
      <c r="AL351" s="146">
        <v>792.28946045470377</v>
      </c>
      <c r="AM351" s="146">
        <v>0.1945951408172146</v>
      </c>
      <c r="AN351" s="146">
        <v>0.27997342487502308</v>
      </c>
      <c r="AO351" s="146">
        <v>377.56846070426525</v>
      </c>
      <c r="AP351" s="146">
        <v>361.94086728419023</v>
      </c>
      <c r="AQ351" t="s">
        <v>384</v>
      </c>
      <c r="AR351">
        <f t="shared" si="23"/>
        <v>9.762677251918257</v>
      </c>
      <c r="AS351">
        <f t="shared" si="24"/>
        <v>2.6643645582431001</v>
      </c>
      <c r="AT351">
        <v>0.2</v>
      </c>
      <c r="AU351">
        <v>0</v>
      </c>
      <c r="AV351">
        <v>0.3</v>
      </c>
      <c r="AW351" s="146">
        <v>0.2</v>
      </c>
      <c r="AX351" s="146">
        <v>0.26042531080720954</v>
      </c>
      <c r="AY351">
        <v>0.18</v>
      </c>
      <c r="AZ351" s="209">
        <v>361.94086728419023</v>
      </c>
      <c r="BA351">
        <v>0.26042531080720954</v>
      </c>
      <c r="BB351" s="249">
        <v>16.631146268675842</v>
      </c>
      <c r="BC351" s="243">
        <v>53.458787900950668</v>
      </c>
      <c r="BD351" s="209">
        <v>21906.48222281225</v>
      </c>
      <c r="BE351" s="243">
        <v>19.603379918549361</v>
      </c>
      <c r="BF351">
        <v>647198.80122660764</v>
      </c>
      <c r="BG351" t="s">
        <v>389</v>
      </c>
      <c r="BH351">
        <v>2.6932459085792032E-6</v>
      </c>
      <c r="BI351">
        <v>1419064.8222281225</v>
      </c>
      <c r="BJ351">
        <f t="shared" si="25"/>
        <v>0.45607416313119403</v>
      </c>
    </row>
    <row r="352" spans="1:62" s="140" customFormat="1" x14ac:dyDescent="0.3">
      <c r="A352" s="140">
        <v>-0.1</v>
      </c>
      <c r="B352" s="140">
        <v>1000</v>
      </c>
      <c r="C352" s="140">
        <v>25</v>
      </c>
      <c r="D352" s="140">
        <v>400</v>
      </c>
      <c r="E352" s="253">
        <v>4.2986480529884616</v>
      </c>
      <c r="F352" s="140">
        <v>0.96558964285584936</v>
      </c>
      <c r="G352" s="140">
        <v>4.9040789821479249</v>
      </c>
      <c r="H352" s="140">
        <v>2.6387401266935404</v>
      </c>
      <c r="J352" s="140">
        <v>0.37326426295436405</v>
      </c>
      <c r="K352" s="140">
        <v>0.18</v>
      </c>
      <c r="L352" s="140">
        <v>26.96310837117937</v>
      </c>
      <c r="M352" s="140">
        <v>13.425614126728318</v>
      </c>
      <c r="N352" s="140">
        <v>0.62860003614658222</v>
      </c>
      <c r="Z352" s="140">
        <v>0.23821975865969272</v>
      </c>
      <c r="AL352" s="140">
        <v>688.23710828112371</v>
      </c>
      <c r="AM352" s="140">
        <v>0.19689520629068932</v>
      </c>
      <c r="AN352" s="140">
        <v>0.27974453972203017</v>
      </c>
      <c r="AO352" s="140">
        <v>384.63366592513353</v>
      </c>
      <c r="AP352" s="140">
        <v>373.93709020783263</v>
      </c>
      <c r="AQ352" t="s">
        <v>384</v>
      </c>
      <c r="AR352">
        <f t="shared" si="23"/>
        <v>9.762677251918257</v>
      </c>
      <c r="AS352">
        <f t="shared" si="24"/>
        <v>2.6643645582431001</v>
      </c>
      <c r="AT352" s="140">
        <v>0.2</v>
      </c>
      <c r="AU352">
        <v>0</v>
      </c>
      <c r="AV352">
        <v>0.3</v>
      </c>
      <c r="AW352" s="146">
        <v>0.1</v>
      </c>
      <c r="AX352" s="140">
        <v>0.26914264915044522</v>
      </c>
      <c r="AY352">
        <v>0.18</v>
      </c>
      <c r="AZ352" s="209">
        <v>373.93709020783263</v>
      </c>
      <c r="BA352" s="140">
        <v>0.26914264915044522</v>
      </c>
      <c r="BB352" s="253">
        <v>11.507600194308868</v>
      </c>
      <c r="BC352" s="245">
        <v>35.57589886156304</v>
      </c>
      <c r="BD352" s="210">
        <v>13881.702929298068</v>
      </c>
      <c r="BE352" s="245">
        <v>13.478544231052439</v>
      </c>
      <c r="BF352" s="140">
        <v>615255.85456885886</v>
      </c>
      <c r="BG352" t="s">
        <v>389</v>
      </c>
      <c r="BH352" s="140">
        <v>1.8529063615384018E-6</v>
      </c>
      <c r="BI352" s="140">
        <v>1338817.0292929807</v>
      </c>
      <c r="BJ352">
        <f t="shared" si="25"/>
        <v>0.45955185892262734</v>
      </c>
    </row>
    <row r="353" spans="1:62" x14ac:dyDescent="0.3">
      <c r="A353">
        <v>-0.1</v>
      </c>
      <c r="B353" s="146">
        <v>1000</v>
      </c>
      <c r="C353" s="146">
        <v>25</v>
      </c>
      <c r="D353" s="146">
        <v>400</v>
      </c>
      <c r="E353" s="252">
        <v>18.164791950865371</v>
      </c>
      <c r="F353" s="146">
        <v>4.4307630902556943</v>
      </c>
      <c r="G353" s="146">
        <v>21.057097359119219</v>
      </c>
      <c r="H353" s="146">
        <v>11.419884186911878</v>
      </c>
      <c r="I353" s="146"/>
      <c r="J353" s="146">
        <v>0.30633493424630842</v>
      </c>
      <c r="K353" s="146">
        <v>0.18</v>
      </c>
      <c r="L353" s="146">
        <v>115.98990136485872</v>
      </c>
      <c r="M353" s="146">
        <v>57.754307733539626</v>
      </c>
      <c r="N353" s="146">
        <v>2.1276970967598015</v>
      </c>
      <c r="O353" s="146"/>
      <c r="P353" s="146"/>
      <c r="Q353" s="146"/>
      <c r="R353" s="146"/>
      <c r="S353" s="146"/>
      <c r="T353" s="146"/>
      <c r="U353" s="146"/>
      <c r="V353" s="146"/>
      <c r="W353" s="146"/>
      <c r="X353" s="146"/>
      <c r="Y353" s="146"/>
      <c r="Z353" s="146">
        <v>0.18631512035807829</v>
      </c>
      <c r="AA353" s="146"/>
      <c r="AB353" s="146"/>
      <c r="AC353" s="146"/>
      <c r="AD353" s="146"/>
      <c r="AE353" s="146"/>
      <c r="AF353" s="146"/>
      <c r="AG353" s="146"/>
      <c r="AH353" s="146"/>
      <c r="AI353" s="146"/>
      <c r="AJ353" s="146"/>
      <c r="AK353" s="146"/>
      <c r="AL353" s="146">
        <v>1351.8172595422948</v>
      </c>
      <c r="AM353" s="146">
        <v>0.2104166122562405</v>
      </c>
      <c r="AN353" s="146">
        <v>0.27180273152297274</v>
      </c>
      <c r="AO353" s="146">
        <v>333.16920750176462</v>
      </c>
      <c r="AP353" s="146">
        <v>287.96871116239402</v>
      </c>
      <c r="AQ353" t="s">
        <v>384</v>
      </c>
      <c r="AR353">
        <f t="shared" si="23"/>
        <v>9.762677251918257</v>
      </c>
      <c r="AS353">
        <f t="shared" si="24"/>
        <v>2.6643645582431001</v>
      </c>
      <c r="AT353">
        <v>0.2</v>
      </c>
      <c r="AU353">
        <v>0</v>
      </c>
      <c r="AV353">
        <v>0.3</v>
      </c>
      <c r="AW353" s="146">
        <v>3</v>
      </c>
      <c r="AX353" s="146">
        <v>0.22930856136900937</v>
      </c>
      <c r="AY353">
        <v>0.18</v>
      </c>
      <c r="AZ353" s="209">
        <v>287.96871116239402</v>
      </c>
      <c r="BA353">
        <v>0.22930856136900937</v>
      </c>
      <c r="BB353" s="249">
        <v>50.638809509583595</v>
      </c>
      <c r="BC353" s="243">
        <v>206.1927345390952</v>
      </c>
      <c r="BD353" s="209">
        <v>105465.98894797704</v>
      </c>
      <c r="BE353" s="243">
        <v>64.576810711303892</v>
      </c>
      <c r="BF353">
        <v>334383.42115543038</v>
      </c>
      <c r="BG353" t="s">
        <v>390</v>
      </c>
      <c r="BH353">
        <v>6.7557532237295292E-6</v>
      </c>
      <c r="BI353">
        <v>2254659.8894797703</v>
      </c>
      <c r="BJ353">
        <f t="shared" si="25"/>
        <v>0.1483076994076408</v>
      </c>
    </row>
    <row r="354" spans="1:62" s="140" customFormat="1" x14ac:dyDescent="0.3">
      <c r="A354">
        <v>-0.2</v>
      </c>
      <c r="B354" s="146">
        <v>1000</v>
      </c>
      <c r="C354" s="146">
        <v>25</v>
      </c>
      <c r="D354" s="146">
        <v>400</v>
      </c>
      <c r="E354" s="252">
        <v>18.05408803539051</v>
      </c>
      <c r="F354" s="146">
        <v>4.5056872038533626</v>
      </c>
      <c r="G354" s="146">
        <v>20.985997166599837</v>
      </c>
      <c r="H354" s="146">
        <v>11.435386757271258</v>
      </c>
      <c r="I354" s="146"/>
      <c r="J354" s="146">
        <v>0.30705410940617045</v>
      </c>
      <c r="K354" s="146">
        <v>0.18</v>
      </c>
      <c r="L354" s="146">
        <v>116.15885703763271</v>
      </c>
      <c r="M354" s="146">
        <v>57.838435039485184</v>
      </c>
      <c r="N354" s="146">
        <v>2.1033859515617177</v>
      </c>
      <c r="O354" s="146"/>
      <c r="P354" s="146"/>
      <c r="Q354" s="146"/>
      <c r="R354" s="146"/>
      <c r="S354" s="146"/>
      <c r="T354" s="146"/>
      <c r="U354" s="146"/>
      <c r="V354" s="146"/>
      <c r="W354" s="146"/>
      <c r="X354" s="146"/>
      <c r="Y354" s="146"/>
      <c r="Z354" s="146">
        <v>0.18393658178847927</v>
      </c>
      <c r="AA354" s="146"/>
      <c r="AB354" s="146"/>
      <c r="AC354" s="146"/>
      <c r="AD354" s="146"/>
      <c r="AE354" s="146"/>
      <c r="AF354" s="146"/>
      <c r="AG354" s="146"/>
      <c r="AH354" s="146"/>
      <c r="AI354" s="146"/>
      <c r="AJ354" s="146"/>
      <c r="AK354" s="146"/>
      <c r="AL354" s="146">
        <v>1332.101264385662</v>
      </c>
      <c r="AM354" s="146">
        <v>0.21469969561533953</v>
      </c>
      <c r="AN354" s="146">
        <v>0.24179652185947961</v>
      </c>
      <c r="AO354" s="146">
        <v>325.33354947974533</v>
      </c>
      <c r="AP354" s="146">
        <v>280.40828860480451</v>
      </c>
      <c r="AQ354" t="s">
        <v>384</v>
      </c>
      <c r="AR354">
        <f t="shared" si="23"/>
        <v>9.762677251918257</v>
      </c>
      <c r="AS354">
        <f t="shared" si="24"/>
        <v>2.6643645582431001</v>
      </c>
      <c r="AT354">
        <v>0.2</v>
      </c>
      <c r="AU354">
        <v>0</v>
      </c>
      <c r="AV354">
        <v>0.3</v>
      </c>
      <c r="AW354" s="146">
        <v>3</v>
      </c>
      <c r="AX354" s="146">
        <v>0.22899403095620507</v>
      </c>
      <c r="AY354">
        <v>0.18</v>
      </c>
      <c r="AZ354" s="209">
        <v>280.40828860480451</v>
      </c>
      <c r="BA354" s="140">
        <v>0.22899403095620507</v>
      </c>
      <c r="BB354" s="253">
        <v>51.058538874951353</v>
      </c>
      <c r="BC354" s="245">
        <v>206.67582821648389</v>
      </c>
      <c r="BD354" s="210">
        <v>105918.50719010027</v>
      </c>
      <c r="BE354" s="245">
        <v>64.950383496574773</v>
      </c>
      <c r="BF354" s="140">
        <v>332863.58769873483</v>
      </c>
      <c r="BG354" t="s">
        <v>390</v>
      </c>
      <c r="BH354" s="140">
        <v>6.7052529659024022E-6</v>
      </c>
      <c r="BI354" s="140">
        <v>2259185.0719010029</v>
      </c>
      <c r="BJ354">
        <f t="shared" si="25"/>
        <v>0.14733790154635054</v>
      </c>
    </row>
    <row r="355" spans="1:62" x14ac:dyDescent="0.3">
      <c r="A355">
        <v>-0.3</v>
      </c>
      <c r="B355" s="146">
        <v>1000</v>
      </c>
      <c r="C355" s="146">
        <v>25</v>
      </c>
      <c r="D355" s="146">
        <v>400</v>
      </c>
      <c r="E355" s="252">
        <v>17.892969951638683</v>
      </c>
      <c r="F355" s="146">
        <v>4.5961470238622759</v>
      </c>
      <c r="G355" s="146">
        <v>20.871979655354743</v>
      </c>
      <c r="H355" s="146">
        <v>11.448541572221487</v>
      </c>
      <c r="I355" s="146"/>
      <c r="J355" s="146">
        <v>0.30821020830840495</v>
      </c>
      <c r="K355" s="146">
        <v>0.18</v>
      </c>
      <c r="L355" s="146">
        <v>116.3085022030034</v>
      </c>
      <c r="M355" s="146">
        <v>57.912947155022444</v>
      </c>
      <c r="N355" s="146">
        <v>2.0716751881971742</v>
      </c>
      <c r="O355" s="146"/>
      <c r="P355" s="146"/>
      <c r="Q355" s="146"/>
      <c r="R355" s="146"/>
      <c r="S355" s="146"/>
      <c r="T355" s="146"/>
      <c r="U355" s="146"/>
      <c r="V355" s="146"/>
      <c r="W355" s="146"/>
      <c r="X355" s="146"/>
      <c r="Y355" s="146"/>
      <c r="Z355" s="146">
        <v>0.18095537978600224</v>
      </c>
      <c r="AA355" s="146"/>
      <c r="AB355" s="146"/>
      <c r="AC355" s="146"/>
      <c r="AD355" s="146"/>
      <c r="AE355" s="146"/>
      <c r="AF355" s="146"/>
      <c r="AG355" s="146"/>
      <c r="AH355" s="146"/>
      <c r="AI355" s="146"/>
      <c r="AJ355" s="146"/>
      <c r="AK355" s="146"/>
      <c r="AL355" s="146">
        <v>1306.8996616842471</v>
      </c>
      <c r="AM355" s="146">
        <v>0.22020656879488315</v>
      </c>
      <c r="AN355" s="146">
        <v>0.21196743923512135</v>
      </c>
      <c r="AO355" s="146">
        <v>315.58623335638259</v>
      </c>
      <c r="AP355" s="146">
        <v>271.0620675856614</v>
      </c>
      <c r="AQ355" t="s">
        <v>384</v>
      </c>
      <c r="AR355">
        <f t="shared" si="23"/>
        <v>9.762677251918257</v>
      </c>
      <c r="AS355">
        <f t="shared" si="24"/>
        <v>2.6643645582431001</v>
      </c>
      <c r="AT355">
        <v>0.2</v>
      </c>
      <c r="AU355">
        <v>0</v>
      </c>
      <c r="AV355">
        <v>0.3</v>
      </c>
      <c r="AW355" s="146">
        <v>3</v>
      </c>
      <c r="AX355" s="146">
        <v>0.22876358070084968</v>
      </c>
      <c r="AY355">
        <v>0.18</v>
      </c>
      <c r="AZ355" s="209">
        <v>271.0620675856614</v>
      </c>
      <c r="BA355">
        <v>0.22876358070084968</v>
      </c>
      <c r="BB355" s="249">
        <v>51.535191896137412</v>
      </c>
      <c r="BC355" s="243">
        <v>207.10462041111469</v>
      </c>
      <c r="BD355" s="209">
        <v>106312.18070280898</v>
      </c>
      <c r="BE355" s="243">
        <v>65.269856302854848</v>
      </c>
      <c r="BF355">
        <v>330094.09352093062</v>
      </c>
      <c r="BG355" t="s">
        <v>390</v>
      </c>
      <c r="BH355">
        <v>6.6405125996540948E-6</v>
      </c>
      <c r="BI355">
        <v>2263121.8070280896</v>
      </c>
      <c r="BJ355">
        <f t="shared" si="25"/>
        <v>0.14585785550553598</v>
      </c>
    </row>
    <row r="356" spans="1:62" x14ac:dyDescent="0.3">
      <c r="A356">
        <v>-0.4</v>
      </c>
      <c r="B356" s="146">
        <v>1000</v>
      </c>
      <c r="C356" s="146">
        <v>25</v>
      </c>
      <c r="D356" s="146">
        <v>400</v>
      </c>
      <c r="E356" s="252">
        <v>17.687726675412591</v>
      </c>
      <c r="F356" s="146">
        <v>4.7284547154605114</v>
      </c>
      <c r="G356" s="146">
        <v>20.736300271223264</v>
      </c>
      <c r="H356" s="146">
        <v>11.475547130682383</v>
      </c>
      <c r="I356" s="146"/>
      <c r="J356" s="146">
        <v>0.31124335239736567</v>
      </c>
      <c r="K356" s="146">
        <v>0.18</v>
      </c>
      <c r="L356" s="146">
        <v>116.60471078148434</v>
      </c>
      <c r="M356" s="146">
        <v>58.060436903643669</v>
      </c>
      <c r="N356" s="146">
        <v>2.0125466981670517</v>
      </c>
      <c r="O356" s="146"/>
      <c r="P356" s="146"/>
      <c r="Q356" s="146"/>
      <c r="R356" s="146"/>
      <c r="S356" s="146"/>
      <c r="T356" s="146"/>
      <c r="U356" s="146"/>
      <c r="V356" s="146"/>
      <c r="W356" s="146"/>
      <c r="X356" s="146"/>
      <c r="Y356" s="146"/>
      <c r="Z356" s="146">
        <v>0.1753769711586185</v>
      </c>
      <c r="AA356" s="146"/>
      <c r="AB356" s="146"/>
      <c r="AC356" s="146"/>
      <c r="AD356" s="146"/>
      <c r="AE356" s="146"/>
      <c r="AF356" s="146"/>
      <c r="AG356" s="146"/>
      <c r="AH356" s="146"/>
      <c r="AI356" s="146"/>
      <c r="AJ356" s="146"/>
      <c r="AK356" s="146"/>
      <c r="AL356" s="146">
        <v>1265.0626186780228</v>
      </c>
      <c r="AM356" s="146">
        <v>0.22802788605556651</v>
      </c>
      <c r="AN356" s="146">
        <v>0.18197744663018661</v>
      </c>
      <c r="AO356" s="146">
        <v>302.80264393775417</v>
      </c>
      <c r="AP356" s="146">
        <v>258.78926959449723</v>
      </c>
      <c r="AQ356" t="s">
        <v>384</v>
      </c>
      <c r="AR356">
        <f t="shared" si="23"/>
        <v>9.762677251918257</v>
      </c>
      <c r="AS356">
        <f t="shared" si="24"/>
        <v>2.6643645582431001</v>
      </c>
      <c r="AT356">
        <v>0.2</v>
      </c>
      <c r="AU356">
        <v>0</v>
      </c>
      <c r="AV356">
        <v>0.3</v>
      </c>
      <c r="AW356" s="146">
        <v>3</v>
      </c>
      <c r="AX356" s="146">
        <v>0.22918031009938269</v>
      </c>
      <c r="AY356">
        <v>0.18</v>
      </c>
      <c r="AZ356" s="209">
        <v>258.78926959449723</v>
      </c>
      <c r="BA356">
        <v>0.22918031009938269</v>
      </c>
      <c r="BB356" s="249">
        <v>52.248465019736045</v>
      </c>
      <c r="BC356" s="243">
        <v>207.95591727845584</v>
      </c>
      <c r="BD356" s="209">
        <v>107011.9195340296</v>
      </c>
      <c r="BE356" s="243">
        <v>65.782577953710728</v>
      </c>
      <c r="BF356">
        <v>326942.02599161898</v>
      </c>
      <c r="BG356" t="s">
        <v>390</v>
      </c>
      <c r="BH356">
        <v>6.5519215896484895E-6</v>
      </c>
      <c r="BI356">
        <v>2270119.1953402963</v>
      </c>
      <c r="BJ356">
        <f t="shared" si="25"/>
        <v>0.14401976189739657</v>
      </c>
    </row>
    <row r="357" spans="1:62" x14ac:dyDescent="0.3">
      <c r="A357">
        <v>-0.5</v>
      </c>
      <c r="B357" s="146">
        <v>1000</v>
      </c>
      <c r="C357" s="146">
        <v>25</v>
      </c>
      <c r="D357" s="146">
        <v>400</v>
      </c>
      <c r="E357" s="252">
        <v>17.387598240213965</v>
      </c>
      <c r="F357" s="146">
        <v>4.9134215461623691</v>
      </c>
      <c r="G357" s="146">
        <v>20.533173485742925</v>
      </c>
      <c r="H357" s="146">
        <v>11.510509108592469</v>
      </c>
      <c r="I357" s="146"/>
      <c r="J357" s="146">
        <v>0.31458524070354887</v>
      </c>
      <c r="K357" s="146">
        <v>0.18</v>
      </c>
      <c r="L357" s="146">
        <v>116.99344387325519</v>
      </c>
      <c r="M357" s="146">
        <v>58.253996949338678</v>
      </c>
      <c r="N357" s="146">
        <v>1.9439232999815701</v>
      </c>
      <c r="O357" s="146"/>
      <c r="P357" s="146"/>
      <c r="Q357" s="146"/>
      <c r="R357" s="146"/>
      <c r="S357" s="146"/>
      <c r="T357" s="146"/>
      <c r="U357" s="146"/>
      <c r="V357" s="146"/>
      <c r="W357" s="146"/>
      <c r="X357" s="146"/>
      <c r="Y357" s="146"/>
      <c r="Z357" s="146">
        <v>0.16888247788540062</v>
      </c>
      <c r="AA357" s="146"/>
      <c r="AB357" s="146"/>
      <c r="AC357" s="146"/>
      <c r="AD357" s="146"/>
      <c r="AE357" s="146"/>
      <c r="AF357" s="146"/>
      <c r="AG357" s="146"/>
      <c r="AH357" s="146"/>
      <c r="AI357" s="146"/>
      <c r="AJ357" s="146"/>
      <c r="AK357" s="146"/>
      <c r="AL357" s="146">
        <v>1214.3617938515019</v>
      </c>
      <c r="AM357" s="146">
        <v>0.23929187320089471</v>
      </c>
      <c r="AN357" s="146">
        <v>0.15207830321040855</v>
      </c>
      <c r="AO357" s="146">
        <v>285.66680536830239</v>
      </c>
      <c r="AP357" s="146">
        <v>242.40014386071707</v>
      </c>
      <c r="AQ357" t="s">
        <v>384</v>
      </c>
      <c r="AR357">
        <f t="shared" si="23"/>
        <v>9.762677251918257</v>
      </c>
      <c r="AS357">
        <f t="shared" si="24"/>
        <v>2.6643645582431001</v>
      </c>
      <c r="AT357">
        <v>0.2</v>
      </c>
      <c r="AU357">
        <v>0</v>
      </c>
      <c r="AV357">
        <v>0.3</v>
      </c>
      <c r="AW357" s="146">
        <v>3</v>
      </c>
      <c r="AX357" s="146">
        <v>0.22925892781422166</v>
      </c>
      <c r="AY357">
        <v>0.18</v>
      </c>
      <c r="AZ357" s="209">
        <v>242.40014386071707</v>
      </c>
      <c r="BA357">
        <v>0.22925892781422166</v>
      </c>
      <c r="BB357" s="249">
        <v>53.238433380323428</v>
      </c>
      <c r="BC357" s="243">
        <v>209.07829343774861</v>
      </c>
      <c r="BD357" s="209">
        <v>107941.49873728376</v>
      </c>
      <c r="BE357" s="243">
        <v>66.467495541361643</v>
      </c>
      <c r="BF357">
        <v>322093.92806342815</v>
      </c>
      <c r="BG357" t="s">
        <v>390</v>
      </c>
      <c r="BH357">
        <v>6.4258807102955411E-6</v>
      </c>
      <c r="BI357">
        <v>2279414.987372838</v>
      </c>
      <c r="BJ357">
        <f t="shared" si="25"/>
        <v>0.14130552349954523</v>
      </c>
    </row>
    <row r="358" spans="1:62" x14ac:dyDescent="0.3">
      <c r="A358">
        <v>-0.6</v>
      </c>
      <c r="B358" s="146">
        <v>1000</v>
      </c>
      <c r="C358" s="146">
        <v>25</v>
      </c>
      <c r="D358" s="146">
        <v>400</v>
      </c>
      <c r="E358" s="252">
        <v>16.913818192082186</v>
      </c>
      <c r="F358" s="146">
        <v>5.1924889664761329</v>
      </c>
      <c r="G358" s="146">
        <v>20.205282298891504</v>
      </c>
      <c r="H358" s="146">
        <v>11.56238729888436</v>
      </c>
      <c r="I358" s="146"/>
      <c r="J358" s="146">
        <v>0.32089869879979571</v>
      </c>
      <c r="K358" s="146">
        <v>0.18</v>
      </c>
      <c r="L358" s="146">
        <v>117.57697017518321</v>
      </c>
      <c r="M358" s="146">
        <v>58.544549464821515</v>
      </c>
      <c r="N358" s="146">
        <v>1.8375419129462021</v>
      </c>
      <c r="O358" s="146"/>
      <c r="P358" s="146"/>
      <c r="Q358" s="146"/>
      <c r="R358" s="146"/>
      <c r="S358" s="146"/>
      <c r="T358" s="146"/>
      <c r="U358" s="146"/>
      <c r="V358" s="146"/>
      <c r="W358" s="146"/>
      <c r="X358" s="146"/>
      <c r="Y358" s="146"/>
      <c r="Z358" s="146">
        <v>0.15892409287513695</v>
      </c>
      <c r="AA358" s="146"/>
      <c r="AB358" s="146"/>
      <c r="AC358" s="146"/>
      <c r="AD358" s="146"/>
      <c r="AE358" s="146"/>
      <c r="AF358" s="146"/>
      <c r="AG358" s="146"/>
      <c r="AH358" s="146"/>
      <c r="AI358" s="146"/>
      <c r="AJ358" s="146"/>
      <c r="AK358" s="146"/>
      <c r="AL358" s="146">
        <v>1138.3197506338809</v>
      </c>
      <c r="AM358" s="146">
        <v>0.25698670722165567</v>
      </c>
      <c r="AN358" s="146">
        <v>0.122241826323299</v>
      </c>
      <c r="AO358" s="146">
        <v>261.63640792350913</v>
      </c>
      <c r="AP358" s="146">
        <v>219.54879416077955</v>
      </c>
      <c r="AQ358" t="s">
        <v>384</v>
      </c>
      <c r="AR358">
        <f t="shared" si="23"/>
        <v>9.762677251918257</v>
      </c>
      <c r="AS358">
        <f t="shared" si="24"/>
        <v>2.6643645582431001</v>
      </c>
      <c r="AT358">
        <v>0.2</v>
      </c>
      <c r="AU358">
        <v>0</v>
      </c>
      <c r="AV358">
        <v>0.3</v>
      </c>
      <c r="AW358" s="146">
        <v>3</v>
      </c>
      <c r="AX358" s="146">
        <v>0.23005712117113131</v>
      </c>
      <c r="AY358">
        <v>0.18</v>
      </c>
      <c r="AZ358" s="209">
        <v>219.54879416077955</v>
      </c>
      <c r="BA358">
        <v>0.23005712117113131</v>
      </c>
      <c r="BB358" s="249">
        <v>54.692926617992072</v>
      </c>
      <c r="BC358" s="243">
        <v>210.77422522361186</v>
      </c>
      <c r="BD358" s="209">
        <v>109219.76617395681</v>
      </c>
      <c r="BE358" s="243">
        <v>67.313624204888981</v>
      </c>
      <c r="BF358">
        <v>313977.83199698525</v>
      </c>
      <c r="BG358" t="s">
        <v>390</v>
      </c>
      <c r="BH358">
        <v>6.2336784856253635E-6</v>
      </c>
      <c r="BI358">
        <v>2292197.6617395682</v>
      </c>
      <c r="BJ358">
        <f t="shared" si="25"/>
        <v>0.13697677003941483</v>
      </c>
    </row>
    <row r="359" spans="1:62" x14ac:dyDescent="0.3">
      <c r="A359">
        <v>-0.7</v>
      </c>
      <c r="B359" s="146">
        <v>1000</v>
      </c>
      <c r="C359" s="146">
        <v>25</v>
      </c>
      <c r="D359" s="146">
        <v>400</v>
      </c>
      <c r="E359" s="252">
        <v>16.10182881007669</v>
      </c>
      <c r="F359" s="146">
        <v>5.678915517564632</v>
      </c>
      <c r="G359" s="146">
        <v>19.647685345657152</v>
      </c>
      <c r="H359" s="146">
        <v>11.654037965584388</v>
      </c>
      <c r="I359" s="146"/>
      <c r="J359" s="146">
        <v>0.3337873869314571</v>
      </c>
      <c r="K359" s="146">
        <v>0.18</v>
      </c>
      <c r="L359" s="146">
        <v>118.62193132035168</v>
      </c>
      <c r="M359" s="146">
        <v>59.064862068224905</v>
      </c>
      <c r="N359" s="146">
        <v>1.6606467256586068</v>
      </c>
      <c r="O359" s="146"/>
      <c r="P359" s="146"/>
      <c r="Q359" s="146"/>
      <c r="R359" s="146"/>
      <c r="S359" s="146"/>
      <c r="T359" s="146"/>
      <c r="U359" s="146"/>
      <c r="V359" s="146"/>
      <c r="W359" s="146"/>
      <c r="X359" s="146"/>
      <c r="Y359" s="146"/>
      <c r="Z359" s="146">
        <v>0.14249539349045137</v>
      </c>
      <c r="AA359" s="146"/>
      <c r="AB359" s="146"/>
      <c r="AC359" s="146"/>
      <c r="AD359" s="146"/>
      <c r="AE359" s="146"/>
      <c r="AF359" s="146"/>
      <c r="AG359" s="146"/>
      <c r="AH359" s="146"/>
      <c r="AI359" s="146"/>
      <c r="AJ359" s="146"/>
      <c r="AK359" s="146"/>
      <c r="AL359" s="146">
        <v>1015.7454426101153</v>
      </c>
      <c r="AM359" s="146">
        <v>0.28903738112947119</v>
      </c>
      <c r="AN359" s="146">
        <v>9.2268363238546022E-2</v>
      </c>
      <c r="AO359" s="146">
        <v>225.48916828135529</v>
      </c>
      <c r="AP359" s="146">
        <v>185.42207978081083</v>
      </c>
      <c r="AQ359" t="s">
        <v>384</v>
      </c>
      <c r="AR359">
        <f t="shared" si="23"/>
        <v>9.762677251918257</v>
      </c>
      <c r="AS359">
        <f t="shared" si="24"/>
        <v>2.6643645582431001</v>
      </c>
      <c r="AT359">
        <v>0.2</v>
      </c>
      <c r="AU359">
        <v>0</v>
      </c>
      <c r="AV359">
        <v>0.3</v>
      </c>
      <c r="AW359" s="146">
        <v>3</v>
      </c>
      <c r="AX359" s="146">
        <v>0.23238786808295983</v>
      </c>
      <c r="AY359">
        <v>0.18</v>
      </c>
      <c r="AZ359" s="209">
        <v>185.42207978081083</v>
      </c>
      <c r="BA359">
        <v>0.23238786808295983</v>
      </c>
      <c r="BB359" s="249">
        <v>57.201247353298513</v>
      </c>
      <c r="BC359" s="243">
        <v>213.84527419021629</v>
      </c>
      <c r="BD359" s="209">
        <v>111944.08955882656</v>
      </c>
      <c r="BE359" s="243">
        <v>68.714236529041713</v>
      </c>
      <c r="BF359">
        <v>300726.63055674394</v>
      </c>
      <c r="BG359" t="s">
        <v>390</v>
      </c>
      <c r="BH359">
        <v>5.8917821309313901E-6</v>
      </c>
      <c r="BI359">
        <v>2319440.8955882657</v>
      </c>
      <c r="BJ359">
        <f t="shared" si="25"/>
        <v>0.12965479358786267</v>
      </c>
    </row>
    <row r="360" spans="1:62" x14ac:dyDescent="0.3">
      <c r="A360">
        <v>-0.8</v>
      </c>
      <c r="B360" s="146">
        <v>1000</v>
      </c>
      <c r="C360" s="146">
        <v>25</v>
      </c>
      <c r="D360" s="146">
        <v>400</v>
      </c>
      <c r="E360" s="252">
        <v>14.404261218134089</v>
      </c>
      <c r="F360" s="146">
        <v>7.184499044171579</v>
      </c>
      <c r="G360" s="146">
        <v>18.744737631368089</v>
      </c>
      <c r="H360" s="146">
        <v>11.829799193845556</v>
      </c>
      <c r="I360" s="146"/>
      <c r="J360" s="146">
        <v>0.35989294993261206</v>
      </c>
      <c r="K360" s="146">
        <v>0.18</v>
      </c>
      <c r="L360" s="146">
        <v>120.82025842526514</v>
      </c>
      <c r="M360" s="146">
        <v>60.15946477606564</v>
      </c>
      <c r="N360" s="146">
        <v>1.2853076782276567</v>
      </c>
      <c r="O360" s="146"/>
      <c r="P360" s="146"/>
      <c r="Q360" s="146"/>
      <c r="R360" s="146"/>
      <c r="S360" s="146"/>
      <c r="T360" s="146"/>
      <c r="U360" s="146"/>
      <c r="V360" s="146"/>
      <c r="W360" s="146"/>
      <c r="X360" s="146"/>
      <c r="Y360" s="146"/>
      <c r="Z360" s="146">
        <v>0.10864999964634539</v>
      </c>
      <c r="AA360" s="146"/>
      <c r="AB360" s="146"/>
      <c r="AC360" s="146"/>
      <c r="AD360" s="146"/>
      <c r="AE360" s="146"/>
      <c r="AF360" s="146"/>
      <c r="AG360" s="146"/>
      <c r="AH360" s="146"/>
      <c r="AI360" s="146"/>
      <c r="AJ360" s="146"/>
      <c r="AK360" s="146"/>
      <c r="AL360" s="146">
        <v>765.50548838262716</v>
      </c>
      <c r="AM360" s="146">
        <v>0.38328085383007926</v>
      </c>
      <c r="AN360" s="146">
        <v>5.9693072071198748E-2</v>
      </c>
      <c r="AO360" s="146">
        <v>158.69459020381049</v>
      </c>
      <c r="AP360" s="146">
        <v>122.85164926879838</v>
      </c>
      <c r="AQ360" t="s">
        <v>384</v>
      </c>
      <c r="AR360">
        <f t="shared" si="23"/>
        <v>9.762677251918257</v>
      </c>
      <c r="AS360">
        <f t="shared" si="24"/>
        <v>2.6643645582431001</v>
      </c>
      <c r="AT360">
        <v>0.2</v>
      </c>
      <c r="AU360">
        <v>0</v>
      </c>
      <c r="AV360">
        <v>0.3</v>
      </c>
      <c r="AW360" s="146">
        <v>3</v>
      </c>
      <c r="AX360" s="146">
        <v>0.23179220156230518</v>
      </c>
      <c r="AY360">
        <v>0.18</v>
      </c>
      <c r="AZ360" s="209">
        <v>122.85164926879838</v>
      </c>
      <c r="BA360">
        <v>0.23179220156230518</v>
      </c>
      <c r="BB360" s="249">
        <v>65.758454805253663</v>
      </c>
      <c r="BC360" s="243">
        <v>220.45369280838736</v>
      </c>
      <c r="BD360" s="209">
        <v>121214.63238379372</v>
      </c>
      <c r="BE360" s="243">
        <v>78.837063650897008</v>
      </c>
      <c r="BF360">
        <v>282559.23921315087</v>
      </c>
      <c r="BG360" t="s">
        <v>390</v>
      </c>
      <c r="BH360">
        <v>5.0964600049567758E-6</v>
      </c>
      <c r="BI360">
        <v>2412146.3238379373</v>
      </c>
      <c r="BJ360">
        <f t="shared" si="25"/>
        <v>0.11714017363738292</v>
      </c>
    </row>
    <row r="361" spans="1:62" x14ac:dyDescent="0.3">
      <c r="A361">
        <v>-0.85</v>
      </c>
      <c r="B361" s="146">
        <v>1000</v>
      </c>
      <c r="C361" s="146">
        <v>25</v>
      </c>
      <c r="D361" s="146">
        <v>400</v>
      </c>
      <c r="E361" s="252">
        <v>10.066024512625562</v>
      </c>
      <c r="F361" s="146">
        <v>4.444703175361159</v>
      </c>
      <c r="G361" s="146">
        <v>12.71663575679564</v>
      </c>
      <c r="H361" s="146">
        <v>7.7313588600521719</v>
      </c>
      <c r="I361" s="146"/>
      <c r="J361" s="146">
        <v>0.35862668042056833</v>
      </c>
      <c r="K361" s="146">
        <v>0.18</v>
      </c>
      <c r="L361" s="146">
        <v>79.22782405318614</v>
      </c>
      <c r="M361" s="146">
        <v>39.449538947644555</v>
      </c>
      <c r="N361" s="146">
        <v>1.0706898381256833</v>
      </c>
      <c r="O361" s="146"/>
      <c r="P361" s="146"/>
      <c r="Q361" s="146"/>
      <c r="R361" s="146"/>
      <c r="S361" s="146"/>
      <c r="T361" s="146"/>
      <c r="U361" s="146"/>
      <c r="V361" s="146"/>
      <c r="W361" s="146"/>
      <c r="X361" s="146"/>
      <c r="Y361" s="146"/>
      <c r="Z361" s="146">
        <v>0.1384866305531261</v>
      </c>
      <c r="AA361" s="146"/>
      <c r="AB361" s="146"/>
      <c r="AC361" s="146"/>
      <c r="AD361" s="146"/>
      <c r="AE361" s="146"/>
      <c r="AF361" s="146"/>
      <c r="AG361" s="146"/>
      <c r="AH361" s="146"/>
      <c r="AI361" s="146"/>
      <c r="AJ361" s="146"/>
      <c r="AK361" s="146"/>
      <c r="AL361" s="146">
        <v>686.21744251768928</v>
      </c>
      <c r="AM361" s="146">
        <v>0.34951879257734936</v>
      </c>
      <c r="AN361" s="146">
        <v>4.4921643589681079E-2</v>
      </c>
      <c r="AO361" s="146">
        <v>175.92038696157988</v>
      </c>
      <c r="AP361" s="146">
        <v>150.87252345484836</v>
      </c>
      <c r="AQ361" t="s">
        <v>384</v>
      </c>
      <c r="AR361">
        <f t="shared" si="23"/>
        <v>9.762677251918257</v>
      </c>
      <c r="AS361">
        <f t="shared" si="24"/>
        <v>2.6643645582431001</v>
      </c>
      <c r="AT361">
        <v>0.2</v>
      </c>
      <c r="AU361">
        <v>0</v>
      </c>
      <c r="AV361">
        <v>0.3</v>
      </c>
      <c r="AW361" s="146">
        <v>3</v>
      </c>
      <c r="AX361" s="146">
        <v>0.23413515161455303</v>
      </c>
      <c r="AY361">
        <v>0.18</v>
      </c>
      <c r="AZ361" s="209">
        <v>150.87252345484836</v>
      </c>
      <c r="BA361">
        <v>0.23413515161455303</v>
      </c>
      <c r="BB361" s="249">
        <v>42.329114419326118</v>
      </c>
      <c r="BC361" s="243">
        <v>120.52602676029758</v>
      </c>
      <c r="BD361" s="209">
        <v>62451.464371353541</v>
      </c>
      <c r="BE361" s="243">
        <v>50.77783583550189</v>
      </c>
      <c r="BF361">
        <v>661753.53489523951</v>
      </c>
      <c r="BG361" t="s">
        <v>390</v>
      </c>
      <c r="BH361">
        <v>3.7244383531469623E-6</v>
      </c>
      <c r="BI361">
        <v>1824514.6437135353</v>
      </c>
      <c r="BJ361">
        <f t="shared" si="25"/>
        <v>0.36270113653258274</v>
      </c>
    </row>
    <row r="362" spans="1:62" s="160" customFormat="1" ht="15" thickBot="1" x14ac:dyDescent="0.35">
      <c r="A362" s="160">
        <v>-0.87</v>
      </c>
      <c r="B362" s="160">
        <v>1000</v>
      </c>
      <c r="C362" s="160">
        <v>25</v>
      </c>
      <c r="D362" s="160">
        <v>400</v>
      </c>
      <c r="E362" s="250">
        <v>3.5667350624813525</v>
      </c>
      <c r="F362" s="160">
        <v>0.98501812845604442</v>
      </c>
      <c r="G362" s="160">
        <v>4.1685066338365173</v>
      </c>
      <c r="H362" s="160">
        <v>2.3175686924574364</v>
      </c>
      <c r="J362" s="160">
        <v>0.37776025468631885</v>
      </c>
      <c r="K362" s="160">
        <v>0.18</v>
      </c>
      <c r="L362" s="160">
        <v>23.716271884103659</v>
      </c>
      <c r="M362" s="160">
        <v>11.808932058474852</v>
      </c>
      <c r="N362" s="160">
        <v>0.56132407680689811</v>
      </c>
      <c r="Z362" s="160">
        <v>0.24220385727238036</v>
      </c>
      <c r="AL362" s="160">
        <v>583.40908069092313</v>
      </c>
      <c r="AM362" s="160">
        <v>0.23630000261016146</v>
      </c>
      <c r="AN362" s="160">
        <v>4.0357916695353629E-2</v>
      </c>
      <c r="AO362" s="160">
        <v>311.62241873372051</v>
      </c>
      <c r="AP362" s="160">
        <v>302.74704228747402</v>
      </c>
      <c r="AQ362" t="s">
        <v>384</v>
      </c>
      <c r="AR362" s="160">
        <f t="shared" si="23"/>
        <v>9.762677251918257</v>
      </c>
      <c r="AS362" s="160">
        <f t="shared" si="24"/>
        <v>2.6643645582431001</v>
      </c>
      <c r="AT362" s="160">
        <v>0.2</v>
      </c>
      <c r="AU362">
        <v>0</v>
      </c>
      <c r="AV362" s="160">
        <v>0.3</v>
      </c>
      <c r="AW362" s="146">
        <v>3</v>
      </c>
      <c r="AX362" s="160">
        <v>0.26414768356273455</v>
      </c>
      <c r="AY362" s="160">
        <v>0.18</v>
      </c>
      <c r="AZ362" s="248">
        <v>302.74704228747402</v>
      </c>
      <c r="BA362" s="160">
        <v>0.26414768356273455</v>
      </c>
      <c r="BB362" s="250">
        <v>10.917661417342675</v>
      </c>
      <c r="BC362" s="246">
        <v>31.076005239233844</v>
      </c>
      <c r="BD362" s="248">
        <v>12361.191286130523</v>
      </c>
      <c r="BE362" s="246">
        <v>12.628997611623307</v>
      </c>
      <c r="BF362" s="160">
        <v>855167.59355835698</v>
      </c>
      <c r="BG362" s="254" t="s">
        <v>390</v>
      </c>
      <c r="BH362" s="160">
        <v>1.2538675633861896E-6</v>
      </c>
      <c r="BI362" s="160">
        <v>1323611.9128613053</v>
      </c>
      <c r="BJ362">
        <f t="shared" si="25"/>
        <v>0.64608635299277917</v>
      </c>
    </row>
    <row r="363" spans="1:62" x14ac:dyDescent="0.3">
      <c r="A363">
        <v>-0.1</v>
      </c>
      <c r="B363" s="146">
        <v>100</v>
      </c>
      <c r="C363" s="146">
        <v>25</v>
      </c>
      <c r="D363" s="146">
        <v>400</v>
      </c>
      <c r="E363" s="249">
        <v>3.1240156467799411</v>
      </c>
      <c r="F363">
        <v>0.59358837901042616</v>
      </c>
      <c r="G363">
        <v>3.6309153238355298</v>
      </c>
      <c r="H363">
        <v>2.9827560194657843</v>
      </c>
      <c r="J363">
        <v>0.53403689899414108</v>
      </c>
      <c r="K363">
        <v>0.27</v>
      </c>
      <c r="L363">
        <v>20.015485972878245</v>
      </c>
      <c r="M363">
        <v>8.7204399466896927</v>
      </c>
      <c r="N363">
        <v>0.91209930495699965</v>
      </c>
      <c r="Z363">
        <v>0.30579078510094093</v>
      </c>
      <c r="AL363">
        <v>831.92715817690635</v>
      </c>
      <c r="AM363">
        <v>0.16348174663114617</v>
      </c>
      <c r="AN363">
        <v>0.19108498613060579</v>
      </c>
      <c r="AO363">
        <v>383.6511716067285</v>
      </c>
      <c r="AP363">
        <v>375.87750569840665</v>
      </c>
      <c r="AQ363" t="s">
        <v>385</v>
      </c>
      <c r="AR363">
        <f t="shared" ref="AR363:AR402" si="26">0.45*Jsat_t</f>
        <v>14.644015877877388</v>
      </c>
      <c r="AS363">
        <f t="shared" ref="AS363:AS402" si="27">0.15*Jatp</f>
        <v>3.9965468373646496</v>
      </c>
      <c r="AT363">
        <v>0.3</v>
      </c>
      <c r="AU363">
        <v>0</v>
      </c>
      <c r="AV363">
        <v>0.4</v>
      </c>
      <c r="AW363">
        <v>3</v>
      </c>
      <c r="AX363">
        <v>0.40617872934121158</v>
      </c>
      <c r="AY363">
        <v>0.27</v>
      </c>
      <c r="AZ363" s="209">
        <v>375.87750569840665</v>
      </c>
      <c r="BA363">
        <v>0.40617872934121158</v>
      </c>
      <c r="BB363" s="249">
        <v>7.6582631044190173</v>
      </c>
      <c r="BC363" s="243">
        <v>70.156957135539528</v>
      </c>
      <c r="BD363" s="209">
        <v>24888.201549715151</v>
      </c>
      <c r="BE363" s="243">
        <v>13.885237884610673</v>
      </c>
      <c r="BF363">
        <v>17208.732065943434</v>
      </c>
      <c r="BG363" t="s">
        <v>387</v>
      </c>
      <c r="BH363">
        <v>1.9253697360333876E-6</v>
      </c>
      <c r="BI363">
        <v>1448882.0154971515</v>
      </c>
      <c r="BJ363">
        <f t="shared" si="25"/>
        <v>1.1877248721345086E-2</v>
      </c>
    </row>
    <row r="364" spans="1:62" x14ac:dyDescent="0.3">
      <c r="A364">
        <v>-0.1</v>
      </c>
      <c r="B364" s="146">
        <v>200</v>
      </c>
      <c r="C364" s="146">
        <v>25</v>
      </c>
      <c r="D364" s="146">
        <v>400</v>
      </c>
      <c r="E364" s="252">
        <v>5.8608320414254695</v>
      </c>
      <c r="F364" s="146">
        <v>1.0120172528147726</v>
      </c>
      <c r="G364" s="146">
        <v>6.6749536641306504</v>
      </c>
      <c r="H364" s="146">
        <v>5.5124895350589496</v>
      </c>
      <c r="I364" s="146"/>
      <c r="J364" s="146">
        <v>0.54551101409799974</v>
      </c>
      <c r="K364" s="146">
        <v>0.27</v>
      </c>
      <c r="L364" s="146">
        <v>37.07029076170258</v>
      </c>
      <c r="M364" s="146">
        <v>16.150956555928509</v>
      </c>
      <c r="N364" s="146">
        <v>1.4067419484678751</v>
      </c>
      <c r="O364" s="146"/>
      <c r="P364" s="146"/>
      <c r="Q364" s="146"/>
      <c r="R364" s="146"/>
      <c r="S364" s="146"/>
      <c r="T364" s="146"/>
      <c r="U364" s="146"/>
      <c r="V364" s="146"/>
      <c r="W364" s="146"/>
      <c r="X364" s="146"/>
      <c r="Y364" s="146"/>
      <c r="Z364" s="146">
        <v>0.25519176762533874</v>
      </c>
      <c r="AA364" s="146"/>
      <c r="AB364" s="146"/>
      <c r="AC364" s="146"/>
      <c r="AD364" s="146"/>
      <c r="AE364" s="146"/>
      <c r="AF364" s="146"/>
      <c r="AG364" s="146"/>
      <c r="AH364" s="146"/>
      <c r="AI364" s="146"/>
      <c r="AJ364" s="146"/>
      <c r="AK364" s="146"/>
      <c r="AL364" s="146">
        <v>1061.5584864138675</v>
      </c>
      <c r="AM364" s="146">
        <v>0.15161412404299862</v>
      </c>
      <c r="AN364" s="146">
        <v>0.21524551935041419</v>
      </c>
      <c r="AO364" s="146">
        <v>372.77140978770302</v>
      </c>
      <c r="AP364" s="146">
        <v>358.18751217992974</v>
      </c>
      <c r="AQ364" t="s">
        <v>385</v>
      </c>
      <c r="AR364">
        <f t="shared" si="26"/>
        <v>14.644015877877388</v>
      </c>
      <c r="AS364">
        <f t="shared" si="27"/>
        <v>3.9965468373646496</v>
      </c>
      <c r="AT364">
        <v>0.3</v>
      </c>
      <c r="AU364">
        <v>0</v>
      </c>
      <c r="AV364">
        <v>0.4</v>
      </c>
      <c r="AW364">
        <v>3</v>
      </c>
      <c r="AX364" s="146">
        <v>0.43457174556893086</v>
      </c>
      <c r="AY364">
        <v>0.27</v>
      </c>
      <c r="AZ364" s="209">
        <v>358.18751217992974</v>
      </c>
      <c r="BA364">
        <v>0.43457174556893086</v>
      </c>
      <c r="BB364" s="249">
        <v>13.402821324978085</v>
      </c>
      <c r="BC364" s="243">
        <v>102.17074680386553</v>
      </c>
      <c r="BD364" s="209">
        <v>39547.801904566884</v>
      </c>
      <c r="BE364" s="243">
        <v>21.074451715252462</v>
      </c>
      <c r="BF364">
        <v>48315.837584824825</v>
      </c>
      <c r="BG364" t="s">
        <v>387</v>
      </c>
      <c r="BH364">
        <v>3.3517133897312836E-6</v>
      </c>
      <c r="BI364">
        <v>1595478.0190456689</v>
      </c>
      <c r="BJ364">
        <f t="shared" si="25"/>
        <v>3.0282985417577124E-2</v>
      </c>
    </row>
    <row r="365" spans="1:62" x14ac:dyDescent="0.3">
      <c r="A365">
        <v>-0.1</v>
      </c>
      <c r="B365" s="146">
        <v>300</v>
      </c>
      <c r="C365" s="146">
        <v>25</v>
      </c>
      <c r="D365" s="146">
        <v>400</v>
      </c>
      <c r="E365" s="252">
        <v>8.2413178536943654</v>
      </c>
      <c r="F365" s="146">
        <v>1.3650022008604159</v>
      </c>
      <c r="G365" s="146">
        <v>9.3033563256840726</v>
      </c>
      <c r="H365" s="146">
        <v>7.7400739084048995</v>
      </c>
      <c r="I365" s="146"/>
      <c r="J365" s="146">
        <v>0.55633634400203325</v>
      </c>
      <c r="K365" s="146">
        <v>0.27</v>
      </c>
      <c r="L365" s="146">
        <v>52.134330845135068</v>
      </c>
      <c r="M365" s="146">
        <v>22.714127546635613</v>
      </c>
      <c r="N365" s="146">
        <v>1.7626554584817677</v>
      </c>
      <c r="O365" s="146"/>
      <c r="P365" s="146"/>
      <c r="Q365" s="146"/>
      <c r="R365" s="146"/>
      <c r="S365" s="146"/>
      <c r="T365" s="146"/>
      <c r="U365" s="146"/>
      <c r="V365" s="146"/>
      <c r="W365" s="146"/>
      <c r="X365" s="146"/>
      <c r="Y365" s="146"/>
      <c r="Z365" s="146">
        <v>0.22773108879072987</v>
      </c>
      <c r="AA365" s="146"/>
      <c r="AB365" s="146"/>
      <c r="AC365" s="146"/>
      <c r="AD365" s="146"/>
      <c r="AE365" s="146"/>
      <c r="AF365" s="146"/>
      <c r="AG365" s="146"/>
      <c r="AH365" s="146"/>
      <c r="AI365" s="146"/>
      <c r="AJ365" s="146"/>
      <c r="AK365" s="146"/>
      <c r="AL365" s="146">
        <v>1224.7798361493553</v>
      </c>
      <c r="AM365" s="146">
        <v>0.14672147911738162</v>
      </c>
      <c r="AN365" s="146">
        <v>0.22866822311723567</v>
      </c>
      <c r="AO365" s="146">
        <v>363.95949668323993</v>
      </c>
      <c r="AP365" s="146">
        <v>343.45210690847165</v>
      </c>
      <c r="AQ365" t="s">
        <v>385</v>
      </c>
      <c r="AR365">
        <f t="shared" si="26"/>
        <v>14.644015877877388</v>
      </c>
      <c r="AS365">
        <f t="shared" si="27"/>
        <v>3.9965468373646496</v>
      </c>
      <c r="AT365">
        <v>0.3</v>
      </c>
      <c r="AU365">
        <v>0</v>
      </c>
      <c r="AV365">
        <v>0.4</v>
      </c>
      <c r="AW365">
        <v>3</v>
      </c>
      <c r="AX365" s="146">
        <v>0.45409011228647539</v>
      </c>
      <c r="AY365">
        <v>0.27</v>
      </c>
      <c r="AZ365" s="209">
        <v>343.45210690847165</v>
      </c>
      <c r="BA365">
        <v>0.45409011228647539</v>
      </c>
      <c r="BB365" s="249">
        <v>18.227460336799641</v>
      </c>
      <c r="BC365" s="243">
        <v>125.20413427621349</v>
      </c>
      <c r="BD365" s="209">
        <v>51153.148082972482</v>
      </c>
      <c r="BE365" s="243">
        <v>26.610814347586121</v>
      </c>
      <c r="BF365">
        <v>84080.630736623469</v>
      </c>
      <c r="BG365" t="s">
        <v>387</v>
      </c>
      <c r="BH365">
        <v>4.3678463478743392E-6</v>
      </c>
      <c r="BI365">
        <v>1711531.4808297248</v>
      </c>
      <c r="BJ365">
        <f t="shared" si="25"/>
        <v>4.9125962144653298E-2</v>
      </c>
    </row>
    <row r="366" spans="1:62" x14ac:dyDescent="0.3">
      <c r="A366">
        <v>-0.1</v>
      </c>
      <c r="B366" s="146">
        <v>400</v>
      </c>
      <c r="C366" s="146">
        <v>25</v>
      </c>
      <c r="D366" s="146">
        <v>400</v>
      </c>
      <c r="E366" s="252">
        <v>10.334531254976902</v>
      </c>
      <c r="F366" s="146">
        <v>1.6754992412236609</v>
      </c>
      <c r="G366" s="146">
        <v>11.609059324939818</v>
      </c>
      <c r="H366" s="146">
        <v>9.7316924051881077</v>
      </c>
      <c r="I366" s="146"/>
      <c r="J366" s="146">
        <v>0.56666020358816838</v>
      </c>
      <c r="K366" s="146">
        <v>0.27</v>
      </c>
      <c r="L366" s="146">
        <v>65.63573835249727</v>
      </c>
      <c r="M366" s="146">
        <v>28.596483514573499</v>
      </c>
      <c r="N366" s="146">
        <v>2.0378210920790281</v>
      </c>
      <c r="O366" s="146"/>
      <c r="P366" s="146"/>
      <c r="Q366" s="146"/>
      <c r="R366" s="146"/>
      <c r="S366" s="146"/>
      <c r="T366" s="146"/>
      <c r="U366" s="146"/>
      <c r="V366" s="146"/>
      <c r="W366" s="146"/>
      <c r="X366" s="146"/>
      <c r="Y366" s="146"/>
      <c r="Z366" s="146">
        <v>0.20940048320810425</v>
      </c>
      <c r="AA366" s="146"/>
      <c r="AB366" s="146"/>
      <c r="AC366" s="146"/>
      <c r="AD366" s="146"/>
      <c r="AE366" s="146"/>
      <c r="AF366" s="146"/>
      <c r="AG366" s="146"/>
      <c r="AH366" s="146"/>
      <c r="AI366" s="146"/>
      <c r="AJ366" s="146"/>
      <c r="AK366" s="146"/>
      <c r="AL366" s="146">
        <v>1349.6999677580618</v>
      </c>
      <c r="AM366" s="146">
        <v>0.14432687389443993</v>
      </c>
      <c r="AN366" s="146">
        <v>0.23760629026936772</v>
      </c>
      <c r="AO366" s="146">
        <v>356.50564956314531</v>
      </c>
      <c r="AP366" s="146">
        <v>330.78942171854709</v>
      </c>
      <c r="AQ366" t="s">
        <v>385</v>
      </c>
      <c r="AR366">
        <f t="shared" si="26"/>
        <v>14.644015877877388</v>
      </c>
      <c r="AS366">
        <f t="shared" si="27"/>
        <v>3.9965468373646496</v>
      </c>
      <c r="AT366">
        <v>0.3</v>
      </c>
      <c r="AU366">
        <v>0</v>
      </c>
      <c r="AV366">
        <v>0.4</v>
      </c>
      <c r="AW366">
        <v>3</v>
      </c>
      <c r="AX366" s="146">
        <v>0.46966618084447387</v>
      </c>
      <c r="AY366">
        <v>0.27</v>
      </c>
      <c r="AZ366" s="209">
        <v>330.78942171854709</v>
      </c>
      <c r="BA366">
        <v>0.46966618084447387</v>
      </c>
      <c r="BB366" s="249">
        <v>22.407106886668608</v>
      </c>
      <c r="BC366" s="243">
        <v>143.54773590042979</v>
      </c>
      <c r="BD366" s="209">
        <v>60911.870924726871</v>
      </c>
      <c r="BE366" s="243">
        <v>31.163643840003797</v>
      </c>
      <c r="BF366">
        <v>121646.02577524414</v>
      </c>
      <c r="BG366" t="s">
        <v>387</v>
      </c>
      <c r="BH366">
        <v>5.1231566348736327E-6</v>
      </c>
      <c r="BI366">
        <v>1809118.7092472687</v>
      </c>
      <c r="BJ366">
        <f t="shared" si="25"/>
        <v>6.7240488506062804E-2</v>
      </c>
    </row>
    <row r="367" spans="1:62" x14ac:dyDescent="0.3">
      <c r="A367">
        <v>-0.1</v>
      </c>
      <c r="B367" s="146">
        <v>600</v>
      </c>
      <c r="C367" s="146">
        <v>25</v>
      </c>
      <c r="D367" s="146">
        <v>400</v>
      </c>
      <c r="E367" s="252">
        <v>13.830954179009076</v>
      </c>
      <c r="F367" s="146">
        <v>2.2021804325941314</v>
      </c>
      <c r="G367" s="146">
        <v>15.456561234779386</v>
      </c>
      <c r="H367" s="146">
        <v>13.145921089465762</v>
      </c>
      <c r="I367" s="146"/>
      <c r="J367" s="146">
        <v>0.58698147273880041</v>
      </c>
      <c r="K367" s="146">
        <v>0.27</v>
      </c>
      <c r="L367" s="146">
        <v>88.852362027569313</v>
      </c>
      <c r="M367" s="146">
        <v>38.711610012011526</v>
      </c>
      <c r="N367" s="146">
        <v>2.4310698536100723</v>
      </c>
      <c r="O367" s="146"/>
      <c r="P367" s="146"/>
      <c r="Q367" s="146"/>
      <c r="R367" s="146"/>
      <c r="S367" s="146"/>
      <c r="T367" s="146"/>
      <c r="U367" s="146"/>
      <c r="V367" s="146"/>
      <c r="W367" s="146"/>
      <c r="X367" s="146"/>
      <c r="Y367" s="146"/>
      <c r="Z367" s="146">
        <v>0.18492959428747557</v>
      </c>
      <c r="AA367" s="146"/>
      <c r="AB367" s="146"/>
      <c r="AC367" s="146"/>
      <c r="AD367" s="146"/>
      <c r="AE367" s="146"/>
      <c r="AF367" s="146"/>
      <c r="AG367" s="146"/>
      <c r="AH367" s="146"/>
      <c r="AI367" s="146"/>
      <c r="AJ367" s="146"/>
      <c r="AK367" s="146"/>
      <c r="AL367" s="146">
        <v>1525.6291759339729</v>
      </c>
      <c r="AM367" s="146">
        <v>0.14247544451471669</v>
      </c>
      <c r="AN367" s="146">
        <v>0.24925404186555661</v>
      </c>
      <c r="AO367" s="146">
        <v>344.51061224327407</v>
      </c>
      <c r="AP367" s="146">
        <v>310.09424912893485</v>
      </c>
      <c r="AQ367" t="s">
        <v>385</v>
      </c>
      <c r="AR367">
        <f t="shared" si="26"/>
        <v>14.644015877877388</v>
      </c>
      <c r="AS367">
        <f t="shared" si="27"/>
        <v>3.9965468373646496</v>
      </c>
      <c r="AT367">
        <v>0.3</v>
      </c>
      <c r="AU367">
        <v>0</v>
      </c>
      <c r="AV367">
        <v>0.4</v>
      </c>
      <c r="AW367">
        <v>3</v>
      </c>
      <c r="AX367" s="146">
        <v>0.4957604848928156</v>
      </c>
      <c r="AY367">
        <v>0.27</v>
      </c>
      <c r="AZ367" s="209">
        <v>310.09424912893485</v>
      </c>
      <c r="BA367">
        <v>0.4957604848928156</v>
      </c>
      <c r="BB367" s="249">
        <v>29.306912606420525</v>
      </c>
      <c r="BC367" s="243">
        <v>171.58568436792885</v>
      </c>
      <c r="BD367" s="209">
        <v>76504.604782700655</v>
      </c>
      <c r="BE367" s="243">
        <v>38.221051421368529</v>
      </c>
      <c r="BF367">
        <v>196705.83199299913</v>
      </c>
      <c r="BG367" t="s">
        <v>387</v>
      </c>
      <c r="BH367">
        <v>6.1555666366405463E-6</v>
      </c>
      <c r="BI367">
        <v>1965046.0478270066</v>
      </c>
      <c r="BJ367">
        <f t="shared" si="25"/>
        <v>0.10010240330526655</v>
      </c>
    </row>
    <row r="368" spans="1:62" x14ac:dyDescent="0.3">
      <c r="A368">
        <v>-0.1</v>
      </c>
      <c r="B368" s="146">
        <v>800</v>
      </c>
      <c r="C368" s="146">
        <v>25</v>
      </c>
      <c r="D368" s="146">
        <v>400</v>
      </c>
      <c r="E368" s="252">
        <v>16.587175361080764</v>
      </c>
      <c r="F368" s="146">
        <v>2.6255604819571881</v>
      </c>
      <c r="G368" s="146">
        <v>18.487620211704389</v>
      </c>
      <c r="H368" s="146">
        <v>15.93326250900602</v>
      </c>
      <c r="I368" s="146"/>
      <c r="J368" s="146">
        <v>0.60623509341790582</v>
      </c>
      <c r="K368" s="146">
        <v>0.27</v>
      </c>
      <c r="L368" s="146">
        <v>107.87762992658311</v>
      </c>
      <c r="M368" s="146">
        <v>47.000627146436621</v>
      </c>
      <c r="N368" s="146">
        <v>2.6930203547475955</v>
      </c>
      <c r="O368" s="146"/>
      <c r="P368" s="146"/>
      <c r="Q368" s="146"/>
      <c r="R368" s="146"/>
      <c r="S368" s="146"/>
      <c r="T368" s="146"/>
      <c r="U368" s="146"/>
      <c r="V368" s="146"/>
      <c r="W368" s="146"/>
      <c r="X368" s="146"/>
      <c r="Y368" s="146"/>
      <c r="Z368" s="146">
        <v>0.16901876519171194</v>
      </c>
      <c r="AA368" s="146"/>
      <c r="AB368" s="146"/>
      <c r="AC368" s="146"/>
      <c r="AD368" s="146"/>
      <c r="AE368" s="146"/>
      <c r="AF368" s="146"/>
      <c r="AG368" s="146"/>
      <c r="AH368" s="146"/>
      <c r="AI368" s="146"/>
      <c r="AJ368" s="146"/>
      <c r="AK368" s="146"/>
      <c r="AL368" s="146">
        <v>1640.6635826848683</v>
      </c>
      <c r="AM368" s="146">
        <v>0.14201722297902697</v>
      </c>
      <c r="AN368" s="146">
        <v>0.25687963873107106</v>
      </c>
      <c r="AO368" s="146">
        <v>335.42822061328889</v>
      </c>
      <c r="AP368" s="146">
        <v>294.15340531107182</v>
      </c>
      <c r="AQ368" t="s">
        <v>385</v>
      </c>
      <c r="AR368">
        <f t="shared" si="26"/>
        <v>14.644015877877388</v>
      </c>
      <c r="AS368">
        <f t="shared" si="27"/>
        <v>3.9965468373646496</v>
      </c>
      <c r="AT368">
        <v>0.3</v>
      </c>
      <c r="AU368">
        <v>0</v>
      </c>
      <c r="AV368">
        <v>0.4</v>
      </c>
      <c r="AW368">
        <v>3</v>
      </c>
      <c r="AX368" s="146">
        <v>0.51806327232198901</v>
      </c>
      <c r="AY368">
        <v>0.27</v>
      </c>
      <c r="AZ368" s="209">
        <v>294.15340531107182</v>
      </c>
      <c r="BA368">
        <v>0.51806327232198901</v>
      </c>
      <c r="BB368" s="249">
        <v>34.666815367884666</v>
      </c>
      <c r="BC368" s="243">
        <v>191.7966643399385</v>
      </c>
      <c r="BD368" s="209">
        <v>88099.572276889667</v>
      </c>
      <c r="BE368" s="243">
        <v>43.269179518074303</v>
      </c>
      <c r="BF368">
        <v>266541.35189662734</v>
      </c>
      <c r="BG368" t="s">
        <v>387</v>
      </c>
      <c r="BH368">
        <v>6.8127920766524837E-6</v>
      </c>
      <c r="BI368">
        <v>2080995.7227688967</v>
      </c>
      <c r="BJ368">
        <f t="shared" si="25"/>
        <v>0.12808356546835051</v>
      </c>
    </row>
    <row r="369" spans="1:62" x14ac:dyDescent="0.3">
      <c r="A369">
        <v>-0.1</v>
      </c>
      <c r="B369" s="146">
        <v>1000</v>
      </c>
      <c r="C369" s="146">
        <v>25</v>
      </c>
      <c r="D369" s="146">
        <v>400</v>
      </c>
      <c r="E369" s="252">
        <v>18.763108874636853</v>
      </c>
      <c r="F369" s="146">
        <v>2.9675078531604679</v>
      </c>
      <c r="G369" s="146">
        <v>20.880822658261792</v>
      </c>
      <c r="H369" s="146">
        <v>18.218367856442711</v>
      </c>
      <c r="I369" s="146"/>
      <c r="J369" s="146">
        <v>0.62794639416632814</v>
      </c>
      <c r="K369" s="146">
        <v>0.27</v>
      </c>
      <c r="L369" s="146">
        <v>123.52755330423257</v>
      </c>
      <c r="M369" s="146">
        <v>53.819058493545306</v>
      </c>
      <c r="N369" s="146">
        <v>2.8451062961549418</v>
      </c>
      <c r="O369" s="146"/>
      <c r="P369" s="146"/>
      <c r="Q369" s="146"/>
      <c r="R369" s="146"/>
      <c r="S369" s="146"/>
      <c r="T369" s="146"/>
      <c r="U369" s="146"/>
      <c r="V369" s="146"/>
      <c r="W369" s="146"/>
      <c r="X369" s="146"/>
      <c r="Y369" s="146"/>
      <c r="Z369" s="146">
        <v>0.15616691454326978</v>
      </c>
      <c r="AA369" s="146"/>
      <c r="AB369" s="146"/>
      <c r="AC369" s="146"/>
      <c r="AD369" s="146"/>
      <c r="AE369" s="146"/>
      <c r="AF369" s="146"/>
      <c r="AG369" s="146"/>
      <c r="AH369" s="146"/>
      <c r="AI369" s="146"/>
      <c r="AJ369" s="146"/>
      <c r="AK369" s="146"/>
      <c r="AL369" s="146">
        <v>1704.327136816238</v>
      </c>
      <c r="AM369" s="146">
        <v>0.1421164243251849</v>
      </c>
      <c r="AN369" s="146">
        <v>0.2622864530578346</v>
      </c>
      <c r="AO369" s="146">
        <v>328.46329402113821</v>
      </c>
      <c r="AP369" s="146">
        <v>281.77398873876814</v>
      </c>
      <c r="AQ369" t="s">
        <v>385</v>
      </c>
      <c r="AR369">
        <f t="shared" si="26"/>
        <v>14.644015877877388</v>
      </c>
      <c r="AS369">
        <f t="shared" si="27"/>
        <v>3.9965468373646496</v>
      </c>
      <c r="AT369">
        <v>0.3</v>
      </c>
      <c r="AU369">
        <v>0</v>
      </c>
      <c r="AV369">
        <v>0.4</v>
      </c>
      <c r="AW369">
        <v>3</v>
      </c>
      <c r="AX369" s="146">
        <v>0.5412380798264087</v>
      </c>
      <c r="AY369">
        <v>0.27</v>
      </c>
      <c r="AZ369" s="209">
        <v>281.77398873876814</v>
      </c>
      <c r="BA369">
        <v>0.5412380798264087</v>
      </c>
      <c r="BB369" s="249">
        <v>38.81552470098373</v>
      </c>
      <c r="BC369" s="243">
        <v>206.83207832671101</v>
      </c>
      <c r="BD369" s="209">
        <v>96712.403911640635</v>
      </c>
      <c r="BE369" s="243">
        <v>46.751864491171183</v>
      </c>
      <c r="BF369">
        <v>328230.55994108331</v>
      </c>
      <c r="BG369" t="s">
        <v>387</v>
      </c>
      <c r="BH369">
        <v>7.2578316926821135E-6</v>
      </c>
      <c r="BI369">
        <v>2167124.0391164063</v>
      </c>
      <c r="BJ369">
        <f t="shared" si="25"/>
        <v>0.15145905541932503</v>
      </c>
    </row>
    <row r="370" spans="1:62" x14ac:dyDescent="0.3">
      <c r="A370">
        <v>-0.1</v>
      </c>
      <c r="B370" s="146">
        <v>1300</v>
      </c>
      <c r="C370" s="146">
        <v>25</v>
      </c>
      <c r="D370" s="146">
        <v>400</v>
      </c>
      <c r="E370" s="252">
        <v>21.352090317353241</v>
      </c>
      <c r="F370" s="146">
        <v>3.4255230439100695</v>
      </c>
      <c r="G370" s="146">
        <v>23.75102273235369</v>
      </c>
      <c r="H370" s="146">
        <v>20.814359107755472</v>
      </c>
      <c r="I370" s="146"/>
      <c r="J370" s="146">
        <v>0.63239913505423573</v>
      </c>
      <c r="K370" s="146">
        <v>0.27</v>
      </c>
      <c r="L370" s="146">
        <v>141.39493020368647</v>
      </c>
      <c r="M370" s="146">
        <v>61.603600296211958</v>
      </c>
      <c r="N370" s="146">
        <v>3.0747943185826117</v>
      </c>
      <c r="O370" s="146"/>
      <c r="P370" s="146"/>
      <c r="Q370" s="146"/>
      <c r="R370" s="146"/>
      <c r="S370" s="146"/>
      <c r="T370" s="146"/>
      <c r="U370" s="146"/>
      <c r="V370" s="146"/>
      <c r="W370" s="146"/>
      <c r="X370" s="146"/>
      <c r="Y370" s="146"/>
      <c r="Z370" s="146">
        <v>0.14772466942962165</v>
      </c>
      <c r="AA370" s="146"/>
      <c r="AB370" s="146"/>
      <c r="AC370" s="146"/>
      <c r="AD370" s="146"/>
      <c r="AE370" s="146"/>
      <c r="AF370" s="146"/>
      <c r="AG370" s="146"/>
      <c r="AH370" s="146"/>
      <c r="AI370" s="146"/>
      <c r="AJ370" s="146"/>
      <c r="AK370" s="146"/>
      <c r="AL370" s="146">
        <v>1803.20591322924</v>
      </c>
      <c r="AM370" s="146">
        <v>0.14422633848283994</v>
      </c>
      <c r="AN370" s="146">
        <v>0.26341215193029827</v>
      </c>
      <c r="AO370" s="146">
        <v>318.94037476675248</v>
      </c>
      <c r="AP370" s="146">
        <v>265.80875393793406</v>
      </c>
      <c r="AQ370" t="s">
        <v>385</v>
      </c>
      <c r="AR370">
        <f t="shared" si="26"/>
        <v>14.644015877877388</v>
      </c>
      <c r="AS370">
        <f t="shared" si="27"/>
        <v>3.9965468373646496</v>
      </c>
      <c r="AT370">
        <v>0.3</v>
      </c>
      <c r="AU370">
        <v>0</v>
      </c>
      <c r="AV370">
        <v>0.4</v>
      </c>
      <c r="AW370">
        <v>3</v>
      </c>
      <c r="AX370" s="146">
        <v>0.54789348615304834</v>
      </c>
      <c r="AY370">
        <v>0.27</v>
      </c>
      <c r="AZ370" s="209">
        <v>265.80875393793406</v>
      </c>
      <c r="BA370">
        <v>0.54789348615304834</v>
      </c>
      <c r="BB370" s="249">
        <v>44.171962477727689</v>
      </c>
      <c r="BC370" s="243">
        <v>221.43316538064468</v>
      </c>
      <c r="BD370" s="209">
        <v>107217.55300774188</v>
      </c>
      <c r="BE370" s="243">
        <v>53.035191837521197</v>
      </c>
      <c r="BF370">
        <v>411651.95273288421</v>
      </c>
      <c r="BG370" t="s">
        <v>387</v>
      </c>
      <c r="BH370">
        <v>7.6842571693868376E-6</v>
      </c>
      <c r="BI370">
        <v>2272175.5300774188</v>
      </c>
      <c r="BJ370">
        <f t="shared" si="25"/>
        <v>0.18117084146173257</v>
      </c>
    </row>
    <row r="371" spans="1:62" x14ac:dyDescent="0.3">
      <c r="A371">
        <v>-0.1</v>
      </c>
      <c r="B371" s="227">
        <v>1600</v>
      </c>
      <c r="C371" s="146">
        <v>25</v>
      </c>
      <c r="D371" s="146">
        <v>400</v>
      </c>
      <c r="E371" s="252">
        <v>23.208273477498089</v>
      </c>
      <c r="F371" s="146">
        <v>3.7751269192017416</v>
      </c>
      <c r="G371" s="146">
        <v>25.816034258410095</v>
      </c>
      <c r="H371" s="146">
        <v>22.668500922271598</v>
      </c>
      <c r="I371" s="146"/>
      <c r="J371" s="146">
        <v>0.63196724950978367</v>
      </c>
      <c r="K371" s="146">
        <v>0.27</v>
      </c>
      <c r="L371" s="146">
        <v>154.22814789225583</v>
      </c>
      <c r="M371" s="146">
        <v>67.194836218617681</v>
      </c>
      <c r="N371" s="146">
        <v>3.2452220812730204</v>
      </c>
      <c r="O371" s="146"/>
      <c r="P371" s="146"/>
      <c r="Q371" s="146"/>
      <c r="R371" s="146"/>
      <c r="S371" s="146"/>
      <c r="T371" s="146"/>
      <c r="U371" s="146"/>
      <c r="V371" s="146"/>
      <c r="W371" s="146"/>
      <c r="X371" s="146"/>
      <c r="Y371" s="146"/>
      <c r="Z371" s="146">
        <v>0.14315997746832121</v>
      </c>
      <c r="AA371" s="146"/>
      <c r="AB371" s="146"/>
      <c r="AC371" s="146"/>
      <c r="AD371" s="146"/>
      <c r="AE371" s="146"/>
      <c r="AF371" s="146"/>
      <c r="AG371" s="146"/>
      <c r="AH371" s="146"/>
      <c r="AI371" s="146"/>
      <c r="AJ371" s="146"/>
      <c r="AK371" s="146"/>
      <c r="AL371" s="146">
        <v>1876.8763136364646</v>
      </c>
      <c r="AM371" s="146">
        <v>0.1462318682030691</v>
      </c>
      <c r="AN371" s="146">
        <v>0.26377752716463632</v>
      </c>
      <c r="AO371" s="146">
        <v>312.01572883419789</v>
      </c>
      <c r="AP371" s="146">
        <v>254.26527299995348</v>
      </c>
      <c r="AQ371" t="s">
        <v>385</v>
      </c>
      <c r="AR371">
        <f t="shared" si="26"/>
        <v>14.644015877877388</v>
      </c>
      <c r="AS371">
        <f t="shared" si="27"/>
        <v>3.9965468373646496</v>
      </c>
      <c r="AT371">
        <v>0.3</v>
      </c>
      <c r="AU371">
        <v>0</v>
      </c>
      <c r="AV371">
        <v>0.4</v>
      </c>
      <c r="AW371">
        <v>3</v>
      </c>
      <c r="AX371" s="146">
        <v>0.54899618466429911</v>
      </c>
      <c r="AY371">
        <v>0.27</v>
      </c>
      <c r="AZ371" s="209">
        <v>254.26527299995348</v>
      </c>
      <c r="BA371">
        <v>0.54899618466429911</v>
      </c>
      <c r="BB371" s="249">
        <v>48.152456226362965</v>
      </c>
      <c r="BC371" s="243">
        <v>230.16257717994901</v>
      </c>
      <c r="BD371" s="209">
        <v>114310.94537382739</v>
      </c>
      <c r="BE371" s="243">
        <v>57.916351344504996</v>
      </c>
      <c r="BF371">
        <v>477100.77345732064</v>
      </c>
      <c r="BG371" t="s">
        <v>387</v>
      </c>
      <c r="BH371">
        <v>7.9503237695657469E-6</v>
      </c>
      <c r="BI371">
        <v>2343109.4537382741</v>
      </c>
      <c r="BJ371">
        <f t="shared" si="25"/>
        <v>0.20361864559768572</v>
      </c>
    </row>
    <row r="372" spans="1:62" s="140" customFormat="1" x14ac:dyDescent="0.3">
      <c r="A372" s="140">
        <v>-0.1</v>
      </c>
      <c r="B372" s="140">
        <v>1900</v>
      </c>
      <c r="C372" s="140">
        <v>25</v>
      </c>
      <c r="D372" s="140">
        <v>400</v>
      </c>
      <c r="E372" s="253">
        <v>24.515859136838653</v>
      </c>
      <c r="F372" s="140">
        <v>4.0309225889977878</v>
      </c>
      <c r="G372" s="140">
        <v>27.272734079569307</v>
      </c>
      <c r="H372" s="140">
        <v>23.985449845913532</v>
      </c>
      <c r="J372" s="140">
        <v>0.63195907867533929</v>
      </c>
      <c r="K372" s="140">
        <v>0.27</v>
      </c>
      <c r="L372" s="140">
        <v>163.39353798843518</v>
      </c>
      <c r="M372" s="140">
        <v>71.188055970065122</v>
      </c>
      <c r="N372" s="140">
        <v>3.3588284345452131</v>
      </c>
      <c r="Z372" s="140">
        <v>0.14003608254683061</v>
      </c>
      <c r="AL372" s="140">
        <v>1925.6069059609504</v>
      </c>
      <c r="AM372" s="140">
        <v>0.14780045804125863</v>
      </c>
      <c r="AN372" s="140">
        <v>0.26417140963888203</v>
      </c>
      <c r="AO372" s="140">
        <v>307.19715214318069</v>
      </c>
      <c r="AP372" s="140">
        <v>246.19268868834482</v>
      </c>
      <c r="AQ372" t="s">
        <v>385</v>
      </c>
      <c r="AR372">
        <f t="shared" si="26"/>
        <v>14.644015877877388</v>
      </c>
      <c r="AS372">
        <f t="shared" si="27"/>
        <v>3.9965468373646496</v>
      </c>
      <c r="AT372">
        <v>0.3</v>
      </c>
      <c r="AU372">
        <v>0</v>
      </c>
      <c r="AV372">
        <v>0.4</v>
      </c>
      <c r="AW372">
        <v>3</v>
      </c>
      <c r="AX372" s="140">
        <v>0.54998754218227897</v>
      </c>
      <c r="AY372">
        <v>0.27</v>
      </c>
      <c r="AZ372" s="209">
        <v>246.19268868834482</v>
      </c>
      <c r="BA372" s="140">
        <v>0.54998754218227897</v>
      </c>
      <c r="BB372" s="253">
        <v>50.999503600878505</v>
      </c>
      <c r="BC372" s="245">
        <v>235.21069196111242</v>
      </c>
      <c r="BD372" s="210">
        <v>118916.7494571813</v>
      </c>
      <c r="BE372" s="245">
        <v>61.354767331591354</v>
      </c>
      <c r="BF372" s="140">
        <v>525602.3352472136</v>
      </c>
      <c r="BG372" t="s">
        <v>387</v>
      </c>
      <c r="BH372" s="140">
        <v>8.1267563012217495E-6</v>
      </c>
      <c r="BI372" s="140">
        <v>2389167.4945718129</v>
      </c>
      <c r="BJ372">
        <f t="shared" si="25"/>
        <v>0.21999392526534109</v>
      </c>
    </row>
    <row r="373" spans="1:62" x14ac:dyDescent="0.3">
      <c r="A373">
        <v>-0.1</v>
      </c>
      <c r="B373" s="146">
        <v>1000</v>
      </c>
      <c r="C373" s="146">
        <v>25</v>
      </c>
      <c r="D373" s="146">
        <v>200</v>
      </c>
      <c r="E373" s="252">
        <v>17.259167472006826</v>
      </c>
      <c r="F373" s="146">
        <v>5.6493697958647857</v>
      </c>
      <c r="G373" s="146">
        <v>20.774880023932678</v>
      </c>
      <c r="H373" s="146">
        <v>18.775575182087692</v>
      </c>
      <c r="I373" s="146"/>
      <c r="J373" s="146">
        <v>0.99999999945778961</v>
      </c>
      <c r="K373" s="146">
        <v>0.27</v>
      </c>
      <c r="L373" s="146">
        <v>129.19154929817424</v>
      </c>
      <c r="M373" s="146">
        <v>56.28677459049085</v>
      </c>
      <c r="N373" s="146">
        <v>1.1017911188435541</v>
      </c>
      <c r="O373" s="146"/>
      <c r="P373" s="146"/>
      <c r="Q373" s="146"/>
      <c r="R373" s="146"/>
      <c r="S373" s="146"/>
      <c r="T373" s="146"/>
      <c r="U373" s="146"/>
      <c r="V373" s="146"/>
      <c r="W373" s="146"/>
      <c r="X373" s="146"/>
      <c r="Y373" s="146"/>
      <c r="Z373" s="146">
        <v>5.8682149982530858E-2</v>
      </c>
      <c r="AA373" s="146"/>
      <c r="AB373" s="146"/>
      <c r="AC373" s="146"/>
      <c r="AD373" s="146"/>
      <c r="AE373" s="146"/>
      <c r="AF373" s="146"/>
      <c r="AG373" s="146"/>
      <c r="AH373" s="146"/>
      <c r="AI373" s="146"/>
      <c r="AJ373" s="146"/>
      <c r="AK373" s="146"/>
      <c r="AL373" s="146">
        <v>626.19277907221897</v>
      </c>
      <c r="AM373" s="146">
        <v>0.2719327278596414</v>
      </c>
      <c r="AN373" s="146">
        <v>0.21110629346945442</v>
      </c>
      <c r="AO373" s="146">
        <v>118.24418311572457</v>
      </c>
      <c r="AP373" s="146">
        <v>75.297219650441406</v>
      </c>
      <c r="AQ373" t="s">
        <v>385</v>
      </c>
      <c r="AR373">
        <f t="shared" si="26"/>
        <v>14.644015877877388</v>
      </c>
      <c r="AS373">
        <f t="shared" si="27"/>
        <v>3.9965468373646496</v>
      </c>
      <c r="AT373">
        <v>0.3</v>
      </c>
      <c r="AU373">
        <v>0</v>
      </c>
      <c r="AV373">
        <v>0.4</v>
      </c>
      <c r="AW373">
        <v>3</v>
      </c>
      <c r="AX373" s="146">
        <v>0.99999999900000003</v>
      </c>
      <c r="AY373">
        <v>0.27</v>
      </c>
      <c r="AZ373" s="209">
        <v>75.297219650441406</v>
      </c>
      <c r="BA373">
        <v>0.99999999900000003</v>
      </c>
      <c r="BB373" s="249">
        <v>49.302936809424949</v>
      </c>
      <c r="BC373" s="243">
        <v>222.66880120398002</v>
      </c>
      <c r="BD373" s="209">
        <v>108164.95273300498</v>
      </c>
      <c r="BE373" s="243">
        <v>53.742260393403775</v>
      </c>
      <c r="BF373">
        <v>319671.38135856751</v>
      </c>
      <c r="BG373" t="s">
        <v>388</v>
      </c>
      <c r="BH373">
        <v>6.3774228150363085E-6</v>
      </c>
      <c r="BI373">
        <v>2281649.5273300498</v>
      </c>
      <c r="BJ373">
        <f t="shared" si="25"/>
        <v>0.14010538320170579</v>
      </c>
    </row>
    <row r="374" spans="1:62" x14ac:dyDescent="0.3">
      <c r="A374">
        <v>-0.1</v>
      </c>
      <c r="B374" s="146">
        <v>1000</v>
      </c>
      <c r="C374" s="146">
        <v>25</v>
      </c>
      <c r="D374" s="146">
        <v>300</v>
      </c>
      <c r="E374" s="252">
        <v>18.108420610389519</v>
      </c>
      <c r="F374" s="146">
        <v>3.7068848563459724</v>
      </c>
      <c r="G374" s="146">
        <v>20.61501134348584</v>
      </c>
      <c r="H374" s="146">
        <v>18.385810089134992</v>
      </c>
      <c r="I374" s="146"/>
      <c r="J374" s="146">
        <v>0.67116767098876562</v>
      </c>
      <c r="K374" s="146">
        <v>0.27</v>
      </c>
      <c r="L374" s="146">
        <v>124.97733264831855</v>
      </c>
      <c r="M374" s="146">
        <v>54.450705095740453</v>
      </c>
      <c r="N374" s="146">
        <v>2.2764513818594168</v>
      </c>
      <c r="O374" s="146"/>
      <c r="P374" s="146"/>
      <c r="Q374" s="146"/>
      <c r="R374" s="146"/>
      <c r="S374" s="146"/>
      <c r="T374" s="146"/>
      <c r="U374" s="146"/>
      <c r="V374" s="146"/>
      <c r="W374" s="146"/>
      <c r="X374" s="146"/>
      <c r="Y374" s="146"/>
      <c r="Z374" s="146">
        <v>0.12381566930274533</v>
      </c>
      <c r="AA374" s="146"/>
      <c r="AB374" s="146"/>
      <c r="AC374" s="146"/>
      <c r="AD374" s="146"/>
      <c r="AE374" s="146"/>
      <c r="AF374" s="146"/>
      <c r="AG374" s="146"/>
      <c r="AH374" s="146"/>
      <c r="AI374" s="146"/>
      <c r="AJ374" s="146"/>
      <c r="AK374" s="146"/>
      <c r="AL374" s="146">
        <v>1321.497701035812</v>
      </c>
      <c r="AM374" s="146">
        <v>0.17981483466499837</v>
      </c>
      <c r="AN374" s="146">
        <v>0.25267177337052033</v>
      </c>
      <c r="AO374" s="146">
        <v>228.33223763449368</v>
      </c>
      <c r="AP374" s="146">
        <v>183.27201010610256</v>
      </c>
      <c r="AQ374" t="s">
        <v>385</v>
      </c>
      <c r="AR374">
        <f t="shared" si="26"/>
        <v>14.644015877877388</v>
      </c>
      <c r="AS374">
        <f t="shared" si="27"/>
        <v>3.9965468373646496</v>
      </c>
      <c r="AT374">
        <v>0.3</v>
      </c>
      <c r="AU374">
        <v>0</v>
      </c>
      <c r="AV374">
        <v>0.4</v>
      </c>
      <c r="AW374">
        <v>3</v>
      </c>
      <c r="AX374" s="146">
        <v>0.56740279549025197</v>
      </c>
      <c r="AY374">
        <v>0.27</v>
      </c>
      <c r="AZ374" s="209">
        <v>183.27201010610256</v>
      </c>
      <c r="BA374">
        <v>0.56740279549025197</v>
      </c>
      <c r="BB374" s="249">
        <v>42.503331318301029</v>
      </c>
      <c r="BC374" s="243">
        <v>210.7753597944681</v>
      </c>
      <c r="BD374" s="209">
        <v>100916.4273318522</v>
      </c>
      <c r="BE374" s="243">
        <v>50.483962174865013</v>
      </c>
      <c r="BF374">
        <v>323632.90782151656</v>
      </c>
      <c r="BG374" t="s">
        <v>388</v>
      </c>
      <c r="BH374">
        <v>6.8899446879477332E-6</v>
      </c>
      <c r="BI374">
        <v>2209164.2733185221</v>
      </c>
      <c r="BJ374">
        <f t="shared" si="25"/>
        <v>0.14649562811160602</v>
      </c>
    </row>
    <row r="375" spans="1:62" x14ac:dyDescent="0.3">
      <c r="A375">
        <v>-0.1</v>
      </c>
      <c r="B375" s="146">
        <v>1000</v>
      </c>
      <c r="C375" s="146">
        <v>25</v>
      </c>
      <c r="D375" s="146">
        <v>400</v>
      </c>
      <c r="E375" s="252">
        <v>18.763382832880545</v>
      </c>
      <c r="F375" s="146">
        <v>2.9678249782092423</v>
      </c>
      <c r="G375" s="146">
        <v>20.881281550062027</v>
      </c>
      <c r="H375" s="146">
        <v>18.219352022106801</v>
      </c>
      <c r="I375" s="146"/>
      <c r="J375" s="146">
        <v>0.62818545029929906</v>
      </c>
      <c r="K375" s="146">
        <v>0.27</v>
      </c>
      <c r="L375" s="146">
        <v>123.53414456394242</v>
      </c>
      <c r="M375" s="146">
        <v>53.82193020420727</v>
      </c>
      <c r="N375" s="146">
        <v>2.8433638008208675</v>
      </c>
      <c r="O375" s="146"/>
      <c r="P375" s="146"/>
      <c r="Q375" s="146"/>
      <c r="R375" s="146"/>
      <c r="S375" s="146"/>
      <c r="T375" s="146"/>
      <c r="U375" s="146"/>
      <c r="V375" s="146"/>
      <c r="W375" s="146"/>
      <c r="X375" s="146"/>
      <c r="Y375" s="146"/>
      <c r="Z375" s="146">
        <v>0.15606283897313239</v>
      </c>
      <c r="AA375" s="146"/>
      <c r="AB375" s="146"/>
      <c r="AC375" s="146"/>
      <c r="AD375" s="146"/>
      <c r="AE375" s="146"/>
      <c r="AF375" s="146"/>
      <c r="AG375" s="146"/>
      <c r="AH375" s="146"/>
      <c r="AI375" s="146"/>
      <c r="AJ375" s="146"/>
      <c r="AK375" s="146"/>
      <c r="AL375" s="146">
        <v>1703.4527815472811</v>
      </c>
      <c r="AM375" s="146">
        <v>0.14212848819139773</v>
      </c>
      <c r="AN375" s="146">
        <v>0.26228141851299802</v>
      </c>
      <c r="AO375" s="146">
        <v>328.46087633939391</v>
      </c>
      <c r="AP375" s="146">
        <v>281.77088113684403</v>
      </c>
      <c r="AQ375" t="s">
        <v>385</v>
      </c>
      <c r="AR375">
        <f t="shared" si="26"/>
        <v>14.644015877877388</v>
      </c>
      <c r="AS375">
        <f t="shared" si="27"/>
        <v>3.9965468373646496</v>
      </c>
      <c r="AT375">
        <v>0.3</v>
      </c>
      <c r="AU375">
        <v>0</v>
      </c>
      <c r="AV375">
        <v>0.4</v>
      </c>
      <c r="AW375">
        <v>3</v>
      </c>
      <c r="AX375" s="146">
        <v>0.54144756214038448</v>
      </c>
      <c r="AY375">
        <v>0.27</v>
      </c>
      <c r="AZ375" s="209">
        <v>281.77088113684403</v>
      </c>
      <c r="BA375">
        <v>0.54144756214038448</v>
      </c>
      <c r="BB375" s="249">
        <v>38.815752746163184</v>
      </c>
      <c r="BC375" s="243">
        <v>206.84984250458922</v>
      </c>
      <c r="BD375" s="209">
        <v>96715.080495388116</v>
      </c>
      <c r="BE375" s="243">
        <v>46.744648726155333</v>
      </c>
      <c r="BF375">
        <v>328242.39951899601</v>
      </c>
      <c r="BG375" t="s">
        <v>388</v>
      </c>
      <c r="BH375">
        <v>7.2578238864642315E-6</v>
      </c>
      <c r="BI375">
        <v>2167150.8049538811</v>
      </c>
      <c r="BJ375">
        <f t="shared" si="25"/>
        <v>0.15146264799323983</v>
      </c>
    </row>
    <row r="376" spans="1:62" x14ac:dyDescent="0.3">
      <c r="A376">
        <v>-0.1</v>
      </c>
      <c r="B376" s="146">
        <v>1000</v>
      </c>
      <c r="C376" s="146">
        <v>25</v>
      </c>
      <c r="D376" s="146">
        <v>500</v>
      </c>
      <c r="E376" s="252">
        <v>19.424907650533044</v>
      </c>
      <c r="F376" s="146">
        <v>2.5662113904882826</v>
      </c>
      <c r="G376" s="146">
        <v>21.334806266433418</v>
      </c>
      <c r="H376" s="146">
        <v>18.04902353859665</v>
      </c>
      <c r="I376" s="146"/>
      <c r="J376" s="146">
        <v>0.58474103930659482</v>
      </c>
      <c r="K376" s="146">
        <v>0.27</v>
      </c>
      <c r="L376" s="146">
        <v>122.24695343619723</v>
      </c>
      <c r="M376" s="146">
        <v>53.261120791704187</v>
      </c>
      <c r="N376" s="146">
        <v>3.3593796435593664</v>
      </c>
      <c r="O376" s="146"/>
      <c r="P376" s="146"/>
      <c r="Q376" s="146"/>
      <c r="R376" s="146"/>
      <c r="S376" s="146"/>
      <c r="T376" s="146"/>
      <c r="U376" s="146"/>
      <c r="V376" s="146"/>
      <c r="W376" s="146"/>
      <c r="X376" s="146"/>
      <c r="Y376" s="146"/>
      <c r="Z376" s="146">
        <v>0.18612528463800571</v>
      </c>
      <c r="AA376" s="146"/>
      <c r="AB376" s="146"/>
      <c r="AC376" s="146"/>
      <c r="AD376" s="146"/>
      <c r="AE376" s="146"/>
      <c r="AF376" s="146"/>
      <c r="AG376" s="146"/>
      <c r="AH376" s="146"/>
      <c r="AI376" s="146"/>
      <c r="AJ376" s="146"/>
      <c r="AK376" s="146"/>
      <c r="AL376" s="146">
        <v>2056.7001358337839</v>
      </c>
      <c r="AM376" s="146">
        <v>0.12028285415114207</v>
      </c>
      <c r="AN376" s="146">
        <v>0.26020062972661767</v>
      </c>
      <c r="AO376" s="146">
        <v>425.3464233697589</v>
      </c>
      <c r="AP376" s="146">
        <v>377.01031405410083</v>
      </c>
      <c r="AQ376" t="s">
        <v>385</v>
      </c>
      <c r="AR376">
        <f t="shared" si="26"/>
        <v>14.644015877877388</v>
      </c>
      <c r="AS376">
        <f t="shared" si="27"/>
        <v>3.9965468373646496</v>
      </c>
      <c r="AT376">
        <v>0.3</v>
      </c>
      <c r="AU376">
        <v>0</v>
      </c>
      <c r="AV376">
        <v>0.4</v>
      </c>
      <c r="AW376">
        <v>3</v>
      </c>
      <c r="AX376" s="146">
        <v>0.5103798524895462</v>
      </c>
      <c r="AY376">
        <v>0.27</v>
      </c>
      <c r="AZ376" s="209">
        <v>377.01031405410083</v>
      </c>
      <c r="BA376">
        <v>0.5103798524895462</v>
      </c>
      <c r="BB376" s="249">
        <v>37.156540555004995</v>
      </c>
      <c r="BC376" s="243">
        <v>203.40840014550105</v>
      </c>
      <c r="BD376" s="209">
        <v>95640.206302993683</v>
      </c>
      <c r="BE376" s="243">
        <v>47.308768116991665</v>
      </c>
      <c r="BF376">
        <v>339578.8688238766</v>
      </c>
      <c r="BG376" t="s">
        <v>388</v>
      </c>
      <c r="BH376">
        <v>7.5189842541942062E-6</v>
      </c>
      <c r="BI376">
        <v>2156402.063029937</v>
      </c>
      <c r="BJ376">
        <f t="shared" si="25"/>
        <v>0.15747474677646062</v>
      </c>
    </row>
    <row r="377" spans="1:62" s="146" customFormat="1" x14ac:dyDescent="0.3">
      <c r="A377">
        <v>-0.1</v>
      </c>
      <c r="B377" s="146">
        <v>1000</v>
      </c>
      <c r="C377" s="146">
        <v>25</v>
      </c>
      <c r="D377" s="146">
        <v>600</v>
      </c>
      <c r="E377" s="252">
        <v>19.892443311018333</v>
      </c>
      <c r="F377" s="146">
        <v>2.256687345688027</v>
      </c>
      <c r="G377" s="146">
        <v>21.640867565295764</v>
      </c>
      <c r="H377" s="146">
        <v>17.934298703272447</v>
      </c>
      <c r="J377" s="146">
        <v>0.56411000095303454</v>
      </c>
      <c r="K377" s="146">
        <v>0.27</v>
      </c>
      <c r="L377" s="146">
        <v>121.39241765394041</v>
      </c>
      <c r="M377" s="146">
        <v>52.888812670803908</v>
      </c>
      <c r="N377" s="146">
        <v>3.7366123602763963</v>
      </c>
      <c r="Z377" s="146">
        <v>0.20835006832994155</v>
      </c>
      <c r="AL377" s="146">
        <v>2341.9267050054095</v>
      </c>
      <c r="AM377" s="146">
        <v>0.10427896843225218</v>
      </c>
      <c r="AN377" s="146">
        <v>0.25874746329066717</v>
      </c>
      <c r="AO377" s="146">
        <v>523.1202383280106</v>
      </c>
      <c r="AP377" s="146">
        <v>473.62052486720961</v>
      </c>
      <c r="AQ377" t="s">
        <v>385</v>
      </c>
      <c r="AR377">
        <f t="shared" si="26"/>
        <v>14.644015877877388</v>
      </c>
      <c r="AS377">
        <f t="shared" si="27"/>
        <v>3.9965468373646496</v>
      </c>
      <c r="AT377">
        <v>0.3</v>
      </c>
      <c r="AU377">
        <v>0</v>
      </c>
      <c r="AV377">
        <v>0.4</v>
      </c>
      <c r="AW377">
        <v>3</v>
      </c>
      <c r="AX377" s="146">
        <v>0.49811240931146183</v>
      </c>
      <c r="AY377">
        <v>0.27</v>
      </c>
      <c r="AZ377" s="209">
        <v>473.62052486720961</v>
      </c>
      <c r="BA377" s="146">
        <v>0.49811240931146183</v>
      </c>
      <c r="BB377" s="252">
        <v>35.683072129137805</v>
      </c>
      <c r="BC377" s="244">
        <v>201.15389156654973</v>
      </c>
      <c r="BD377" s="229">
        <v>94404.135856100009</v>
      </c>
      <c r="BE377" s="244">
        <v>46.878341006817273</v>
      </c>
      <c r="BF377" s="146">
        <v>346335.57138295658</v>
      </c>
      <c r="BG377" t="s">
        <v>388</v>
      </c>
      <c r="BH377" s="146">
        <v>7.7228247768971155E-6</v>
      </c>
      <c r="BI377" s="146">
        <v>2144041.3585609999</v>
      </c>
      <c r="BJ377">
        <f t="shared" si="25"/>
        <v>0.16153399746700969</v>
      </c>
    </row>
    <row r="378" spans="1:62" s="140" customFormat="1" x14ac:dyDescent="0.3">
      <c r="A378">
        <v>-0.1</v>
      </c>
      <c r="B378" s="146">
        <v>1000</v>
      </c>
      <c r="C378" s="146">
        <v>25</v>
      </c>
      <c r="D378" s="146">
        <v>700</v>
      </c>
      <c r="E378" s="252">
        <v>20.24161381872381</v>
      </c>
      <c r="F378" s="146">
        <v>2.0149057109538449</v>
      </c>
      <c r="G378" s="146">
        <v>21.863530676950823</v>
      </c>
      <c r="H378" s="146">
        <v>17.849707525156514</v>
      </c>
      <c r="I378" s="146"/>
      <c r="J378" s="146">
        <v>0.55146487314737069</v>
      </c>
      <c r="K378" s="146">
        <v>0.27</v>
      </c>
      <c r="L378" s="146">
        <v>120.76940477986636</v>
      </c>
      <c r="M378" s="146">
        <v>52.617375526497796</v>
      </c>
      <c r="N378" s="146">
        <v>4.0375953125147301</v>
      </c>
      <c r="O378" s="146"/>
      <c r="P378" s="146"/>
      <c r="Q378" s="146"/>
      <c r="R378" s="146"/>
      <c r="S378" s="146"/>
      <c r="T378" s="146"/>
      <c r="U378" s="146"/>
      <c r="V378" s="146"/>
      <c r="W378" s="146"/>
      <c r="X378" s="146"/>
      <c r="Y378" s="146"/>
      <c r="Z378" s="146">
        <v>0.22619952213919128</v>
      </c>
      <c r="AA378" s="146"/>
      <c r="AB378" s="146"/>
      <c r="AC378" s="146"/>
      <c r="AD378" s="146"/>
      <c r="AE378" s="146"/>
      <c r="AF378" s="146"/>
      <c r="AG378" s="146"/>
      <c r="AH378" s="146"/>
      <c r="AI378" s="146"/>
      <c r="AJ378" s="146"/>
      <c r="AK378" s="146"/>
      <c r="AL378" s="146">
        <v>2589.8688249529437</v>
      </c>
      <c r="AM378" s="146">
        <v>9.2158295049665412E-2</v>
      </c>
      <c r="AN378" s="146">
        <v>0.25765649189133544</v>
      </c>
      <c r="AO378" s="146">
        <v>621.43953497876328</v>
      </c>
      <c r="AP378" s="146">
        <v>571.07116869557819</v>
      </c>
      <c r="AQ378" t="s">
        <v>385</v>
      </c>
      <c r="AR378">
        <f t="shared" si="26"/>
        <v>14.644015877877388</v>
      </c>
      <c r="AS378">
        <f t="shared" si="27"/>
        <v>3.9965468373646496</v>
      </c>
      <c r="AT378">
        <v>0.3</v>
      </c>
      <c r="AU378">
        <v>0</v>
      </c>
      <c r="AV378">
        <v>0.4</v>
      </c>
      <c r="AW378">
        <v>3</v>
      </c>
      <c r="AX378" s="146">
        <v>0.49157073911079263</v>
      </c>
      <c r="AY378">
        <v>0.27</v>
      </c>
      <c r="AZ378" s="209">
        <v>571.07116869557819</v>
      </c>
      <c r="BA378" s="140">
        <v>0.49157073911079263</v>
      </c>
      <c r="BB378" s="253">
        <v>34.467739706048441</v>
      </c>
      <c r="BC378" s="245">
        <v>199.52503780175502</v>
      </c>
      <c r="BD378" s="210">
        <v>93308.696263486287</v>
      </c>
      <c r="BE378" s="245">
        <v>46.260563298280701</v>
      </c>
      <c r="BF378" s="140">
        <v>350839.66348458111</v>
      </c>
      <c r="BG378" t="s">
        <v>388</v>
      </c>
      <c r="BH378" s="140">
        <v>7.8831246910855925E-6</v>
      </c>
      <c r="BI378" s="140">
        <v>2133086.9626348629</v>
      </c>
      <c r="BJ378">
        <f t="shared" si="25"/>
        <v>0.16447508687185064</v>
      </c>
    </row>
    <row r="379" spans="1:62" x14ac:dyDescent="0.3">
      <c r="A379">
        <v>-0.1</v>
      </c>
      <c r="B379" s="146">
        <v>1000</v>
      </c>
      <c r="C379" s="146">
        <v>25</v>
      </c>
      <c r="D379" s="146">
        <v>800</v>
      </c>
      <c r="E379" s="252">
        <v>20.515273927471235</v>
      </c>
      <c r="F379" s="146">
        <v>1.8222211262000352</v>
      </c>
      <c r="G379" s="146">
        <v>22.036305486425032</v>
      </c>
      <c r="H379" s="146">
        <v>17.785645902344555</v>
      </c>
      <c r="I379" s="146"/>
      <c r="J379" s="146">
        <v>0.54247425009824779</v>
      </c>
      <c r="K379" s="146">
        <v>0.27</v>
      </c>
      <c r="L379" s="146">
        <v>120.30060523439909</v>
      </c>
      <c r="M379" s="146">
        <v>52.413126761875134</v>
      </c>
      <c r="N379" s="146">
        <v>4.2884334956088104</v>
      </c>
      <c r="O379" s="146"/>
      <c r="P379" s="146"/>
      <c r="Q379" s="146"/>
      <c r="R379" s="146"/>
      <c r="S379" s="146"/>
      <c r="T379" s="146"/>
      <c r="U379" s="146"/>
      <c r="V379" s="146"/>
      <c r="W379" s="146"/>
      <c r="X379" s="146"/>
      <c r="Y379" s="146"/>
      <c r="Z379" s="146">
        <v>0.24111766978580726</v>
      </c>
      <c r="AA379" s="146"/>
      <c r="AB379" s="146"/>
      <c r="AC379" s="146"/>
      <c r="AD379" s="146"/>
      <c r="AE379" s="146"/>
      <c r="AF379" s="146"/>
      <c r="AG379" s="146"/>
      <c r="AH379" s="146"/>
      <c r="AI379" s="146"/>
      <c r="AJ379" s="146"/>
      <c r="AK379" s="146"/>
      <c r="AL379" s="146">
        <v>2813.2684976875294</v>
      </c>
      <c r="AM379" s="146">
        <v>8.2691770965081846E-2</v>
      </c>
      <c r="AN379" s="146">
        <v>0.25676529496556327</v>
      </c>
      <c r="AO379" s="146">
        <v>720.10106377412615</v>
      </c>
      <c r="AP379" s="146">
        <v>669.05174988312456</v>
      </c>
      <c r="AQ379" t="s">
        <v>385</v>
      </c>
      <c r="AR379">
        <f t="shared" si="26"/>
        <v>14.644015877877388</v>
      </c>
      <c r="AS379">
        <f t="shared" si="27"/>
        <v>3.9965468373646496</v>
      </c>
      <c r="AT379">
        <v>0.3</v>
      </c>
      <c r="AU379">
        <v>0</v>
      </c>
      <c r="AV379">
        <v>0.4</v>
      </c>
      <c r="AW379">
        <v>3</v>
      </c>
      <c r="AX379" s="146">
        <v>0.48730189988287298</v>
      </c>
      <c r="AY379">
        <v>0.27</v>
      </c>
      <c r="AZ379" s="209">
        <v>669.05174988312456</v>
      </c>
      <c r="BA379">
        <v>0.48730189988287298</v>
      </c>
      <c r="BB379" s="249">
        <v>33.474144216874393</v>
      </c>
      <c r="BC379" s="243">
        <v>198.30748483509376</v>
      </c>
      <c r="BD379" s="209">
        <v>92399.677383015412</v>
      </c>
      <c r="BE379" s="243">
        <v>45.660913506417891</v>
      </c>
      <c r="BF379">
        <v>354157.76286541077</v>
      </c>
      <c r="BG379" t="s">
        <v>388</v>
      </c>
      <c r="BH379">
        <v>8.0117559673804391E-6</v>
      </c>
      <c r="BI379">
        <v>2123996.773830154</v>
      </c>
      <c r="BJ379">
        <f t="shared" si="25"/>
        <v>0.16674119623391251</v>
      </c>
    </row>
    <row r="380" spans="1:62" x14ac:dyDescent="0.3">
      <c r="A380">
        <v>-0.1</v>
      </c>
      <c r="B380" s="146">
        <v>1000</v>
      </c>
      <c r="C380" s="146">
        <v>25</v>
      </c>
      <c r="D380" s="146">
        <v>900</v>
      </c>
      <c r="E380" s="252">
        <v>20.734309071056479</v>
      </c>
      <c r="F380" s="146">
        <v>1.664831877601689</v>
      </c>
      <c r="G380" s="146">
        <v>22.172854944616816</v>
      </c>
      <c r="H380" s="146">
        <v>17.734131162962967</v>
      </c>
      <c r="I380" s="146"/>
      <c r="J380" s="146">
        <v>0.5352791072156291</v>
      </c>
      <c r="K380" s="146">
        <v>0.27</v>
      </c>
      <c r="L380" s="146">
        <v>119.92613151068184</v>
      </c>
      <c r="M380" s="146">
        <v>52.249974309633174</v>
      </c>
      <c r="N380" s="146">
        <v>4.5062564806588306</v>
      </c>
      <c r="O380" s="146"/>
      <c r="P380" s="146"/>
      <c r="Q380" s="146"/>
      <c r="R380" s="146"/>
      <c r="S380" s="146"/>
      <c r="T380" s="146"/>
      <c r="U380" s="146"/>
      <c r="V380" s="146"/>
      <c r="W380" s="146"/>
      <c r="X380" s="146"/>
      <c r="Y380" s="146"/>
      <c r="Z380" s="146">
        <v>0.25410077546228876</v>
      </c>
      <c r="AA380" s="146"/>
      <c r="AB380" s="146"/>
      <c r="AC380" s="146"/>
      <c r="AD380" s="146"/>
      <c r="AE380" s="146"/>
      <c r="AF380" s="146"/>
      <c r="AG380" s="146"/>
      <c r="AH380" s="146"/>
      <c r="AI380" s="146"/>
      <c r="AJ380" s="146"/>
      <c r="AK380" s="146"/>
      <c r="AL380" s="146">
        <v>3020.5556972371614</v>
      </c>
      <c r="AM380" s="146">
        <v>7.5084236186999512E-2</v>
      </c>
      <c r="AN380" s="146">
        <v>0.25605004249360902</v>
      </c>
      <c r="AO380" s="146">
        <v>819.02243456345445</v>
      </c>
      <c r="AP380" s="146">
        <v>767.42745690774643</v>
      </c>
      <c r="AQ380" t="s">
        <v>385</v>
      </c>
      <c r="AR380">
        <f t="shared" si="26"/>
        <v>14.644015877877388</v>
      </c>
      <c r="AS380">
        <f t="shared" si="27"/>
        <v>3.9965468373646496</v>
      </c>
      <c r="AT380">
        <v>0.3</v>
      </c>
      <c r="AU380">
        <v>0</v>
      </c>
      <c r="AV380">
        <v>0.4</v>
      </c>
      <c r="AW380">
        <v>3</v>
      </c>
      <c r="AX380" s="146">
        <v>0.48394251157077217</v>
      </c>
      <c r="AY380">
        <v>0.27</v>
      </c>
      <c r="AZ380" s="209">
        <v>767.42745690774643</v>
      </c>
      <c r="BA380">
        <v>0.48394251157077217</v>
      </c>
      <c r="BB380" s="249">
        <v>32.648628667524328</v>
      </c>
      <c r="BC380" s="243">
        <v>197.33985703687415</v>
      </c>
      <c r="BD380" s="209">
        <v>91630.379926509981</v>
      </c>
      <c r="BE380" s="243">
        <v>45.112116866921824</v>
      </c>
      <c r="BF380">
        <v>356645.50756115082</v>
      </c>
      <c r="BG380" t="s">
        <v>388</v>
      </c>
      <c r="BH380">
        <v>8.1171436001887981E-6</v>
      </c>
      <c r="BI380">
        <v>2116303.7992650997</v>
      </c>
      <c r="BJ380">
        <f t="shared" si="25"/>
        <v>0.16852283102501556</v>
      </c>
    </row>
    <row r="381" spans="1:62" x14ac:dyDescent="0.3">
      <c r="A381">
        <v>-0.1</v>
      </c>
      <c r="B381" s="146">
        <v>1000</v>
      </c>
      <c r="C381" s="146">
        <v>25</v>
      </c>
      <c r="D381" s="146">
        <v>1000</v>
      </c>
      <c r="E381" s="252">
        <v>20.91430966392517</v>
      </c>
      <c r="F381" s="146">
        <v>1.5339208456364939</v>
      </c>
      <c r="G381" s="146">
        <v>22.284219475451792</v>
      </c>
      <c r="H381" s="146">
        <v>17.691963754477843</v>
      </c>
      <c r="I381" s="146"/>
      <c r="J381" s="146">
        <v>0.52915731026117796</v>
      </c>
      <c r="K381" s="146">
        <v>0.27</v>
      </c>
      <c r="L381" s="146">
        <v>119.62103833605886</v>
      </c>
      <c r="M381" s="146">
        <v>52.117049897453029</v>
      </c>
      <c r="N381" s="146">
        <v>4.6991485517044111</v>
      </c>
      <c r="O381" s="146"/>
      <c r="P381" s="146"/>
      <c r="Q381" s="146"/>
      <c r="R381" s="146"/>
      <c r="S381" s="146"/>
      <c r="T381" s="146"/>
      <c r="U381" s="146"/>
      <c r="V381" s="146"/>
      <c r="W381" s="146"/>
      <c r="X381" s="146"/>
      <c r="Y381" s="146"/>
      <c r="Z381" s="146">
        <v>0.26560921200819521</v>
      </c>
      <c r="AA381" s="146"/>
      <c r="AB381" s="146"/>
      <c r="AC381" s="146"/>
      <c r="AD381" s="146"/>
      <c r="AE381" s="146"/>
      <c r="AF381" s="146"/>
      <c r="AG381" s="146"/>
      <c r="AH381" s="146"/>
      <c r="AI381" s="146"/>
      <c r="AJ381" s="146"/>
      <c r="AK381" s="146"/>
      <c r="AL381" s="146">
        <v>3215.6611358749878</v>
      </c>
      <c r="AM381" s="146">
        <v>6.8834398589829676E-2</v>
      </c>
      <c r="AN381" s="146">
        <v>0.25545575840015716</v>
      </c>
      <c r="AO381" s="146">
        <v>918.12942563947195</v>
      </c>
      <c r="AP381" s="146">
        <v>866.08686002278341</v>
      </c>
      <c r="AQ381" t="s">
        <v>385</v>
      </c>
      <c r="AR381">
        <f t="shared" si="26"/>
        <v>14.644015877877388</v>
      </c>
      <c r="AS381">
        <f t="shared" si="27"/>
        <v>3.9965468373646496</v>
      </c>
      <c r="AT381">
        <v>0.3</v>
      </c>
      <c r="AU381">
        <v>0</v>
      </c>
      <c r="AV381">
        <v>0.4</v>
      </c>
      <c r="AW381">
        <v>3</v>
      </c>
      <c r="AX381" s="146">
        <v>0.48102813648881815</v>
      </c>
      <c r="AY381">
        <v>0.27</v>
      </c>
      <c r="AZ381" s="209">
        <v>866.08686002278341</v>
      </c>
      <c r="BA381">
        <v>0.48102813648881815</v>
      </c>
      <c r="BB381" s="249">
        <v>31.954605672716539</v>
      </c>
      <c r="BC381" s="243">
        <v>196.55472206082356</v>
      </c>
      <c r="BD381" s="209">
        <v>90979.259312027716</v>
      </c>
      <c r="BE381" s="243">
        <v>44.625033422526315</v>
      </c>
      <c r="BF381">
        <v>358597.29892370751</v>
      </c>
      <c r="BG381" t="s">
        <v>388</v>
      </c>
      <c r="BH381">
        <v>8.2050596401450041E-6</v>
      </c>
      <c r="BI381">
        <v>2109792.5931202769</v>
      </c>
      <c r="BJ381">
        <f t="shared" si="25"/>
        <v>0.16996803386884593</v>
      </c>
    </row>
    <row r="382" spans="1:62" s="140" customFormat="1" x14ac:dyDescent="0.3">
      <c r="A382" s="140">
        <v>-0.1</v>
      </c>
      <c r="B382" s="140">
        <v>1000</v>
      </c>
      <c r="C382" s="140">
        <v>25</v>
      </c>
      <c r="D382" s="140">
        <v>1100</v>
      </c>
      <c r="E382" s="253">
        <v>21.065243787424887</v>
      </c>
      <c r="F382" s="140">
        <v>1.4232711934582585</v>
      </c>
      <c r="G382" s="140">
        <v>22.377132685436166</v>
      </c>
      <c r="H382" s="140">
        <v>17.656836208558921</v>
      </c>
      <c r="J382" s="140">
        <v>0.52372701982177139</v>
      </c>
      <c r="K382" s="140">
        <v>0.27</v>
      </c>
      <c r="L382" s="140">
        <v>119.36778638592835</v>
      </c>
      <c r="M382" s="140">
        <v>52.006711910881648</v>
      </c>
      <c r="N382" s="140">
        <v>4.8726791300031334</v>
      </c>
      <c r="Z382" s="140">
        <v>0.27596558479945382</v>
      </c>
      <c r="AL382" s="140">
        <v>3401.2967461753096</v>
      </c>
      <c r="AM382" s="140">
        <v>6.3603823307736562E-2</v>
      </c>
      <c r="AN382" s="140">
        <v>0.25495130159490137</v>
      </c>
      <c r="AO382" s="140">
        <v>1017.3754216760344</v>
      </c>
      <c r="AP382" s="140">
        <v>964.9571811737427</v>
      </c>
      <c r="AQ382" t="s">
        <v>385</v>
      </c>
      <c r="AR382">
        <f t="shared" si="26"/>
        <v>14.644015877877388</v>
      </c>
      <c r="AS382">
        <f t="shared" si="27"/>
        <v>3.9965468373646496</v>
      </c>
      <c r="AT382">
        <v>0.3</v>
      </c>
      <c r="AU382">
        <v>0</v>
      </c>
      <c r="AV382">
        <v>0.4</v>
      </c>
      <c r="AW382">
        <v>3</v>
      </c>
      <c r="AX382" s="140">
        <v>0.47834074026863227</v>
      </c>
      <c r="AY382">
        <v>0.27</v>
      </c>
      <c r="AZ382" s="209">
        <v>964.9571811737427</v>
      </c>
      <c r="BA382" s="140">
        <v>0.47834074026863227</v>
      </c>
      <c r="BB382" s="253">
        <v>31.363740739980582</v>
      </c>
      <c r="BC382" s="245">
        <v>195.90517300149861</v>
      </c>
      <c r="BD382" s="210">
        <v>90424.003450063086</v>
      </c>
      <c r="BE382" s="245">
        <v>44.196147511362305</v>
      </c>
      <c r="BF382" s="140">
        <v>360178.17325800238</v>
      </c>
      <c r="BG382" t="s">
        <v>388</v>
      </c>
      <c r="BH382" s="140">
        <v>8.2795513091547374E-6</v>
      </c>
      <c r="BI382" s="140">
        <v>2104240.0345006306</v>
      </c>
      <c r="BJ382">
        <f t="shared" si="25"/>
        <v>0.17116781705157433</v>
      </c>
    </row>
    <row r="383" spans="1:62" x14ac:dyDescent="0.3">
      <c r="A383">
        <v>-0.1</v>
      </c>
      <c r="B383" s="146">
        <v>1000</v>
      </c>
      <c r="C383" s="146">
        <v>25</v>
      </c>
      <c r="D383" s="146">
        <v>400</v>
      </c>
      <c r="E383" s="252">
        <v>18.763615462997482</v>
      </c>
      <c r="F383" s="146">
        <v>2.9681103363471113</v>
      </c>
      <c r="G383" s="146">
        <v>20.881680003300453</v>
      </c>
      <c r="H383" s="146">
        <v>18.220228978689033</v>
      </c>
      <c r="I383" s="146"/>
      <c r="J383" s="146">
        <v>0.62840188354043458</v>
      </c>
      <c r="K383" s="146">
        <v>0.27</v>
      </c>
      <c r="L383" s="146">
        <v>123.54001781283961</v>
      </c>
      <c r="M383" s="146">
        <v>53.824489088581579</v>
      </c>
      <c r="N383" s="146">
        <v>2.8417858298220757</v>
      </c>
      <c r="O383" s="146"/>
      <c r="P383" s="146"/>
      <c r="Q383" s="146"/>
      <c r="R383" s="146"/>
      <c r="S383" s="146"/>
      <c r="T383" s="146"/>
      <c r="U383" s="146"/>
      <c r="V383" s="146"/>
      <c r="W383" s="146"/>
      <c r="X383" s="146"/>
      <c r="Y383" s="146"/>
      <c r="Z383" s="146">
        <v>0.15596872208060172</v>
      </c>
      <c r="AA383" s="146"/>
      <c r="AB383" s="146"/>
      <c r="AC383" s="146"/>
      <c r="AD383" s="146"/>
      <c r="AE383" s="146"/>
      <c r="AF383" s="146"/>
      <c r="AG383" s="146"/>
      <c r="AH383" s="146"/>
      <c r="AI383" s="146"/>
      <c r="AJ383" s="146"/>
      <c r="AK383" s="146"/>
      <c r="AL383" s="146">
        <v>1702.661021667029</v>
      </c>
      <c r="AM383" s="146">
        <v>0.14213944164827672</v>
      </c>
      <c r="AN383" s="146">
        <v>0.26227687406886807</v>
      </c>
      <c r="AO383" s="146">
        <v>328.45874982454393</v>
      </c>
      <c r="AP383" s="146">
        <v>281.76810675599006</v>
      </c>
      <c r="AQ383" t="s">
        <v>385</v>
      </c>
      <c r="AR383">
        <f t="shared" si="26"/>
        <v>14.644015877877388</v>
      </c>
      <c r="AS383">
        <f t="shared" si="27"/>
        <v>3.9965468373646496</v>
      </c>
      <c r="AT383">
        <v>0.3</v>
      </c>
      <c r="AU383">
        <v>0</v>
      </c>
      <c r="AV383">
        <v>0.4</v>
      </c>
      <c r="AW383" s="146">
        <v>3</v>
      </c>
      <c r="AX383" s="146">
        <v>0.54163725212503433</v>
      </c>
      <c r="AY383">
        <v>0.27</v>
      </c>
      <c r="AZ383" s="209">
        <v>281.76810675599006</v>
      </c>
      <c r="BA383">
        <v>0.54163725212503433</v>
      </c>
      <c r="BB383" s="249">
        <v>38.815932220671961</v>
      </c>
      <c r="BC383" s="243">
        <v>206.86567280640915</v>
      </c>
      <c r="BD383" s="209">
        <v>96717.370498874778</v>
      </c>
      <c r="BE383" s="243">
        <v>46.738076045357836</v>
      </c>
      <c r="BF383">
        <v>328252.49243242515</v>
      </c>
      <c r="BG383" t="s">
        <v>389</v>
      </c>
      <c r="BH383">
        <v>7.2578166189653034E-6</v>
      </c>
      <c r="BI383">
        <v>2167173.7049887478</v>
      </c>
      <c r="BJ383">
        <f t="shared" si="25"/>
        <v>0.15146570469953605</v>
      </c>
    </row>
    <row r="384" spans="1:62" x14ac:dyDescent="0.3">
      <c r="A384">
        <v>-0.1</v>
      </c>
      <c r="B384" s="146">
        <v>1000</v>
      </c>
      <c r="C384" s="146">
        <v>25</v>
      </c>
      <c r="D384" s="146">
        <v>400</v>
      </c>
      <c r="E384" s="252">
        <v>18.14537276030639</v>
      </c>
      <c r="F384" s="146">
        <v>2.8557900000595389</v>
      </c>
      <c r="G384" s="146">
        <v>20.175890036220125</v>
      </c>
      <c r="H384" s="146">
        <v>17.618757413590487</v>
      </c>
      <c r="I384" s="146"/>
      <c r="J384" s="146">
        <v>0.63080103498458739</v>
      </c>
      <c r="K384" s="146">
        <v>0.27</v>
      </c>
      <c r="L384" s="146">
        <v>119.50498666728271</v>
      </c>
      <c r="M384" s="146">
        <v>52.066487967073378</v>
      </c>
      <c r="N384" s="146">
        <v>2.7694490975438235</v>
      </c>
      <c r="O384" s="146"/>
      <c r="P384" s="146"/>
      <c r="Q384" s="146"/>
      <c r="R384" s="146"/>
      <c r="S384" s="146"/>
      <c r="T384" s="146"/>
      <c r="U384" s="146"/>
      <c r="V384" s="146"/>
      <c r="W384" s="146"/>
      <c r="X384" s="146"/>
      <c r="Y384" s="146"/>
      <c r="Z384" s="146">
        <v>0.15718753783439735</v>
      </c>
      <c r="AA384" s="146"/>
      <c r="AB384" s="146"/>
      <c r="AC384" s="146"/>
      <c r="AD384" s="146"/>
      <c r="AE384" s="146"/>
      <c r="AF384" s="146"/>
      <c r="AG384" s="146"/>
      <c r="AH384" s="146"/>
      <c r="AI384" s="146"/>
      <c r="AJ384" s="146"/>
      <c r="AK384" s="146"/>
      <c r="AL384" s="146">
        <v>1670.6533224219365</v>
      </c>
      <c r="AM384" s="146">
        <v>0.14154468501428055</v>
      </c>
      <c r="AN384" s="146">
        <v>0.26328597617943039</v>
      </c>
      <c r="AO384" s="146">
        <v>331.08112697981204</v>
      </c>
      <c r="AP384" s="146">
        <v>285.92877365002482</v>
      </c>
      <c r="AQ384" t="s">
        <v>385</v>
      </c>
      <c r="AR384">
        <f t="shared" si="26"/>
        <v>14.644015877877388</v>
      </c>
      <c r="AS384">
        <f t="shared" si="27"/>
        <v>3.9965468373646496</v>
      </c>
      <c r="AT384">
        <v>0.3</v>
      </c>
      <c r="AU384">
        <v>0</v>
      </c>
      <c r="AV384">
        <v>0.4</v>
      </c>
      <c r="AW384" s="146">
        <v>2.5</v>
      </c>
      <c r="AX384" s="146">
        <v>0.54371551290928211</v>
      </c>
      <c r="AY384">
        <v>0.27</v>
      </c>
      <c r="AZ384" s="209">
        <v>285.92877365002482</v>
      </c>
      <c r="BA384">
        <v>0.54371551290928211</v>
      </c>
      <c r="BB384" s="249">
        <v>37.464184972505365</v>
      </c>
      <c r="BC384" s="243">
        <v>196.25682465665818</v>
      </c>
      <c r="BD384" s="209">
        <v>91011.857560172313</v>
      </c>
      <c r="BE384" s="243">
        <v>44.792085696926549</v>
      </c>
      <c r="BF384">
        <v>374870.50336742355</v>
      </c>
      <c r="BG384" t="s">
        <v>389</v>
      </c>
      <c r="BH384">
        <v>7.0315944340177823E-6</v>
      </c>
      <c r="BI384">
        <v>2110118.575601723</v>
      </c>
      <c r="BJ384">
        <f t="shared" si="25"/>
        <v>0.17765376206904637</v>
      </c>
    </row>
    <row r="385" spans="1:62" x14ac:dyDescent="0.3">
      <c r="A385">
        <v>-0.1</v>
      </c>
      <c r="B385" s="146">
        <v>1000</v>
      </c>
      <c r="C385" s="146">
        <v>25</v>
      </c>
      <c r="D385" s="146">
        <v>400</v>
      </c>
      <c r="E385" s="252">
        <v>15.930242509965296</v>
      </c>
      <c r="F385" s="146">
        <v>2.4870632588506307</v>
      </c>
      <c r="G385" s="146">
        <v>17.673812091540015</v>
      </c>
      <c r="H385" s="146">
        <v>15.385616396157159</v>
      </c>
      <c r="I385" s="146"/>
      <c r="J385" s="146">
        <v>0.62770430058074167</v>
      </c>
      <c r="K385" s="146">
        <v>0.27</v>
      </c>
      <c r="L385" s="146">
        <v>104.49241852679422</v>
      </c>
      <c r="M385" s="146">
        <v>45.52574251167384</v>
      </c>
      <c r="N385" s="146">
        <v>2.5331404367630022</v>
      </c>
      <c r="O385" s="146"/>
      <c r="P385" s="146"/>
      <c r="Q385" s="146"/>
      <c r="R385" s="146"/>
      <c r="S385" s="146"/>
      <c r="T385" s="146"/>
      <c r="U385" s="146"/>
      <c r="V385" s="146"/>
      <c r="W385" s="146"/>
      <c r="X385" s="146"/>
      <c r="Y385" s="146"/>
      <c r="Z385" s="146">
        <v>0.16464341574223185</v>
      </c>
      <c r="AA385" s="146"/>
      <c r="AB385" s="146"/>
      <c r="AC385" s="146"/>
      <c r="AD385" s="146"/>
      <c r="AE385" s="146"/>
      <c r="AF385" s="146"/>
      <c r="AG385" s="146"/>
      <c r="AH385" s="146"/>
      <c r="AI385" s="146"/>
      <c r="AJ385" s="146"/>
      <c r="AK385" s="146"/>
      <c r="AL385" s="146">
        <v>1566.5742720207695</v>
      </c>
      <c r="AM385" s="146">
        <v>0.14072025016273212</v>
      </c>
      <c r="AN385" s="146">
        <v>0.2639388241903024</v>
      </c>
      <c r="AO385" s="146">
        <v>339.64418626613474</v>
      </c>
      <c r="AP385" s="146">
        <v>300.0040536392695</v>
      </c>
      <c r="AQ385" t="s">
        <v>385</v>
      </c>
      <c r="AR385">
        <f t="shared" si="26"/>
        <v>14.644015877877388</v>
      </c>
      <c r="AS385">
        <f t="shared" si="27"/>
        <v>3.9965468373646496</v>
      </c>
      <c r="AT385">
        <v>0.3</v>
      </c>
      <c r="AU385">
        <v>0</v>
      </c>
      <c r="AV385">
        <v>0.4</v>
      </c>
      <c r="AW385" s="146">
        <v>1.5</v>
      </c>
      <c r="AX385" s="146">
        <v>0.53948836155082924</v>
      </c>
      <c r="AY385">
        <v>0.27</v>
      </c>
      <c r="AZ385" s="209">
        <v>300.0040536392695</v>
      </c>
      <c r="BA385">
        <v>0.53948836155082924</v>
      </c>
      <c r="BB385" s="249">
        <v>32.917423428531649</v>
      </c>
      <c r="BC385" s="243">
        <v>160.82340531999077</v>
      </c>
      <c r="BD385" s="209">
        <v>72812.461412465491</v>
      </c>
      <c r="BE385" s="243">
        <v>39.191775539770177</v>
      </c>
      <c r="BF385">
        <v>500818.06672186294</v>
      </c>
      <c r="BG385" t="s">
        <v>389</v>
      </c>
      <c r="BH385">
        <v>6.2622881124108358E-6</v>
      </c>
      <c r="BI385">
        <v>1928124.6141246548</v>
      </c>
      <c r="BJ385">
        <f t="shared" si="25"/>
        <v>0.25974361981226418</v>
      </c>
    </row>
    <row r="386" spans="1:62" x14ac:dyDescent="0.3">
      <c r="A386">
        <v>-0.1</v>
      </c>
      <c r="B386" s="146">
        <v>1000</v>
      </c>
      <c r="C386" s="146">
        <v>25</v>
      </c>
      <c r="D386" s="146">
        <v>400</v>
      </c>
      <c r="E386" s="252">
        <v>13.820209020615714</v>
      </c>
      <c r="F386" s="146">
        <v>2.1479616887925066</v>
      </c>
      <c r="G386" s="146">
        <v>15.309211367912443</v>
      </c>
      <c r="H386" s="146">
        <v>13.292594126964881</v>
      </c>
      <c r="I386" s="146"/>
      <c r="J386" s="146">
        <v>0.62338760828692352</v>
      </c>
      <c r="K386" s="146">
        <v>0.27</v>
      </c>
      <c r="L386" s="146">
        <v>90.377042733749931</v>
      </c>
      <c r="M386" s="146">
        <v>39.375889987733373</v>
      </c>
      <c r="N386" s="146">
        <v>2.3086007560283335</v>
      </c>
      <c r="O386" s="146"/>
      <c r="P386" s="146"/>
      <c r="Q386" s="146"/>
      <c r="R386" s="146"/>
      <c r="S386" s="146"/>
      <c r="T386" s="146"/>
      <c r="U386" s="146"/>
      <c r="V386" s="146"/>
      <c r="W386" s="146"/>
      <c r="X386" s="146"/>
      <c r="Y386" s="146"/>
      <c r="Z386" s="146">
        <v>0.17367571250409192</v>
      </c>
      <c r="AA386" s="146"/>
      <c r="AB386" s="146"/>
      <c r="AC386" s="146"/>
      <c r="AD386" s="146"/>
      <c r="AE386" s="146"/>
      <c r="AF386" s="146"/>
      <c r="AG386" s="146"/>
      <c r="AH386" s="146"/>
      <c r="AI386" s="146"/>
      <c r="AJ386" s="146"/>
      <c r="AK386" s="146"/>
      <c r="AL386" s="146">
        <v>1467.6843810308951</v>
      </c>
      <c r="AM386" s="146">
        <v>0.14030518210066373</v>
      </c>
      <c r="AN386" s="146">
        <v>0.26462142397234517</v>
      </c>
      <c r="AO386" s="146">
        <v>347.77365788017215</v>
      </c>
      <c r="AP386" s="146">
        <v>313.38400301672925</v>
      </c>
      <c r="AQ386" t="s">
        <v>385</v>
      </c>
      <c r="AR386">
        <f t="shared" si="26"/>
        <v>14.644015877877388</v>
      </c>
      <c r="AS386">
        <f t="shared" si="27"/>
        <v>3.9965468373646496</v>
      </c>
      <c r="AT386">
        <v>0.3</v>
      </c>
      <c r="AU386">
        <v>0</v>
      </c>
      <c r="AV386">
        <v>0.4</v>
      </c>
      <c r="AW386" s="146">
        <v>1</v>
      </c>
      <c r="AX386" s="146">
        <v>0.53394134054454045</v>
      </c>
      <c r="AY386">
        <v>0.27</v>
      </c>
      <c r="AZ386" s="209">
        <v>313.38400301672925</v>
      </c>
      <c r="BA386">
        <v>0.53394134054454045</v>
      </c>
      <c r="BB386" s="249">
        <v>28.64870486693243</v>
      </c>
      <c r="BC386" s="243">
        <v>132.03170709038</v>
      </c>
      <c r="BD386" s="209">
        <v>58195.230904455115</v>
      </c>
      <c r="BE386" s="243">
        <v>33.976894069810754</v>
      </c>
      <c r="BF386">
        <v>575409.88631144539</v>
      </c>
      <c r="BG386" t="s">
        <v>389</v>
      </c>
      <c r="BH386">
        <v>5.5486645173578018E-6</v>
      </c>
      <c r="BI386">
        <v>1781952.3090445511</v>
      </c>
      <c r="BJ386">
        <f t="shared" si="25"/>
        <v>0.32290981267617047</v>
      </c>
    </row>
    <row r="387" spans="1:62" x14ac:dyDescent="0.3">
      <c r="A387">
        <v>-0.1</v>
      </c>
      <c r="B387" s="146">
        <v>1000</v>
      </c>
      <c r="C387" s="146">
        <v>25</v>
      </c>
      <c r="D387" s="146">
        <v>400</v>
      </c>
      <c r="E387" s="252">
        <v>12.635987731144017</v>
      </c>
      <c r="F387" s="146">
        <v>1.9643661364554799</v>
      </c>
      <c r="G387" s="146">
        <v>13.989581685896269</v>
      </c>
      <c r="H387" s="146">
        <v>12.131965513317004</v>
      </c>
      <c r="I387" s="146"/>
      <c r="J387" s="146">
        <v>0.6218517056986107</v>
      </c>
      <c r="K387" s="146">
        <v>0.27</v>
      </c>
      <c r="L387" s="146">
        <v>82.533027475534382</v>
      </c>
      <c r="M387" s="146">
        <v>35.958372966519136</v>
      </c>
      <c r="N387" s="146">
        <v>2.1707525227726521</v>
      </c>
      <c r="O387" s="146"/>
      <c r="P387" s="146"/>
      <c r="Q387" s="146"/>
      <c r="R387" s="146"/>
      <c r="S387" s="146"/>
      <c r="T387" s="146"/>
      <c r="U387" s="146"/>
      <c r="V387" s="146"/>
      <c r="W387" s="146"/>
      <c r="X387" s="146"/>
      <c r="Y387" s="146"/>
      <c r="Z387" s="146">
        <v>0.17892834597904705</v>
      </c>
      <c r="AA387" s="146"/>
      <c r="AB387" s="146"/>
      <c r="AC387" s="146"/>
      <c r="AD387" s="146"/>
      <c r="AE387" s="146"/>
      <c r="AF387" s="146"/>
      <c r="AG387" s="146"/>
      <c r="AH387" s="146"/>
      <c r="AI387" s="146"/>
      <c r="AJ387" s="146"/>
      <c r="AK387" s="146"/>
      <c r="AL387" s="146">
        <v>1406.2327224474741</v>
      </c>
      <c r="AM387" s="146">
        <v>0.14041635987128009</v>
      </c>
      <c r="AN387" s="146">
        <v>0.26490153035810587</v>
      </c>
      <c r="AO387" s="146">
        <v>352.29930263497488</v>
      </c>
      <c r="AP387" s="146">
        <v>320.85646106114785</v>
      </c>
      <c r="AQ387" t="s">
        <v>385</v>
      </c>
      <c r="AR387">
        <f t="shared" si="26"/>
        <v>14.644015877877388</v>
      </c>
      <c r="AS387">
        <f t="shared" si="27"/>
        <v>3.9965468373646496</v>
      </c>
      <c r="AT387">
        <v>0.3</v>
      </c>
      <c r="AU387">
        <v>0</v>
      </c>
      <c r="AV387">
        <v>0.4</v>
      </c>
      <c r="AW387" s="146">
        <v>0.8</v>
      </c>
      <c r="AX387" s="146">
        <v>0.53139980775776108</v>
      </c>
      <c r="AY387">
        <v>0.27</v>
      </c>
      <c r="AZ387" s="209">
        <v>320.85646106114785</v>
      </c>
      <c r="BA387">
        <v>0.53139980775776108</v>
      </c>
      <c r="BB387" s="249">
        <v>26.279165784129702</v>
      </c>
      <c r="BC387" s="243">
        <v>117.48416210638395</v>
      </c>
      <c r="BD387" s="209">
        <v>50927.31395201241</v>
      </c>
      <c r="BE387" s="243">
        <v>31.080192503420964</v>
      </c>
      <c r="BF387">
        <v>604917.81969250785</v>
      </c>
      <c r="BG387" t="s">
        <v>389</v>
      </c>
      <c r="BH387">
        <v>5.1382339514557615E-6</v>
      </c>
      <c r="BI387">
        <v>1709273.1395201241</v>
      </c>
      <c r="BJ387">
        <f t="shared" si="25"/>
        <v>0.35390354280202263</v>
      </c>
    </row>
    <row r="388" spans="1:62" x14ac:dyDescent="0.3">
      <c r="A388">
        <v>-0.1</v>
      </c>
      <c r="B388" s="146">
        <v>1000</v>
      </c>
      <c r="C388" s="146">
        <v>25</v>
      </c>
      <c r="D388" s="146">
        <v>400</v>
      </c>
      <c r="E388" s="252">
        <v>11.162514920306302</v>
      </c>
      <c r="F388" s="146">
        <v>1.7420951408867302</v>
      </c>
      <c r="G388" s="146">
        <v>12.353998709113277</v>
      </c>
      <c r="H388" s="146">
        <v>10.697236656996825</v>
      </c>
      <c r="I388" s="146"/>
      <c r="J388" s="146">
        <v>0.62047663549088772</v>
      </c>
      <c r="K388" s="146">
        <v>0.27</v>
      </c>
      <c r="L388" s="146">
        <v>72.821532070101853</v>
      </c>
      <c r="M388" s="146">
        <v>31.727223516019478</v>
      </c>
      <c r="N388" s="146">
        <v>1.9878917712085666</v>
      </c>
      <c r="O388" s="146"/>
      <c r="P388" s="146"/>
      <c r="Q388" s="146"/>
      <c r="R388" s="146"/>
      <c r="S388" s="146"/>
      <c r="T388" s="146"/>
      <c r="U388" s="146"/>
      <c r="V388" s="146"/>
      <c r="W388" s="146"/>
      <c r="X388" s="146"/>
      <c r="Y388" s="146"/>
      <c r="Z388" s="146">
        <v>0.18583227004782873</v>
      </c>
      <c r="AA388" s="146"/>
      <c r="AB388" s="146"/>
      <c r="AC388" s="146"/>
      <c r="AD388" s="146"/>
      <c r="AE388" s="146"/>
      <c r="AF388" s="146"/>
      <c r="AG388" s="146"/>
      <c r="AH388" s="146"/>
      <c r="AI388" s="146"/>
      <c r="AJ388" s="146"/>
      <c r="AK388" s="146"/>
      <c r="AL388" s="146">
        <v>1324.0470371008316</v>
      </c>
      <c r="AM388" s="146">
        <v>0.14101467726410108</v>
      </c>
      <c r="AN388" s="146">
        <v>0.26500104029369986</v>
      </c>
      <c r="AO388" s="146">
        <v>357.87746754527859</v>
      </c>
      <c r="AP388" s="146">
        <v>330.10115149654683</v>
      </c>
      <c r="AQ388" t="s">
        <v>385</v>
      </c>
      <c r="AR388">
        <f t="shared" si="26"/>
        <v>14.644015877877388</v>
      </c>
      <c r="AS388">
        <f t="shared" si="27"/>
        <v>3.9965468373646496</v>
      </c>
      <c r="AT388">
        <v>0.3</v>
      </c>
      <c r="AU388">
        <v>0</v>
      </c>
      <c r="AV388">
        <v>0.4</v>
      </c>
      <c r="AW388" s="146">
        <v>0.6</v>
      </c>
      <c r="AX388" s="146">
        <v>0.52842956507148509</v>
      </c>
      <c r="AY388">
        <v>0.27</v>
      </c>
      <c r="AZ388" s="209">
        <v>330.10115149654683</v>
      </c>
      <c r="BA388">
        <v>0.52842956507148509</v>
      </c>
      <c r="BB388" s="249">
        <v>23.356104252534571</v>
      </c>
      <c r="BC388" s="243">
        <v>100.63932792937305</v>
      </c>
      <c r="BD388" s="209">
        <v>42656.755787554626</v>
      </c>
      <c r="BE388" s="243">
        <v>27.53515941607106</v>
      </c>
      <c r="BF388">
        <v>633066.44167435134</v>
      </c>
      <c r="BG388" t="s">
        <v>389</v>
      </c>
      <c r="BH388">
        <v>4.6092230495541526E-6</v>
      </c>
      <c r="BI388">
        <v>1626567.5578755462</v>
      </c>
      <c r="BJ388">
        <f t="shared" ref="BJ388:BJ451" si="28">BF388/BI388</f>
        <v>0.38920390278851807</v>
      </c>
    </row>
    <row r="389" spans="1:62" x14ac:dyDescent="0.3">
      <c r="A389">
        <v>-0.1</v>
      </c>
      <c r="B389" s="146">
        <v>1000</v>
      </c>
      <c r="C389" s="146">
        <v>25</v>
      </c>
      <c r="D389" s="146">
        <v>400</v>
      </c>
      <c r="E389" s="252">
        <v>9.2318071563564317</v>
      </c>
      <c r="F389" s="146">
        <v>1.4564713832291449</v>
      </c>
      <c r="G389" s="146">
        <v>10.218220821027014</v>
      </c>
      <c r="H389" s="146">
        <v>8.8376396679684106</v>
      </c>
      <c r="I389" s="146"/>
      <c r="J389" s="146">
        <v>0.61927753768506733</v>
      </c>
      <c r="K389" s="146">
        <v>0.27</v>
      </c>
      <c r="L389" s="146">
        <v>60.211341921127513</v>
      </c>
      <c r="M389" s="146">
        <v>26.233157268541031</v>
      </c>
      <c r="N389" s="146">
        <v>1.7362036909488667</v>
      </c>
      <c r="O389" s="146"/>
      <c r="P389" s="146"/>
      <c r="Q389" s="146"/>
      <c r="R389" s="146"/>
      <c r="S389" s="146"/>
      <c r="T389" s="146"/>
      <c r="U389" s="146"/>
      <c r="V389" s="146"/>
      <c r="W389" s="146"/>
      <c r="X389" s="146"/>
      <c r="Y389" s="146"/>
      <c r="Z389" s="146">
        <v>0.19645558725840015</v>
      </c>
      <c r="AA389" s="146"/>
      <c r="AB389" s="146"/>
      <c r="AC389" s="146"/>
      <c r="AD389" s="146"/>
      <c r="AE389" s="146"/>
      <c r="AF389" s="146"/>
      <c r="AG389" s="146"/>
      <c r="AH389" s="146"/>
      <c r="AI389" s="146"/>
      <c r="AJ389" s="146"/>
      <c r="AK389" s="146"/>
      <c r="AL389" s="146">
        <v>1210.3206117531938</v>
      </c>
      <c r="AM389" s="146">
        <v>0.1425366909503486</v>
      </c>
      <c r="AN389" s="146">
        <v>0.26521164607788356</v>
      </c>
      <c r="AO389" s="146">
        <v>365.19079273899848</v>
      </c>
      <c r="AP389" s="146">
        <v>342.21876627875992</v>
      </c>
      <c r="AQ389" t="s">
        <v>385</v>
      </c>
      <c r="AR389">
        <f t="shared" si="26"/>
        <v>14.644015877877388</v>
      </c>
      <c r="AS389">
        <f t="shared" si="27"/>
        <v>3.9965468373646496</v>
      </c>
      <c r="AT389">
        <v>0.3</v>
      </c>
      <c r="AU389">
        <v>0</v>
      </c>
      <c r="AV389">
        <v>0.4</v>
      </c>
      <c r="AW389" s="146">
        <v>0.4</v>
      </c>
      <c r="AX389" s="146">
        <v>0.52470673816324931</v>
      </c>
      <c r="AY389">
        <v>0.27</v>
      </c>
      <c r="AZ389" s="209">
        <v>342.21876627875992</v>
      </c>
      <c r="BA389">
        <v>0.52470673816324931</v>
      </c>
      <c r="BB389" s="249">
        <v>19.537689366394634</v>
      </c>
      <c r="BC389" s="243">
        <v>80.370101677539566</v>
      </c>
      <c r="BD389" s="209">
        <v>32982.131111569237</v>
      </c>
      <c r="BE389" s="243">
        <v>22.901087544864748</v>
      </c>
      <c r="BF389">
        <v>653721.58982481307</v>
      </c>
      <c r="BG389" t="s">
        <v>389</v>
      </c>
      <c r="BH389">
        <v>3.8881894636738714E-6</v>
      </c>
      <c r="BI389">
        <v>1529821.3111156924</v>
      </c>
      <c r="BJ389">
        <f t="shared" si="28"/>
        <v>0.42731891958548845</v>
      </c>
    </row>
    <row r="390" spans="1:62" x14ac:dyDescent="0.3">
      <c r="A390">
        <v>-0.1</v>
      </c>
      <c r="B390" s="146">
        <v>1000</v>
      </c>
      <c r="C390" s="146">
        <v>25</v>
      </c>
      <c r="D390" s="146">
        <v>400</v>
      </c>
      <c r="E390" s="252">
        <v>8.007675137851578</v>
      </c>
      <c r="F390" s="146">
        <v>1.2791012515732012</v>
      </c>
      <c r="G390" s="146">
        <v>8.8681291708105245</v>
      </c>
      <c r="H390" s="146">
        <v>7.6650365238806302</v>
      </c>
      <c r="I390" s="146"/>
      <c r="J390" s="146">
        <v>0.61905393416442489</v>
      </c>
      <c r="K390" s="146">
        <v>0.27</v>
      </c>
      <c r="L390" s="146">
        <v>52.247664128827331</v>
      </c>
      <c r="M390" s="146">
        <v>22.763505118368755</v>
      </c>
      <c r="N390" s="146">
        <v>1.5644693772755796</v>
      </c>
      <c r="O390" s="146"/>
      <c r="P390" s="146"/>
      <c r="Q390" s="146"/>
      <c r="R390" s="146"/>
      <c r="S390" s="146"/>
      <c r="T390" s="146"/>
      <c r="U390" s="146"/>
      <c r="V390" s="146"/>
      <c r="W390" s="146"/>
      <c r="X390" s="146"/>
      <c r="Y390" s="146"/>
      <c r="Z390" s="146">
        <v>0.20410462134152035</v>
      </c>
      <c r="AA390" s="146"/>
      <c r="AB390" s="146"/>
      <c r="AC390" s="146"/>
      <c r="AD390" s="146"/>
      <c r="AE390" s="146"/>
      <c r="AF390" s="146"/>
      <c r="AG390" s="146"/>
      <c r="AH390" s="146"/>
      <c r="AI390" s="146"/>
      <c r="AJ390" s="146"/>
      <c r="AK390" s="146"/>
      <c r="AL390" s="146">
        <v>1132.096478032626</v>
      </c>
      <c r="AM390" s="146">
        <v>0.14423574881874376</v>
      </c>
      <c r="AN390" s="146">
        <v>0.26504731260503639</v>
      </c>
      <c r="AO390" s="146">
        <v>369.78775200869774</v>
      </c>
      <c r="AP390" s="146">
        <v>349.86178939483682</v>
      </c>
      <c r="AQ390" t="s">
        <v>385</v>
      </c>
      <c r="AR390">
        <f t="shared" si="26"/>
        <v>14.644015877877388</v>
      </c>
      <c r="AS390">
        <f t="shared" si="27"/>
        <v>3.9965468373646496</v>
      </c>
      <c r="AT390">
        <v>0.3</v>
      </c>
      <c r="AU390">
        <v>0</v>
      </c>
      <c r="AV390">
        <v>0.4</v>
      </c>
      <c r="AW390" s="146">
        <v>0.3</v>
      </c>
      <c r="AX390" s="146">
        <v>0.52250293989276619</v>
      </c>
      <c r="AY390">
        <v>0.27</v>
      </c>
      <c r="AZ390" s="209">
        <v>349.86178939483682</v>
      </c>
      <c r="BA390">
        <v>0.52250293989276619</v>
      </c>
      <c r="BB390" s="249">
        <v>17.12488390594255</v>
      </c>
      <c r="BC390" s="243">
        <v>68.352854058043917</v>
      </c>
      <c r="BD390" s="209">
        <v>27438.717723056492</v>
      </c>
      <c r="BE390" s="243">
        <v>20.00850881089459</v>
      </c>
      <c r="BF390">
        <v>659358.83066214551</v>
      </c>
      <c r="BG390" t="s">
        <v>389</v>
      </c>
      <c r="BH390">
        <v>3.408664912190625E-6</v>
      </c>
      <c r="BI390">
        <v>1474387.1772305649</v>
      </c>
      <c r="BJ390">
        <f t="shared" si="28"/>
        <v>0.44720873922727755</v>
      </c>
    </row>
    <row r="391" spans="1:62" x14ac:dyDescent="0.3">
      <c r="A391">
        <v>-0.1</v>
      </c>
      <c r="B391" s="146">
        <v>1000</v>
      </c>
      <c r="C391" s="146">
        <v>25</v>
      </c>
      <c r="D391" s="146">
        <v>400</v>
      </c>
      <c r="E391" s="252">
        <v>6.4805470899746052</v>
      </c>
      <c r="F391" s="146">
        <v>1.0592526145616838</v>
      </c>
      <c r="G391" s="146">
        <v>7.1865350221472779</v>
      </c>
      <c r="H391" s="146">
        <v>6.2118841125927968</v>
      </c>
      <c r="I391" s="146"/>
      <c r="J391" s="146">
        <v>0.62030306464037133</v>
      </c>
      <c r="K391" s="146">
        <v>0.27</v>
      </c>
      <c r="L391" s="146">
        <v>42.366654022888653</v>
      </c>
      <c r="M391" s="146">
        <v>18.458500715366426</v>
      </c>
      <c r="N391" s="146">
        <v>1.3354070412369081</v>
      </c>
      <c r="O391" s="146"/>
      <c r="P391" s="146"/>
      <c r="Q391" s="146"/>
      <c r="R391" s="146"/>
      <c r="S391" s="146"/>
      <c r="T391" s="146"/>
      <c r="U391" s="146"/>
      <c r="V391" s="146"/>
      <c r="W391" s="146"/>
      <c r="X391" s="146"/>
      <c r="Y391" s="146"/>
      <c r="Z391" s="146">
        <v>0.21497616778293674</v>
      </c>
      <c r="AA391" s="146"/>
      <c r="AB391" s="146"/>
      <c r="AC391" s="146"/>
      <c r="AD391" s="146"/>
      <c r="AE391" s="146"/>
      <c r="AF391" s="146"/>
      <c r="AG391" s="146"/>
      <c r="AH391" s="146"/>
      <c r="AI391" s="146"/>
      <c r="AJ391" s="146"/>
      <c r="AK391" s="146"/>
      <c r="AL391" s="146">
        <v>1027.1035545899135</v>
      </c>
      <c r="AM391" s="146">
        <v>0.1473940656098254</v>
      </c>
      <c r="AN391" s="146">
        <v>0.26479597840501135</v>
      </c>
      <c r="AO391" s="146">
        <v>375.52626316679755</v>
      </c>
      <c r="AP391" s="146">
        <v>359.40003397145995</v>
      </c>
      <c r="AQ391" t="s">
        <v>385</v>
      </c>
      <c r="AR391">
        <f t="shared" si="26"/>
        <v>14.644015877877388</v>
      </c>
      <c r="AS391">
        <f t="shared" si="27"/>
        <v>3.9965468373646496</v>
      </c>
      <c r="AT391">
        <v>0.3</v>
      </c>
      <c r="AU391">
        <v>0</v>
      </c>
      <c r="AV391">
        <v>0.4</v>
      </c>
      <c r="AW391" s="146">
        <v>0.2</v>
      </c>
      <c r="AX391" s="146">
        <v>0.52087457460120334</v>
      </c>
      <c r="AY391">
        <v>0.27</v>
      </c>
      <c r="AZ391" s="209">
        <v>359.40003397145995</v>
      </c>
      <c r="BA391">
        <v>0.52087457460120334</v>
      </c>
      <c r="BB391" s="249">
        <v>14.103150885215335</v>
      </c>
      <c r="BC391" s="243">
        <v>54.15585486828531</v>
      </c>
      <c r="BD391" s="209">
        <v>21106.12309818748</v>
      </c>
      <c r="BE391" s="243">
        <v>16.388795088446962</v>
      </c>
      <c r="BF391">
        <v>653957.61736705678</v>
      </c>
      <c r="BG391" t="s">
        <v>389</v>
      </c>
      <c r="BH391">
        <v>2.7904651347246097E-6</v>
      </c>
      <c r="BI391">
        <v>1411061.2309818747</v>
      </c>
      <c r="BJ391">
        <f t="shared" si="28"/>
        <v>0.46345091411235645</v>
      </c>
    </row>
    <row r="392" spans="1:62" s="140" customFormat="1" x14ac:dyDescent="0.3">
      <c r="A392" s="140">
        <v>-0.1</v>
      </c>
      <c r="B392" s="140">
        <v>1000</v>
      </c>
      <c r="C392" s="140">
        <v>25</v>
      </c>
      <c r="D392" s="140">
        <v>400</v>
      </c>
      <c r="E392" s="253">
        <v>4.407362017924318</v>
      </c>
      <c r="F392" s="140">
        <v>0.75777400750605506</v>
      </c>
      <c r="G392" s="140">
        <v>4.9049494355511074</v>
      </c>
      <c r="H392" s="140">
        <v>4.2503565292216221</v>
      </c>
      <c r="J392" s="140">
        <v>0.62343968216230095</v>
      </c>
      <c r="K392" s="140">
        <v>0.27</v>
      </c>
      <c r="L392" s="140">
        <v>29.009506273046874</v>
      </c>
      <c r="M392" s="140">
        <v>12.638996509003825</v>
      </c>
      <c r="N392" s="140">
        <v>1.0000416388141433</v>
      </c>
      <c r="Z392" s="140">
        <v>0.23528417720696088</v>
      </c>
      <c r="AL392" s="140">
        <v>872.39672832374106</v>
      </c>
      <c r="AM392" s="140">
        <v>0.15449170627809206</v>
      </c>
      <c r="AN392" s="140">
        <v>0.26459549178640912</v>
      </c>
      <c r="AO392" s="140">
        <v>383.34301923223205</v>
      </c>
      <c r="AP392" s="140">
        <v>372.37590891666974</v>
      </c>
      <c r="AQ392" t="s">
        <v>385</v>
      </c>
      <c r="AR392">
        <f t="shared" si="26"/>
        <v>14.644015877877388</v>
      </c>
      <c r="AS392">
        <f t="shared" si="27"/>
        <v>3.9965468373646496</v>
      </c>
      <c r="AT392">
        <v>0.3</v>
      </c>
      <c r="AU392">
        <v>0</v>
      </c>
      <c r="AV392">
        <v>0.4</v>
      </c>
      <c r="AW392" s="146">
        <v>0.1</v>
      </c>
      <c r="AX392" s="140">
        <v>0.5199659325667646</v>
      </c>
      <c r="AY392">
        <v>0.27</v>
      </c>
      <c r="AZ392" s="209">
        <v>372.37590891666974</v>
      </c>
      <c r="BA392" s="140">
        <v>0.5199659325667646</v>
      </c>
      <c r="BB392" s="253">
        <v>9.9396008740585966</v>
      </c>
      <c r="BC392" s="245">
        <v>36.035243548989769</v>
      </c>
      <c r="BD392" s="210">
        <v>13442.209849250057</v>
      </c>
      <c r="BE392" s="245">
        <v>11.444922000514755</v>
      </c>
      <c r="BF392" s="140">
        <v>620572.65984721412</v>
      </c>
      <c r="BG392" t="s">
        <v>389</v>
      </c>
      <c r="BH392" s="140">
        <v>1.90627748527877E-6</v>
      </c>
      <c r="BI392" s="140">
        <v>1334422.0984925006</v>
      </c>
      <c r="BJ392">
        <f t="shared" si="28"/>
        <v>0.46504974741371291</v>
      </c>
    </row>
    <row r="393" spans="1:62" x14ac:dyDescent="0.3">
      <c r="A393">
        <v>-0.1</v>
      </c>
      <c r="B393" s="146">
        <v>1000</v>
      </c>
      <c r="C393" s="146">
        <v>25</v>
      </c>
      <c r="D393" s="146">
        <v>400</v>
      </c>
      <c r="E393" s="252">
        <v>18.762760730651756</v>
      </c>
      <c r="F393" s="146">
        <v>2.9670868254584226</v>
      </c>
      <c r="G393" s="146">
        <v>20.880229799386228</v>
      </c>
      <c r="H393" s="146">
        <v>18.21707333406809</v>
      </c>
      <c r="I393" s="146"/>
      <c r="J393" s="146">
        <v>0.62762646028557267</v>
      </c>
      <c r="K393" s="146">
        <v>0.27</v>
      </c>
      <c r="L393" s="146">
        <v>123.51888354359326</v>
      </c>
      <c r="M393" s="146">
        <v>53.815281211938974</v>
      </c>
      <c r="N393" s="146">
        <v>2.8474443904319351</v>
      </c>
      <c r="O393" s="146"/>
      <c r="P393" s="146"/>
      <c r="Q393" s="146"/>
      <c r="R393" s="146"/>
      <c r="S393" s="146"/>
      <c r="T393" s="146"/>
      <c r="U393" s="146"/>
      <c r="V393" s="146"/>
      <c r="W393" s="146"/>
      <c r="X393" s="146"/>
      <c r="Y393" s="146"/>
      <c r="Z393" s="146">
        <v>0.1563063582286226</v>
      </c>
      <c r="AA393" s="146"/>
      <c r="AB393" s="146"/>
      <c r="AC393" s="146"/>
      <c r="AD393" s="146"/>
      <c r="AE393" s="146"/>
      <c r="AF393" s="146"/>
      <c r="AG393" s="146"/>
      <c r="AH393" s="146"/>
      <c r="AI393" s="146"/>
      <c r="AJ393" s="146"/>
      <c r="AK393" s="146"/>
      <c r="AL393" s="146">
        <v>1705.5002377836518</v>
      </c>
      <c r="AM393" s="146">
        <v>0.14210029554107875</v>
      </c>
      <c r="AN393" s="146">
        <v>0.26229327506131866</v>
      </c>
      <c r="AO393" s="146">
        <v>328.46648193223632</v>
      </c>
      <c r="AP393" s="146">
        <v>281.77804256768553</v>
      </c>
      <c r="AQ393" t="s">
        <v>385</v>
      </c>
      <c r="AR393">
        <f t="shared" si="26"/>
        <v>14.644015877877388</v>
      </c>
      <c r="AS393">
        <f t="shared" si="27"/>
        <v>3.9965468373646496</v>
      </c>
      <c r="AT393">
        <v>0.3</v>
      </c>
      <c r="AU393">
        <v>0</v>
      </c>
      <c r="AV393">
        <v>0.4</v>
      </c>
      <c r="AW393" s="146">
        <v>3</v>
      </c>
      <c r="AX393" s="146">
        <v>0.54095784383766043</v>
      </c>
      <c r="AY393">
        <v>0.27</v>
      </c>
      <c r="AZ393" s="209">
        <v>281.77804256768553</v>
      </c>
      <c r="BA393">
        <v>0.54095784383766043</v>
      </c>
      <c r="BB393" s="249">
        <v>38.815258937315839</v>
      </c>
      <c r="BC393" s="243">
        <v>206.8087146036649</v>
      </c>
      <c r="BD393" s="209">
        <v>96709.012646921561</v>
      </c>
      <c r="BE393" s="243">
        <v>46.76154779843867</v>
      </c>
      <c r="BF393">
        <v>328215.53764281783</v>
      </c>
      <c r="BG393" t="s">
        <v>390</v>
      </c>
      <c r="BH393">
        <v>7.2578412366062133E-6</v>
      </c>
      <c r="BI393">
        <v>2167090.1264692154</v>
      </c>
      <c r="BJ393">
        <f t="shared" si="28"/>
        <v>0.15145449357824864</v>
      </c>
    </row>
    <row r="394" spans="1:62" s="140" customFormat="1" x14ac:dyDescent="0.3">
      <c r="A394">
        <v>-0.2</v>
      </c>
      <c r="B394" s="146">
        <v>1000</v>
      </c>
      <c r="C394" s="146">
        <v>25</v>
      </c>
      <c r="D394" s="146">
        <v>400</v>
      </c>
      <c r="E394" s="252">
        <v>18.696528317839192</v>
      </c>
      <c r="F394" s="146">
        <v>3.0111249543559557</v>
      </c>
      <c r="G394" s="146">
        <v>20.836857923812939</v>
      </c>
      <c r="H394" s="146">
        <v>18.238266944079367</v>
      </c>
      <c r="I394" s="146"/>
      <c r="J394" s="146">
        <v>0.63367971867810546</v>
      </c>
      <c r="K394" s="146">
        <v>0.27</v>
      </c>
      <c r="L394" s="146">
        <v>123.67911325840946</v>
      </c>
      <c r="M394" s="146">
        <v>53.885090838726114</v>
      </c>
      <c r="N394" s="146">
        <v>2.7897691922647638</v>
      </c>
      <c r="O394" s="146"/>
      <c r="P394" s="146"/>
      <c r="Q394" s="146"/>
      <c r="R394" s="146"/>
      <c r="S394" s="146"/>
      <c r="T394" s="146"/>
      <c r="U394" s="146"/>
      <c r="V394" s="146"/>
      <c r="W394" s="146"/>
      <c r="X394" s="146"/>
      <c r="Y394" s="146"/>
      <c r="Z394" s="146">
        <v>0.15296240595767779</v>
      </c>
      <c r="AA394" s="146"/>
      <c r="AB394" s="146"/>
      <c r="AC394" s="146"/>
      <c r="AD394" s="146"/>
      <c r="AE394" s="146"/>
      <c r="AF394" s="146"/>
      <c r="AG394" s="146"/>
      <c r="AH394" s="146"/>
      <c r="AI394" s="146"/>
      <c r="AJ394" s="146"/>
      <c r="AK394" s="146"/>
      <c r="AL394" s="146">
        <v>1668.1833946142342</v>
      </c>
      <c r="AM394" s="146">
        <v>0.144509549633909</v>
      </c>
      <c r="AN394" s="146">
        <v>0.23318899425293285</v>
      </c>
      <c r="AO394" s="146">
        <v>319.82242396242918</v>
      </c>
      <c r="AP394" s="146">
        <v>273.29879848185277</v>
      </c>
      <c r="AQ394" t="s">
        <v>385</v>
      </c>
      <c r="AR394">
        <f t="shared" si="26"/>
        <v>14.644015877877388</v>
      </c>
      <c r="AS394">
        <f t="shared" si="27"/>
        <v>3.9965468373646496</v>
      </c>
      <c r="AT394">
        <v>0.3</v>
      </c>
      <c r="AU394">
        <v>0</v>
      </c>
      <c r="AV394">
        <v>0.4</v>
      </c>
      <c r="AW394" s="146">
        <v>3</v>
      </c>
      <c r="AX394" s="146">
        <v>0.54561042943305893</v>
      </c>
      <c r="AY394">
        <v>0.27</v>
      </c>
      <c r="AZ394" s="209">
        <v>273.29879848185277</v>
      </c>
      <c r="BA394" s="140">
        <v>0.54561042943305893</v>
      </c>
      <c r="BB394" s="253">
        <v>38.985736876731551</v>
      </c>
      <c r="BC394" s="245">
        <v>207.24092273616643</v>
      </c>
      <c r="BD394" s="210">
        <v>96857.691789422548</v>
      </c>
      <c r="BE394" s="245">
        <v>46.665928782141371</v>
      </c>
      <c r="BF394" s="140">
        <v>327168.53470409702</v>
      </c>
      <c r="BG394" t="s">
        <v>390</v>
      </c>
      <c r="BH394" s="140">
        <v>7.2301846965220724E-6</v>
      </c>
      <c r="BI394" s="140">
        <v>2168576.9178942256</v>
      </c>
      <c r="BJ394">
        <f t="shared" si="28"/>
        <v>0.15086784886643112</v>
      </c>
    </row>
    <row r="395" spans="1:62" x14ac:dyDescent="0.3">
      <c r="A395">
        <v>-0.3</v>
      </c>
      <c r="B395" s="146">
        <v>1000</v>
      </c>
      <c r="C395" s="146">
        <v>25</v>
      </c>
      <c r="D395" s="146">
        <v>400</v>
      </c>
      <c r="E395" s="252">
        <v>18.650556258873838</v>
      </c>
      <c r="F395" s="146">
        <v>3.0835263482869841</v>
      </c>
      <c r="G395" s="146">
        <v>20.829897604100296</v>
      </c>
      <c r="H395" s="146">
        <v>18.271020068409257</v>
      </c>
      <c r="I395" s="146"/>
      <c r="J395" s="146">
        <v>0.63635850154907669</v>
      </c>
      <c r="K395" s="146">
        <v>0.27</v>
      </c>
      <c r="L395" s="146">
        <v>123.92507793175167</v>
      </c>
      <c r="M395" s="146">
        <v>53.992253870680187</v>
      </c>
      <c r="N395" s="146">
        <v>2.7397233127217326</v>
      </c>
      <c r="O395" s="146"/>
      <c r="P395" s="146"/>
      <c r="Q395" s="146"/>
      <c r="R395" s="146"/>
      <c r="S395" s="146"/>
      <c r="T395" s="146"/>
      <c r="U395" s="146"/>
      <c r="V395" s="146"/>
      <c r="W395" s="146"/>
      <c r="X395" s="146"/>
      <c r="Y395" s="146"/>
      <c r="Z395" s="146">
        <v>0.14994911627614796</v>
      </c>
      <c r="AA395" s="146"/>
      <c r="AB395" s="146"/>
      <c r="AC395" s="146"/>
      <c r="AD395" s="146"/>
      <c r="AE395" s="146"/>
      <c r="AF395" s="146"/>
      <c r="AG395" s="146"/>
      <c r="AH395" s="146"/>
      <c r="AI395" s="146"/>
      <c r="AJ395" s="146"/>
      <c r="AK395" s="146"/>
      <c r="AL395" s="146">
        <v>1631.7407939992131</v>
      </c>
      <c r="AM395" s="146">
        <v>0.14803367769220346</v>
      </c>
      <c r="AN395" s="146">
        <v>0.20336105339893795</v>
      </c>
      <c r="AO395" s="146">
        <v>308.28845569418536</v>
      </c>
      <c r="AP395" s="146">
        <v>261.87913763834729</v>
      </c>
      <c r="AQ395" t="s">
        <v>385</v>
      </c>
      <c r="AR395">
        <f t="shared" si="26"/>
        <v>14.644015877877388</v>
      </c>
      <c r="AS395">
        <f t="shared" si="27"/>
        <v>3.9965468373646496</v>
      </c>
      <c r="AT395">
        <v>0.3</v>
      </c>
      <c r="AU395">
        <v>0</v>
      </c>
      <c r="AV395">
        <v>0.4</v>
      </c>
      <c r="AW395" s="146">
        <v>3</v>
      </c>
      <c r="AX395" s="146">
        <v>0.54672114773827885</v>
      </c>
      <c r="AY395">
        <v>0.27</v>
      </c>
      <c r="AZ395" s="209">
        <v>261.87913763834729</v>
      </c>
      <c r="BA395">
        <v>0.54672114773827885</v>
      </c>
      <c r="BB395" s="249">
        <v>39.385468001593814</v>
      </c>
      <c r="BC395" s="243">
        <v>207.90609861459217</v>
      </c>
      <c r="BD395" s="209">
        <v>97447.568339316713</v>
      </c>
      <c r="BE395" s="243">
        <v>47.125169818594728</v>
      </c>
      <c r="BF395">
        <v>327538.87304583425</v>
      </c>
      <c r="BG395" t="s">
        <v>390</v>
      </c>
      <c r="BH395">
        <v>7.1931243673948433E-6</v>
      </c>
      <c r="BI395">
        <v>2174475.6833931673</v>
      </c>
      <c r="BJ395">
        <f t="shared" si="28"/>
        <v>0.15062889667946308</v>
      </c>
    </row>
    <row r="396" spans="1:62" x14ac:dyDescent="0.3">
      <c r="A396">
        <v>-0.4</v>
      </c>
      <c r="B396" s="146">
        <v>1000</v>
      </c>
      <c r="C396" s="146">
        <v>25</v>
      </c>
      <c r="D396" s="146">
        <v>400</v>
      </c>
      <c r="E396" s="252">
        <v>18.554925649226959</v>
      </c>
      <c r="F396" s="146">
        <v>3.1802916177707736</v>
      </c>
      <c r="G396" s="146">
        <v>20.784960964025469</v>
      </c>
      <c r="H396" s="146">
        <v>18.286266384013132</v>
      </c>
      <c r="I396" s="146"/>
      <c r="J396" s="146">
        <v>0.64055311543116922</v>
      </c>
      <c r="K396" s="146">
        <v>0.27</v>
      </c>
      <c r="L396" s="146">
        <v>124.06635325756132</v>
      </c>
      <c r="M396" s="146">
        <v>54.053805361178163</v>
      </c>
      <c r="N396" s="146">
        <v>2.6660315770967529</v>
      </c>
      <c r="O396" s="146"/>
      <c r="P396" s="146"/>
      <c r="Q396" s="146"/>
      <c r="R396" s="146"/>
      <c r="S396" s="146"/>
      <c r="T396" s="146"/>
      <c r="U396" s="146"/>
      <c r="V396" s="146"/>
      <c r="W396" s="146"/>
      <c r="X396" s="146"/>
      <c r="Y396" s="146"/>
      <c r="Z396" s="146">
        <v>0.14579419992631987</v>
      </c>
      <c r="AA396" s="146"/>
      <c r="AB396" s="146"/>
      <c r="AC396" s="146"/>
      <c r="AD396" s="146"/>
      <c r="AE396" s="146"/>
      <c r="AF396" s="146"/>
      <c r="AG396" s="146"/>
      <c r="AH396" s="146"/>
      <c r="AI396" s="146"/>
      <c r="AJ396" s="146"/>
      <c r="AK396" s="146"/>
      <c r="AL396" s="146">
        <v>1579.9013794912564</v>
      </c>
      <c r="AM396" s="146">
        <v>0.15300926584732155</v>
      </c>
      <c r="AN396" s="146">
        <v>0.17350283915817663</v>
      </c>
      <c r="AO396" s="146">
        <v>293.05693359685563</v>
      </c>
      <c r="AP396" s="146">
        <v>246.88559094287913</v>
      </c>
      <c r="AQ396" t="s">
        <v>385</v>
      </c>
      <c r="AR396">
        <f t="shared" si="26"/>
        <v>14.644015877877388</v>
      </c>
      <c r="AS396">
        <f t="shared" si="27"/>
        <v>3.9965468373646496</v>
      </c>
      <c r="AT396">
        <v>0.3</v>
      </c>
      <c r="AU396">
        <v>0</v>
      </c>
      <c r="AV396">
        <v>0.4</v>
      </c>
      <c r="AW396" s="146">
        <v>3</v>
      </c>
      <c r="AX396" s="146">
        <v>0.54867876972700957</v>
      </c>
      <c r="AY396">
        <v>0.27</v>
      </c>
      <c r="AZ396" s="209">
        <v>246.88559094287913</v>
      </c>
      <c r="BA396">
        <v>0.54867876972700957</v>
      </c>
      <c r="BB396" s="249">
        <v>39.878653451415502</v>
      </c>
      <c r="BC396" s="243">
        <v>208.28909466116394</v>
      </c>
      <c r="BD396" s="209">
        <v>97988.162814822164</v>
      </c>
      <c r="BE396" s="243">
        <v>47.66670770408588</v>
      </c>
      <c r="BF396">
        <v>326739.86300476239</v>
      </c>
      <c r="BG396" t="s">
        <v>390</v>
      </c>
      <c r="BH396">
        <v>7.1415340574722094E-6</v>
      </c>
      <c r="BI396">
        <v>2179881.6281482214</v>
      </c>
      <c r="BJ396">
        <f t="shared" si="28"/>
        <v>0.14988880991777673</v>
      </c>
    </row>
    <row r="397" spans="1:62" x14ac:dyDescent="0.3">
      <c r="A397">
        <v>-0.5</v>
      </c>
      <c r="B397" s="146">
        <v>1000</v>
      </c>
      <c r="C397" s="146">
        <v>25</v>
      </c>
      <c r="D397" s="146">
        <v>400</v>
      </c>
      <c r="E397" s="252">
        <v>18.408039486909374</v>
      </c>
      <c r="F397" s="146">
        <v>3.3324290009686841</v>
      </c>
      <c r="G397" s="146">
        <v>20.71748399095317</v>
      </c>
      <c r="H397" s="146">
        <v>18.301710241651573</v>
      </c>
      <c r="I397" s="146"/>
      <c r="J397" s="146">
        <v>0.64782304016654035</v>
      </c>
      <c r="K397" s="146">
        <v>0.27</v>
      </c>
      <c r="L397" s="146">
        <v>124.23442338694926</v>
      </c>
      <c r="M397" s="146">
        <v>54.12703093622271</v>
      </c>
      <c r="N397" s="146">
        <v>2.5492254498906561</v>
      </c>
      <c r="O397" s="146"/>
      <c r="P397" s="146"/>
      <c r="Q397" s="146"/>
      <c r="R397" s="146"/>
      <c r="S397" s="146"/>
      <c r="T397" s="146"/>
      <c r="U397" s="146"/>
      <c r="V397" s="146"/>
      <c r="W397" s="146"/>
      <c r="X397" s="146"/>
      <c r="Y397" s="146"/>
      <c r="Z397" s="146">
        <v>0.13928891979117086</v>
      </c>
      <c r="AA397" s="146"/>
      <c r="AB397" s="146"/>
      <c r="AC397" s="146"/>
      <c r="AD397" s="146"/>
      <c r="AE397" s="146"/>
      <c r="AF397" s="146"/>
      <c r="AG397" s="146"/>
      <c r="AH397" s="146"/>
      <c r="AI397" s="146"/>
      <c r="AJ397" s="146"/>
      <c r="AK397" s="146"/>
      <c r="AL397" s="146">
        <v>1500.413638116376</v>
      </c>
      <c r="AM397" s="146">
        <v>0.16085104747390544</v>
      </c>
      <c r="AN397" s="146">
        <v>0.1433723854618523</v>
      </c>
      <c r="AO397" s="146">
        <v>271.60679912236458</v>
      </c>
      <c r="AP397" s="146">
        <v>225.80091317104743</v>
      </c>
      <c r="AQ397" t="s">
        <v>385</v>
      </c>
      <c r="AR397">
        <f t="shared" si="26"/>
        <v>14.644015877877388</v>
      </c>
      <c r="AS397">
        <f t="shared" si="27"/>
        <v>3.9965468373646496</v>
      </c>
      <c r="AT397">
        <v>0.3</v>
      </c>
      <c r="AU397">
        <v>0</v>
      </c>
      <c r="AV397">
        <v>0.4</v>
      </c>
      <c r="AW397" s="146">
        <v>3</v>
      </c>
      <c r="AX397" s="146">
        <v>0.55239908338196997</v>
      </c>
      <c r="AY397">
        <v>0.27</v>
      </c>
      <c r="AZ397" s="209">
        <v>225.80091317104743</v>
      </c>
      <c r="BA397">
        <v>0.55239908338196997</v>
      </c>
      <c r="BB397" s="249">
        <v>40.644534108121235</v>
      </c>
      <c r="BC397" s="243">
        <v>208.7456262436867</v>
      </c>
      <c r="BD397" s="209">
        <v>98735.619376759947</v>
      </c>
      <c r="BE397" s="243">
        <v>48.546375180093946</v>
      </c>
      <c r="BF397">
        <v>325296.06503146165</v>
      </c>
      <c r="BG397" t="s">
        <v>390</v>
      </c>
      <c r="BH397">
        <v>7.0657227408328476E-6</v>
      </c>
      <c r="BI397">
        <v>2187356.1937675998</v>
      </c>
      <c r="BJ397">
        <f t="shared" si="28"/>
        <v>0.14871654921055963</v>
      </c>
    </row>
    <row r="398" spans="1:62" x14ac:dyDescent="0.3">
      <c r="A398">
        <v>-0.6</v>
      </c>
      <c r="B398" s="146">
        <v>1000</v>
      </c>
      <c r="C398" s="146">
        <v>25</v>
      </c>
      <c r="D398" s="146">
        <v>400</v>
      </c>
      <c r="E398" s="252">
        <v>18.196177455069108</v>
      </c>
      <c r="F398" s="146">
        <v>3.6167577620576976</v>
      </c>
      <c r="G398" s="146">
        <v>20.655780895823018</v>
      </c>
      <c r="H398" s="146">
        <v>18.372563524450282</v>
      </c>
      <c r="I398" s="146"/>
      <c r="J398" s="146">
        <v>0.66565266507788567</v>
      </c>
      <c r="K398" s="146">
        <v>0.27</v>
      </c>
      <c r="L398" s="146">
        <v>124.83805873514304</v>
      </c>
      <c r="M398" s="146">
        <v>54.390025590000086</v>
      </c>
      <c r="N398" s="146">
        <v>2.3359307726122083</v>
      </c>
      <c r="O398" s="146"/>
      <c r="P398" s="146"/>
      <c r="Q398" s="146"/>
      <c r="R398" s="146"/>
      <c r="S398" s="146"/>
      <c r="T398" s="146"/>
      <c r="U398" s="146"/>
      <c r="V398" s="146"/>
      <c r="W398" s="146"/>
      <c r="X398" s="146"/>
      <c r="Y398" s="146"/>
      <c r="Z398" s="146">
        <v>0.12714234295630777</v>
      </c>
      <c r="AA398" s="146"/>
      <c r="AB398" s="146"/>
      <c r="AC398" s="146"/>
      <c r="AD398" s="146"/>
      <c r="AE398" s="146"/>
      <c r="AF398" s="146"/>
      <c r="AG398" s="146"/>
      <c r="AH398" s="146"/>
      <c r="AI398" s="146"/>
      <c r="AJ398" s="146"/>
      <c r="AK398" s="146"/>
      <c r="AL398" s="146">
        <v>1361.3374661694384</v>
      </c>
      <c r="AM398" s="146">
        <v>0.17509663664127426</v>
      </c>
      <c r="AN398" s="146">
        <v>0.11277507486065476</v>
      </c>
      <c r="AO398" s="146">
        <v>238.65071712386481</v>
      </c>
      <c r="AP398" s="146">
        <v>193.37207986333499</v>
      </c>
      <c r="AQ398" t="s">
        <v>385</v>
      </c>
      <c r="AR398">
        <f t="shared" si="26"/>
        <v>14.644015877877388</v>
      </c>
      <c r="AS398">
        <f t="shared" si="27"/>
        <v>3.9965468373646496</v>
      </c>
      <c r="AT398">
        <v>0.3</v>
      </c>
      <c r="AU398">
        <v>0</v>
      </c>
      <c r="AV398">
        <v>0.4</v>
      </c>
      <c r="AW398" s="146">
        <v>3</v>
      </c>
      <c r="AX398" s="146">
        <v>0.56377565468702262</v>
      </c>
      <c r="AY398">
        <v>0.27</v>
      </c>
      <c r="AZ398" s="209">
        <v>193.37207986333499</v>
      </c>
      <c r="BA398">
        <v>0.56377565468702262</v>
      </c>
      <c r="BB398" s="249">
        <v>42.073220731474841</v>
      </c>
      <c r="BC398" s="243">
        <v>210.39337345172655</v>
      </c>
      <c r="BD398" s="209">
        <v>100461.87299850372</v>
      </c>
      <c r="BE398" s="243">
        <v>50.096450438298469</v>
      </c>
      <c r="BF398">
        <v>324539.08506718231</v>
      </c>
      <c r="BG398" t="s">
        <v>390</v>
      </c>
      <c r="BH398">
        <v>6.934677707593026E-6</v>
      </c>
      <c r="BI398">
        <v>2204618.7299850374</v>
      </c>
      <c r="BJ398">
        <f t="shared" si="28"/>
        <v>0.14720871262369478</v>
      </c>
    </row>
    <row r="399" spans="1:62" x14ac:dyDescent="0.3">
      <c r="A399">
        <v>-0.7</v>
      </c>
      <c r="B399" s="146">
        <v>1000</v>
      </c>
      <c r="C399" s="146">
        <v>25</v>
      </c>
      <c r="D399" s="146">
        <v>400</v>
      </c>
      <c r="E399" s="252">
        <v>17.687175980703628</v>
      </c>
      <c r="F399" s="146">
        <v>4.6929848920576234</v>
      </c>
      <c r="G399" s="146">
        <v>20.711342007589547</v>
      </c>
      <c r="H399" s="146">
        <v>18.65156264222983</v>
      </c>
      <c r="I399" s="146"/>
      <c r="J399" s="146">
        <v>0.79941972003724759</v>
      </c>
      <c r="K399" s="146">
        <v>0.27</v>
      </c>
      <c r="L399" s="146">
        <v>127.23662324556585</v>
      </c>
      <c r="M399" s="146">
        <v>55.435043322756904</v>
      </c>
      <c r="N399" s="146">
        <v>1.5501505182224875</v>
      </c>
      <c r="O399" s="146"/>
      <c r="P399" s="146"/>
      <c r="Q399" s="146"/>
      <c r="R399" s="146"/>
      <c r="S399" s="146"/>
      <c r="T399" s="146"/>
      <c r="U399" s="146"/>
      <c r="V399" s="146"/>
      <c r="W399" s="146"/>
      <c r="X399" s="146"/>
      <c r="Y399" s="146"/>
      <c r="Z399" s="146">
        <v>8.3111026564215207E-2</v>
      </c>
      <c r="AA399" s="146"/>
      <c r="AB399" s="146"/>
      <c r="AC399" s="146"/>
      <c r="AD399" s="146"/>
      <c r="AE399" s="146"/>
      <c r="AF399" s="146"/>
      <c r="AG399" s="146"/>
      <c r="AH399" s="146"/>
      <c r="AI399" s="146"/>
      <c r="AJ399" s="146"/>
      <c r="AK399" s="146"/>
      <c r="AL399" s="146">
        <v>899.48629697901697</v>
      </c>
      <c r="AM399" s="146">
        <v>0.22659009205380837</v>
      </c>
      <c r="AN399" s="146">
        <v>7.6377139006030978E-2</v>
      </c>
      <c r="AO399" s="146">
        <v>168.42316678938454</v>
      </c>
      <c r="AP399" s="146">
        <v>124.41103786777492</v>
      </c>
      <c r="AQ399" t="s">
        <v>385</v>
      </c>
      <c r="AR399">
        <f t="shared" si="26"/>
        <v>14.644015877877388</v>
      </c>
      <c r="AS399">
        <f t="shared" si="27"/>
        <v>3.9965468373646496</v>
      </c>
      <c r="AT399">
        <v>0.3</v>
      </c>
      <c r="AU399">
        <v>0</v>
      </c>
      <c r="AV399">
        <v>0.4</v>
      </c>
      <c r="AW399" s="146">
        <v>3</v>
      </c>
      <c r="AX399" s="146">
        <v>0.68945948778034782</v>
      </c>
      <c r="AY399">
        <v>0.27</v>
      </c>
      <c r="AZ399" s="209">
        <v>124.41103786777492</v>
      </c>
      <c r="BA399">
        <v>0.68945948778034782</v>
      </c>
      <c r="BB399" s="249">
        <v>46.672867993805269</v>
      </c>
      <c r="BC399" s="243">
        <v>217.06919038250683</v>
      </c>
      <c r="BD399" s="209">
        <v>105941.08078742224</v>
      </c>
      <c r="BE399" s="243">
        <v>54.000241960336581</v>
      </c>
      <c r="BF399">
        <v>324808.18005624256</v>
      </c>
      <c r="BG399" t="s">
        <v>390</v>
      </c>
      <c r="BH399">
        <v>6.5856473897569526E-6</v>
      </c>
      <c r="BI399">
        <v>2259410.8078742223</v>
      </c>
      <c r="BJ399">
        <f t="shared" si="28"/>
        <v>0.1437579119849568</v>
      </c>
    </row>
    <row r="400" spans="1:62" x14ac:dyDescent="0.3">
      <c r="A400">
        <v>-0.8</v>
      </c>
      <c r="B400" s="146">
        <v>1000</v>
      </c>
      <c r="C400" s="146">
        <v>25</v>
      </c>
      <c r="D400" s="146">
        <v>400</v>
      </c>
      <c r="E400" s="252">
        <v>17.230420950829668</v>
      </c>
      <c r="F400" s="146">
        <v>5.6728240090280488</v>
      </c>
      <c r="G400" s="146">
        <v>20.790422142177523</v>
      </c>
      <c r="H400" s="146">
        <v>18.83271116314387</v>
      </c>
      <c r="I400" s="146"/>
      <c r="J400" s="146">
        <v>0.99999999931668315</v>
      </c>
      <c r="K400" s="146">
        <v>0.27</v>
      </c>
      <c r="L400" s="146">
        <v>133.04365250820305</v>
      </c>
      <c r="M400" s="146">
        <v>57.96507681892664</v>
      </c>
      <c r="N400" s="146">
        <v>1.1681366999562961</v>
      </c>
      <c r="O400" s="146"/>
      <c r="P400" s="146"/>
      <c r="Q400" s="146"/>
      <c r="R400" s="146"/>
      <c r="S400" s="146"/>
      <c r="T400" s="146"/>
      <c r="U400" s="146"/>
      <c r="V400" s="146"/>
      <c r="W400" s="146"/>
      <c r="X400" s="146"/>
      <c r="Y400" s="146"/>
      <c r="Z400" s="146">
        <v>6.2027006618270208E-2</v>
      </c>
      <c r="AA400" s="146"/>
      <c r="AB400" s="146"/>
      <c r="AC400" s="146"/>
      <c r="AD400" s="146"/>
      <c r="AE400" s="146"/>
      <c r="AF400" s="146"/>
      <c r="AG400" s="146"/>
      <c r="AH400" s="146"/>
      <c r="AI400" s="146"/>
      <c r="AJ400" s="146"/>
      <c r="AK400" s="146"/>
      <c r="AL400" s="146">
        <v>623.91670647519788</v>
      </c>
      <c r="AM400" s="146">
        <v>0.2728575673083421</v>
      </c>
      <c r="AN400" s="146">
        <v>5.4307320179967908E-2</v>
      </c>
      <c r="AO400" s="146">
        <v>82.723785785596988</v>
      </c>
      <c r="AP400" s="146">
        <v>39.8483564970483</v>
      </c>
      <c r="AQ400" t="s">
        <v>385</v>
      </c>
      <c r="AR400">
        <f t="shared" si="26"/>
        <v>14.644015877877388</v>
      </c>
      <c r="AS400">
        <f t="shared" si="27"/>
        <v>3.9965468373646496</v>
      </c>
      <c r="AT400">
        <v>0.3</v>
      </c>
      <c r="AU400">
        <v>0</v>
      </c>
      <c r="AV400">
        <v>0.4</v>
      </c>
      <c r="AW400" s="146">
        <v>3</v>
      </c>
      <c r="AX400" s="146">
        <v>0.99999999900000003</v>
      </c>
      <c r="AY400">
        <v>0.27</v>
      </c>
      <c r="AZ400" s="209">
        <v>39.8483564970483</v>
      </c>
      <c r="BA400">
        <v>0.99999999900000003</v>
      </c>
      <c r="BB400" s="249">
        <v>49.439900196817611</v>
      </c>
      <c r="BC400" s="243">
        <v>234.15111697011156</v>
      </c>
      <c r="BD400" s="209">
        <v>114159.97862641717</v>
      </c>
      <c r="BE400" s="243">
        <v>55.284557763421404</v>
      </c>
      <c r="BF400">
        <v>336142.805298288</v>
      </c>
      <c r="BG400" t="s">
        <v>390</v>
      </c>
      <c r="BH400">
        <v>6.1760999142171974E-6</v>
      </c>
      <c r="BI400">
        <v>2341599.7862641718</v>
      </c>
      <c r="BJ400">
        <f t="shared" si="28"/>
        <v>0.14355262896337037</v>
      </c>
    </row>
    <row r="401" spans="1:62" x14ac:dyDescent="0.3">
      <c r="A401">
        <v>-0.85</v>
      </c>
      <c r="B401" s="146">
        <v>1000</v>
      </c>
      <c r="C401" s="146">
        <v>25</v>
      </c>
      <c r="D401" s="146">
        <v>400</v>
      </c>
      <c r="E401" s="252">
        <v>11.684941070145264</v>
      </c>
      <c r="F401" s="146">
        <v>3.9721587303364143</v>
      </c>
      <c r="G401" s="146">
        <v>14.095331268913544</v>
      </c>
      <c r="H401" s="146">
        <v>12.828523928355626</v>
      </c>
      <c r="I401" s="146"/>
      <c r="J401" s="146">
        <v>0.99999999937934692</v>
      </c>
      <c r="K401" s="146">
        <v>0.27</v>
      </c>
      <c r="L401" s="146">
        <v>89.546692385381093</v>
      </c>
      <c r="M401" s="146">
        <v>39.014119089066455</v>
      </c>
      <c r="N401" s="146">
        <v>0.88899635876098593</v>
      </c>
      <c r="O401" s="146"/>
      <c r="P401" s="146"/>
      <c r="Q401" s="146"/>
      <c r="R401" s="146"/>
      <c r="S401" s="146"/>
      <c r="T401" s="146"/>
      <c r="U401" s="146"/>
      <c r="V401" s="146"/>
      <c r="W401" s="146"/>
      <c r="X401" s="146"/>
      <c r="Y401" s="146"/>
      <c r="Z401" s="146">
        <v>6.929841373222885E-2</v>
      </c>
      <c r="AA401" s="146"/>
      <c r="AB401" s="146"/>
      <c r="AC401" s="146"/>
      <c r="AD401" s="146"/>
      <c r="AE401" s="146"/>
      <c r="AF401" s="146"/>
      <c r="AG401" s="146"/>
      <c r="AH401" s="146"/>
      <c r="AI401" s="146"/>
      <c r="AJ401" s="146"/>
      <c r="AK401" s="146"/>
      <c r="AL401" s="146">
        <v>511.64093967833185</v>
      </c>
      <c r="AM401" s="146">
        <v>0.28180669574590178</v>
      </c>
      <c r="AN401" s="146">
        <v>3.8465023482371047E-2</v>
      </c>
      <c r="AO401" s="146">
        <v>96.219057931926045</v>
      </c>
      <c r="AP401" s="146">
        <v>67.142760297839089</v>
      </c>
      <c r="AQ401" t="s">
        <v>385</v>
      </c>
      <c r="AR401">
        <f t="shared" si="26"/>
        <v>14.644015877877388</v>
      </c>
      <c r="AS401">
        <f t="shared" si="27"/>
        <v>3.9965468373646496</v>
      </c>
      <c r="AT401">
        <v>0.3</v>
      </c>
      <c r="AU401">
        <v>0</v>
      </c>
      <c r="AV401">
        <v>0.4</v>
      </c>
      <c r="AW401" s="146">
        <v>3</v>
      </c>
      <c r="AX401" s="146">
        <v>0.99999999900000003</v>
      </c>
      <c r="AY401">
        <v>0.27</v>
      </c>
      <c r="AZ401" s="209">
        <v>67.142760297839089</v>
      </c>
      <c r="BA401">
        <v>0.99999999900000003</v>
      </c>
      <c r="BB401" s="249">
        <v>35.689250866932575</v>
      </c>
      <c r="BC401" s="243">
        <v>130.44749232415361</v>
      </c>
      <c r="BD401" s="209">
        <v>60812.54626987801</v>
      </c>
      <c r="BE401" s="243">
        <v>39.276841115875328</v>
      </c>
      <c r="BF401">
        <v>675266.70656815823</v>
      </c>
      <c r="BG401" t="s">
        <v>390</v>
      </c>
      <c r="BH401">
        <v>4.3783411689005725E-6</v>
      </c>
      <c r="BI401">
        <v>1808125.46269878</v>
      </c>
      <c r="BJ401">
        <f t="shared" si="28"/>
        <v>0.37346230695754135</v>
      </c>
    </row>
    <row r="402" spans="1:62" s="261" customFormat="1" ht="15" thickBot="1" x14ac:dyDescent="0.35">
      <c r="A402" s="256">
        <v>-0.87</v>
      </c>
      <c r="B402" s="256">
        <v>1000</v>
      </c>
      <c r="C402" s="256">
        <v>25</v>
      </c>
      <c r="D402" s="256">
        <v>400</v>
      </c>
      <c r="E402" s="260">
        <v>3.8866984643896663</v>
      </c>
      <c r="F402" s="261">
        <v>0.81835201522337264</v>
      </c>
      <c r="G402" s="261">
        <v>4.4062272325085043</v>
      </c>
      <c r="H402" s="261">
        <v>3.8904177322586397</v>
      </c>
      <c r="J402" s="261">
        <v>0.63828634392622297</v>
      </c>
      <c r="K402" s="261">
        <v>0.27</v>
      </c>
      <c r="L402" s="261">
        <v>26.605062812892747</v>
      </c>
      <c r="M402" s="261">
        <v>11.591417408106798</v>
      </c>
      <c r="N402" s="261">
        <v>0.88237437322493273</v>
      </c>
      <c r="Z402" s="261">
        <v>0.22680710246317359</v>
      </c>
      <c r="AL402" s="261">
        <v>727.94895252446292</v>
      </c>
      <c r="AM402" s="261">
        <v>0.18572623971494034</v>
      </c>
      <c r="AN402" s="261">
        <v>3.7528513323133297E-2</v>
      </c>
      <c r="AO402" s="261">
        <v>296.43345498597648</v>
      </c>
      <c r="AP402" s="261">
        <v>286.76176591199624</v>
      </c>
      <c r="AQ402" s="254" t="s">
        <v>385</v>
      </c>
      <c r="AR402" s="254">
        <f t="shared" si="26"/>
        <v>14.644015877877388</v>
      </c>
      <c r="AS402" s="254">
        <f t="shared" si="27"/>
        <v>3.9965468373646496</v>
      </c>
      <c r="AT402" s="254">
        <v>0.3</v>
      </c>
      <c r="AU402" s="254">
        <v>0</v>
      </c>
      <c r="AV402" s="254">
        <v>0.4</v>
      </c>
      <c r="AW402" s="146">
        <v>3</v>
      </c>
      <c r="AX402" s="256">
        <v>0.52355718164534693</v>
      </c>
      <c r="AY402" s="254">
        <v>0.27</v>
      </c>
      <c r="AZ402" s="258">
        <v>286.76176591199624</v>
      </c>
      <c r="BA402" s="261">
        <v>0.52355718164534693</v>
      </c>
      <c r="BB402" s="260">
        <v>9.85326182905815</v>
      </c>
      <c r="BC402" s="262">
        <v>32.888408388241224</v>
      </c>
      <c r="BD402" s="263">
        <v>12485.470679501093</v>
      </c>
      <c r="BE402" s="262">
        <v>11.252695814619498</v>
      </c>
      <c r="BF402" s="261">
        <v>874432.16881790326</v>
      </c>
      <c r="BG402" s="254" t="s">
        <v>390</v>
      </c>
      <c r="BH402" s="261">
        <v>1.3817082152922229E-6</v>
      </c>
      <c r="BI402" s="261">
        <v>1324854.7067950109</v>
      </c>
      <c r="BJ402">
        <f t="shared" si="28"/>
        <v>0.66002118144204958</v>
      </c>
    </row>
    <row r="403" spans="1:62" s="239" customFormat="1" x14ac:dyDescent="0.3">
      <c r="A403" s="239">
        <v>-0.1</v>
      </c>
      <c r="B403" s="240">
        <v>100</v>
      </c>
      <c r="C403" s="240">
        <v>25</v>
      </c>
      <c r="D403" s="240">
        <v>400</v>
      </c>
      <c r="E403" s="251">
        <v>3.3388686339411637</v>
      </c>
      <c r="F403" s="239">
        <v>0.96795023796543034</v>
      </c>
      <c r="G403" s="239">
        <v>4.0511734707420848</v>
      </c>
      <c r="H403" s="239">
        <v>0</v>
      </c>
      <c r="J403" s="239">
        <v>4.8305664675071932E-4</v>
      </c>
      <c r="K403" s="239">
        <v>1E-8</v>
      </c>
      <c r="L403" s="239">
        <v>17.453454226704167</v>
      </c>
      <c r="M403" s="239">
        <v>10.472072454573047</v>
      </c>
      <c r="N403" s="239">
        <v>-1.7201019725051094E-3</v>
      </c>
      <c r="Z403" s="239" t="s">
        <v>35</v>
      </c>
      <c r="AL403" s="239">
        <v>375.16203551263084</v>
      </c>
      <c r="AM403" s="239">
        <v>0.23893082953767553</v>
      </c>
      <c r="AN403" s="239">
        <v>0.2130792053247057</v>
      </c>
      <c r="AO403" s="239">
        <v>384.33038724331101</v>
      </c>
      <c r="AP403" s="239">
        <v>376.02208649888348</v>
      </c>
      <c r="AQ403" s="239" t="s">
        <v>302</v>
      </c>
      <c r="AR403" s="239">
        <v>0</v>
      </c>
      <c r="AS403" s="239">
        <v>0</v>
      </c>
      <c r="AT403" s="239">
        <v>0</v>
      </c>
      <c r="AU403" s="239">
        <v>0</v>
      </c>
      <c r="AV403" s="239">
        <v>0</v>
      </c>
      <c r="AW403" s="239">
        <v>3</v>
      </c>
      <c r="AX403" s="241">
        <v>4.8374957792260192E-4</v>
      </c>
      <c r="AY403" s="241">
        <v>1E-8</v>
      </c>
      <c r="AZ403" s="242">
        <v>376.02208649888348</v>
      </c>
      <c r="BA403" s="239">
        <v>4.8374957792260192E-4</v>
      </c>
      <c r="BB403" s="251">
        <v>10.789793960922248</v>
      </c>
      <c r="BC403" s="247">
        <v>69.922269616369618</v>
      </c>
      <c r="BD403" s="242">
        <v>26361.277442749106</v>
      </c>
      <c r="BE403" s="247">
        <v>21.409617510912682</v>
      </c>
      <c r="BF403" s="242">
        <v>19357.27438315349</v>
      </c>
      <c r="BG403" t="s">
        <v>387</v>
      </c>
      <c r="BH403" s="239">
        <v>2.0453826642686299E-6</v>
      </c>
      <c r="BI403" s="239">
        <v>1463612.774427491</v>
      </c>
      <c r="BJ403">
        <f t="shared" si="28"/>
        <v>1.3225680126169512E-2</v>
      </c>
    </row>
    <row r="404" spans="1:62" x14ac:dyDescent="0.3">
      <c r="A404">
        <v>-0.1</v>
      </c>
      <c r="B404" s="146">
        <v>200</v>
      </c>
      <c r="C404" s="146">
        <v>25</v>
      </c>
      <c r="D404" s="146">
        <v>400</v>
      </c>
      <c r="E404" s="249">
        <v>6.0307124784606332</v>
      </c>
      <c r="F404">
        <v>1.818816378192039</v>
      </c>
      <c r="G404">
        <v>7.2788229399678688</v>
      </c>
      <c r="H404">
        <v>0</v>
      </c>
      <c r="J404">
        <v>3.4154892583676847E-4</v>
      </c>
      <c r="K404">
        <v>1E-8</v>
      </c>
      <c r="L404">
        <v>32.278664988561239</v>
      </c>
      <c r="M404">
        <v>19.367198842502976</v>
      </c>
      <c r="N404">
        <v>-2.1702587604042899E-3</v>
      </c>
      <c r="Z404" t="s">
        <v>35</v>
      </c>
      <c r="AL404">
        <v>358.46364329262627</v>
      </c>
      <c r="AM404">
        <v>0.24987781584917462</v>
      </c>
      <c r="AN404">
        <v>0.2370129459391345</v>
      </c>
      <c r="AO404">
        <v>374.5553456813733</v>
      </c>
      <c r="AP404">
        <v>359.54877267282842</v>
      </c>
      <c r="AQ404" t="s">
        <v>302</v>
      </c>
      <c r="AR404">
        <v>0</v>
      </c>
      <c r="AS404">
        <v>0</v>
      </c>
      <c r="AT404">
        <v>0</v>
      </c>
      <c r="AU404">
        <v>0</v>
      </c>
      <c r="AV404">
        <v>0</v>
      </c>
      <c r="AW404">
        <v>3</v>
      </c>
      <c r="AX404" s="141">
        <v>3.4202187652592115E-4</v>
      </c>
      <c r="AY404" s="141">
        <v>1E-8</v>
      </c>
      <c r="AZ404" s="209">
        <v>359.54877267282842</v>
      </c>
      <c r="BA404">
        <v>3.4202187652592115E-4</v>
      </c>
      <c r="BB404" s="249">
        <v>19.94095459257202</v>
      </c>
      <c r="BC404" s="243">
        <v>101.42027223822511</v>
      </c>
      <c r="BD404" s="209">
        <v>42949.997616895082</v>
      </c>
      <c r="BE404" s="243">
        <v>34.060636726261215</v>
      </c>
      <c r="BF404" s="209">
        <v>52997.804706008872</v>
      </c>
      <c r="BG404" t="s">
        <v>387</v>
      </c>
      <c r="BH404">
        <v>3.3696808862799825E-6</v>
      </c>
      <c r="BI404">
        <v>1629499.9761689508</v>
      </c>
      <c r="BJ404">
        <f t="shared" si="28"/>
        <v>3.2523967769922765E-2</v>
      </c>
    </row>
    <row r="405" spans="1:62" x14ac:dyDescent="0.3">
      <c r="A405">
        <v>-0.1</v>
      </c>
      <c r="B405" s="146">
        <v>300</v>
      </c>
      <c r="C405" s="146">
        <v>25</v>
      </c>
      <c r="D405" s="146">
        <v>400</v>
      </c>
      <c r="E405" s="249">
        <v>8.2807406084380375</v>
      </c>
      <c r="F405">
        <v>2.5942128509681059</v>
      </c>
      <c r="G405">
        <v>9.9989425040842512</v>
      </c>
      <c r="H405">
        <v>0</v>
      </c>
      <c r="J405">
        <v>2.7433953683637501E-4</v>
      </c>
      <c r="K405">
        <v>1E-8</v>
      </c>
      <c r="L405">
        <v>45.332564036094126</v>
      </c>
      <c r="M405">
        <v>27.19953821010451</v>
      </c>
      <c r="N405">
        <v>-2.3806262013745865E-3</v>
      </c>
      <c r="Z405" t="s">
        <v>35</v>
      </c>
      <c r="AL405">
        <v>345.09489167093153</v>
      </c>
      <c r="AM405">
        <v>0.2594487216931643</v>
      </c>
      <c r="AN405">
        <v>0.2501027019760238</v>
      </c>
      <c r="AO405">
        <v>366.89063915338318</v>
      </c>
      <c r="AP405">
        <v>346.28520477161891</v>
      </c>
      <c r="AQ405" t="s">
        <v>302</v>
      </c>
      <c r="AR405">
        <v>0</v>
      </c>
      <c r="AS405">
        <v>0</v>
      </c>
      <c r="AT405">
        <v>0</v>
      </c>
      <c r="AU405">
        <v>0</v>
      </c>
      <c r="AV405">
        <v>0</v>
      </c>
      <c r="AW405">
        <v>3</v>
      </c>
      <c r="AX405" s="141">
        <v>2.7470166522821916E-4</v>
      </c>
      <c r="AY405" s="141">
        <v>1E-8</v>
      </c>
      <c r="AZ405" s="209">
        <v>346.28520477161891</v>
      </c>
      <c r="BA405">
        <v>2.7470166522821916E-4</v>
      </c>
      <c r="BB405" s="249">
        <v>28.059184941412656</v>
      </c>
      <c r="BC405" s="243">
        <v>123.9715973192674</v>
      </c>
      <c r="BD405" s="209">
        <v>56628.041515723446</v>
      </c>
      <c r="BE405" s="243">
        <v>44.466590745597216</v>
      </c>
      <c r="BF405" s="209">
        <v>90892.280448562553</v>
      </c>
      <c r="BG405" t="s">
        <v>387</v>
      </c>
      <c r="BH405">
        <v>4.2359494571440978E-6</v>
      </c>
      <c r="BI405">
        <v>1766280.4151572343</v>
      </c>
      <c r="BJ405">
        <f t="shared" si="28"/>
        <v>5.145971141873943E-2</v>
      </c>
    </row>
    <row r="406" spans="1:62" x14ac:dyDescent="0.3">
      <c r="A406">
        <v>-0.1</v>
      </c>
      <c r="B406" s="146">
        <v>400</v>
      </c>
      <c r="C406" s="146">
        <v>25</v>
      </c>
      <c r="D406" s="146">
        <v>400</v>
      </c>
      <c r="E406" s="249">
        <v>10.603788783104022</v>
      </c>
      <c r="F406">
        <v>3.5221387097424719</v>
      </c>
      <c r="G406">
        <v>12.899949701598635</v>
      </c>
      <c r="H406">
        <v>0</v>
      </c>
      <c r="J406">
        <v>2.3051396734864789E-4</v>
      </c>
      <c r="K406">
        <v>1E-8</v>
      </c>
      <c r="L406">
        <v>58.361444924772854</v>
      </c>
      <c r="M406">
        <v>35.016866682510305</v>
      </c>
      <c r="N406">
        <v>-2.5593925931615413E-3</v>
      </c>
      <c r="Z406" t="s">
        <v>35</v>
      </c>
      <c r="AL406">
        <v>327.77418031909588</v>
      </c>
      <c r="AM406">
        <v>0.27303507309846242</v>
      </c>
      <c r="AN406">
        <v>0.23796601694274375</v>
      </c>
      <c r="AO406">
        <v>355.43990306122004</v>
      </c>
      <c r="AP406">
        <v>329.0538766156767</v>
      </c>
      <c r="AQ406" t="s">
        <v>302</v>
      </c>
      <c r="AR406">
        <v>0</v>
      </c>
      <c r="AS406">
        <v>0</v>
      </c>
      <c r="AT406">
        <v>0</v>
      </c>
      <c r="AU406">
        <v>0</v>
      </c>
      <c r="AV406">
        <v>0</v>
      </c>
      <c r="AW406">
        <v>3</v>
      </c>
      <c r="AX406" s="141">
        <v>2.3093276296534004E-4</v>
      </c>
      <c r="AY406" s="141">
        <v>1E-8</v>
      </c>
      <c r="AZ406" s="209">
        <v>329.0538766156767</v>
      </c>
      <c r="BA406">
        <v>2.3093276296534004E-4</v>
      </c>
      <c r="BB406" s="249">
        <v>37.42017327939314</v>
      </c>
      <c r="BC406" s="243">
        <v>150.47898844488969</v>
      </c>
      <c r="BD406" s="209">
        <v>78019.779022156566</v>
      </c>
      <c r="BE406" s="243">
        <v>63.557637004461142</v>
      </c>
      <c r="BF406" s="209">
        <v>148074.37615167769</v>
      </c>
      <c r="BG406" t="s">
        <v>387</v>
      </c>
      <c r="BH406">
        <v>4.7498779216375201E-6</v>
      </c>
      <c r="BI406">
        <v>1980197.7902215656</v>
      </c>
      <c r="BJ406">
        <f t="shared" si="28"/>
        <v>7.4777568626167162E-2</v>
      </c>
    </row>
    <row r="407" spans="1:62" x14ac:dyDescent="0.3">
      <c r="A407">
        <v>-0.1</v>
      </c>
      <c r="B407" s="146">
        <v>600</v>
      </c>
      <c r="C407" s="146">
        <v>25</v>
      </c>
      <c r="D407" s="146">
        <v>400</v>
      </c>
      <c r="E407" s="249">
        <v>13.304145322862087</v>
      </c>
      <c r="F407">
        <v>4.5792720640327103</v>
      </c>
      <c r="G407">
        <v>16.188116912353806</v>
      </c>
      <c r="H407">
        <v>0</v>
      </c>
      <c r="J407">
        <v>1.8674137932913099E-4</v>
      </c>
      <c r="K407">
        <v>1E-8</v>
      </c>
      <c r="L407">
        <v>76.947490934990185</v>
      </c>
      <c r="M407">
        <v>46.168494201905808</v>
      </c>
      <c r="N407">
        <v>-2.5865106116812289E-3</v>
      </c>
      <c r="Z407" t="s">
        <v>35</v>
      </c>
      <c r="AL407">
        <v>316.3102407005984</v>
      </c>
      <c r="AM407">
        <v>0.28287861329553921</v>
      </c>
      <c r="AN407">
        <v>0.26991024554878568</v>
      </c>
      <c r="AO407">
        <v>350.70900218770169</v>
      </c>
      <c r="AP407">
        <v>317.60349600643906</v>
      </c>
      <c r="AQ407" t="s">
        <v>302</v>
      </c>
      <c r="AR407">
        <v>0</v>
      </c>
      <c r="AS407">
        <v>0</v>
      </c>
      <c r="AT407">
        <v>0</v>
      </c>
      <c r="AU407">
        <v>0</v>
      </c>
      <c r="AV407">
        <v>0</v>
      </c>
      <c r="AW407">
        <v>3</v>
      </c>
      <c r="AX407" s="141">
        <v>1.8696237078898205E-4</v>
      </c>
      <c r="AY407" s="141">
        <v>1E-8</v>
      </c>
      <c r="AZ407" s="209">
        <v>317.60349600643906</v>
      </c>
      <c r="BA407">
        <v>1.8696237078898205E-4</v>
      </c>
      <c r="BB407" s="249">
        <v>48.067831040931772</v>
      </c>
      <c r="BC407" s="243">
        <v>169.00687420670144</v>
      </c>
      <c r="BD407" s="209">
        <v>88246.727700960051</v>
      </c>
      <c r="BE407" s="243">
        <v>68.727348783443546</v>
      </c>
      <c r="BF407" s="209">
        <v>207005.69953948504</v>
      </c>
      <c r="BG407" t="s">
        <v>387</v>
      </c>
      <c r="BH407">
        <v>5.5688135209984772E-6</v>
      </c>
      <c r="BI407">
        <v>2082467.2770096005</v>
      </c>
      <c r="BJ407">
        <f t="shared" si="28"/>
        <v>9.940405874551983E-2</v>
      </c>
    </row>
    <row r="408" spans="1:62" x14ac:dyDescent="0.3">
      <c r="A408">
        <v>-0.1</v>
      </c>
      <c r="B408" s="146">
        <v>800</v>
      </c>
      <c r="C408" s="146">
        <v>25</v>
      </c>
      <c r="D408" s="146">
        <v>400</v>
      </c>
      <c r="E408" s="249">
        <v>15.664788404490574</v>
      </c>
      <c r="F408">
        <v>5.6547016338782461</v>
      </c>
      <c r="G408">
        <v>19.165466880633677</v>
      </c>
      <c r="H408">
        <v>0</v>
      </c>
      <c r="J408">
        <v>1.5941151831464105E-4</v>
      </c>
      <c r="K408">
        <v>1E-8</v>
      </c>
      <c r="L408">
        <v>93.196093069442327</v>
      </c>
      <c r="M408">
        <v>55.917655406750292</v>
      </c>
      <c r="N408">
        <v>-2.5949326106284513E-3</v>
      </c>
      <c r="Z408" t="s">
        <v>35</v>
      </c>
      <c r="AL408">
        <v>303.20797706752722</v>
      </c>
      <c r="AM408">
        <v>0.29504638050806942</v>
      </c>
      <c r="AN408">
        <v>0.27717992065884323</v>
      </c>
      <c r="AO408">
        <v>343.48512559186781</v>
      </c>
      <c r="AP408">
        <v>304.50544337284146</v>
      </c>
      <c r="AQ408" t="s">
        <v>302</v>
      </c>
      <c r="AR408">
        <v>0</v>
      </c>
      <c r="AS408">
        <v>0</v>
      </c>
      <c r="AT408">
        <v>0</v>
      </c>
      <c r="AU408">
        <v>0</v>
      </c>
      <c r="AV408">
        <v>0</v>
      </c>
      <c r="AW408">
        <v>3</v>
      </c>
      <c r="AX408" s="141">
        <v>1.595892318263643E-4</v>
      </c>
      <c r="AY408" s="141">
        <v>1E-8</v>
      </c>
      <c r="AZ408" s="209">
        <v>304.50544337284146</v>
      </c>
      <c r="BA408">
        <v>1.595892318263643E-4</v>
      </c>
      <c r="BB408" s="249">
        <v>58.532045109294842</v>
      </c>
      <c r="BC408" s="243">
        <v>188.45490472760147</v>
      </c>
      <c r="BD408" s="209">
        <v>103719.4654487489</v>
      </c>
      <c r="BE408" s="243">
        <v>80.876158953989872</v>
      </c>
      <c r="BF408" s="209">
        <v>277410.12628155755</v>
      </c>
      <c r="BG408" t="s">
        <v>387</v>
      </c>
      <c r="BH408">
        <v>5.9780405669983573E-6</v>
      </c>
      <c r="BI408">
        <v>2237194.6544874888</v>
      </c>
      <c r="BJ408">
        <f t="shared" si="28"/>
        <v>0.12399910116230296</v>
      </c>
    </row>
    <row r="409" spans="1:62" x14ac:dyDescent="0.3">
      <c r="A409">
        <v>-0.1</v>
      </c>
      <c r="B409" s="146">
        <v>1000</v>
      </c>
      <c r="C409" s="146">
        <v>25</v>
      </c>
      <c r="D409" s="146">
        <v>400</v>
      </c>
      <c r="E409" s="249">
        <v>17.474902619939932</v>
      </c>
      <c r="F409">
        <v>6.5514032023804418</v>
      </c>
      <c r="G409">
        <v>21.483373082476088</v>
      </c>
      <c r="H409">
        <v>0</v>
      </c>
      <c r="J409">
        <v>1.4158941717273591E-4</v>
      </c>
      <c r="K409">
        <v>1E-8</v>
      </c>
      <c r="L409">
        <v>106.3698363931332</v>
      </c>
      <c r="M409">
        <v>63.821901339487347</v>
      </c>
      <c r="N409">
        <v>-2.5681858553160144E-3</v>
      </c>
      <c r="Z409" t="s">
        <v>35</v>
      </c>
      <c r="AL409">
        <v>293.3299647158384</v>
      </c>
      <c r="AM409">
        <v>0.30495226132456815</v>
      </c>
      <c r="AN409">
        <v>0.28230043689152184</v>
      </c>
      <c r="AO409">
        <v>338.0982090840514</v>
      </c>
      <c r="AP409">
        <v>294.61405764349638</v>
      </c>
      <c r="AQ409" t="s">
        <v>302</v>
      </c>
      <c r="AR409">
        <v>0</v>
      </c>
      <c r="AS409">
        <v>0</v>
      </c>
      <c r="AT409">
        <v>0</v>
      </c>
      <c r="AU409">
        <v>0</v>
      </c>
      <c r="AV409">
        <v>0</v>
      </c>
      <c r="AW409">
        <v>3</v>
      </c>
      <c r="AX409" s="141">
        <v>1.4173922878819989E-4</v>
      </c>
      <c r="AY409" s="141">
        <v>1E-8</v>
      </c>
      <c r="AZ409" s="209">
        <v>294.61405764349638</v>
      </c>
      <c r="BA409">
        <v>1.4173922878819989E-4</v>
      </c>
      <c r="BB409" s="249">
        <v>67.092557041789163</v>
      </c>
      <c r="BC409" s="243">
        <v>202.49365949067001</v>
      </c>
      <c r="BD409" s="209">
        <v>115765.82970872358</v>
      </c>
      <c r="BE409" s="243">
        <v>90.613885047704301</v>
      </c>
      <c r="BF409" s="209">
        <v>338800.99765278905</v>
      </c>
      <c r="BG409" t="s">
        <v>387</v>
      </c>
      <c r="BH409">
        <v>6.2220496565558336E-6</v>
      </c>
      <c r="BI409">
        <v>2357658.2970872358</v>
      </c>
      <c r="BJ409">
        <f t="shared" si="28"/>
        <v>0.14370233297647927</v>
      </c>
    </row>
    <row r="410" spans="1:62" s="146" customFormat="1" x14ac:dyDescent="0.3">
      <c r="A410">
        <v>-0.1</v>
      </c>
      <c r="B410" s="146">
        <v>1300</v>
      </c>
      <c r="C410" s="146">
        <v>25</v>
      </c>
      <c r="D410" s="146">
        <v>400</v>
      </c>
      <c r="E410" s="252">
        <v>19.448947824391738</v>
      </c>
      <c r="F410" s="146">
        <v>7.6073157272549095</v>
      </c>
      <c r="G410" s="146">
        <v>24.048624342894616</v>
      </c>
      <c r="H410" s="146">
        <v>0</v>
      </c>
      <c r="J410" s="146">
        <v>1.2441433807969379E-4</v>
      </c>
      <c r="K410" s="146">
        <v>1E-8</v>
      </c>
      <c r="L410" s="146">
        <v>121.57878208272943</v>
      </c>
      <c r="M410" s="146">
        <v>72.947268682270007</v>
      </c>
      <c r="N410" s="146">
        <v>-2.5088589383318515E-3</v>
      </c>
      <c r="Z410" s="146" t="s">
        <v>35</v>
      </c>
      <c r="AL410" s="146">
        <v>282.7624100446555</v>
      </c>
      <c r="AM410" s="146">
        <v>0.31633059832391452</v>
      </c>
      <c r="AN410" s="146">
        <v>0.28776081816698568</v>
      </c>
      <c r="AO410" s="146">
        <v>332.41280050466901</v>
      </c>
      <c r="AP410">
        <v>284.01683951382142</v>
      </c>
      <c r="AQ410" s="146" t="s">
        <v>302</v>
      </c>
      <c r="AR410" s="146">
        <v>0</v>
      </c>
      <c r="AS410" s="146">
        <v>0</v>
      </c>
      <c r="AT410" s="146">
        <v>0</v>
      </c>
      <c r="AU410" s="146">
        <v>0</v>
      </c>
      <c r="AV410" s="146">
        <v>0</v>
      </c>
      <c r="AW410" s="146">
        <v>3</v>
      </c>
      <c r="AX410" s="141">
        <v>1.2453734772889779E-4</v>
      </c>
      <c r="AY410" s="228">
        <v>1E-8</v>
      </c>
      <c r="AZ410" s="209">
        <v>284.01683951382142</v>
      </c>
      <c r="BA410" s="146">
        <v>1.2453734772889779E-4</v>
      </c>
      <c r="BB410" s="252">
        <v>77.008799781617256</v>
      </c>
      <c r="BC410" s="244">
        <v>216.77657585793838</v>
      </c>
      <c r="BD410" s="229">
        <v>128954.65905159006</v>
      </c>
      <c r="BE410" s="244">
        <v>101.63088609223229</v>
      </c>
      <c r="BF410" s="229">
        <v>413469.79765084066</v>
      </c>
      <c r="BG410" t="s">
        <v>387</v>
      </c>
      <c r="BH410" s="146">
        <v>6.4330990519536366E-6</v>
      </c>
      <c r="BI410" s="146">
        <v>2489546.5905159004</v>
      </c>
      <c r="BJ410">
        <f t="shared" si="28"/>
        <v>0.16608236986846617</v>
      </c>
    </row>
    <row r="411" spans="1:62" s="146" customFormat="1" x14ac:dyDescent="0.3">
      <c r="A411">
        <v>-0.1</v>
      </c>
      <c r="B411" s="227">
        <v>1600</v>
      </c>
      <c r="C411" s="146">
        <v>25</v>
      </c>
      <c r="D411" s="146">
        <v>400</v>
      </c>
      <c r="E411" s="252">
        <v>20.708759537676254</v>
      </c>
      <c r="F411" s="146">
        <v>8.2041824242915897</v>
      </c>
      <c r="G411" s="146">
        <v>25.654045229069279</v>
      </c>
      <c r="H411" s="146">
        <v>0</v>
      </c>
      <c r="J411" s="146">
        <v>9.9999993813135301E-9</v>
      </c>
      <c r="K411" s="146">
        <v>1E-8</v>
      </c>
      <c r="L411" s="146">
        <v>136.82236996000796</v>
      </c>
      <c r="M411" s="146">
        <v>82.093421337500374</v>
      </c>
      <c r="N411" s="146">
        <v>-2.155194529277256E-7</v>
      </c>
      <c r="Z411" s="146" t="s">
        <v>35</v>
      </c>
      <c r="AL411" s="146">
        <v>280.934728012368</v>
      </c>
      <c r="AM411" s="146">
        <v>0.31980073127006159</v>
      </c>
      <c r="AN411" s="146">
        <v>0.30664025302328046</v>
      </c>
      <c r="AO411" s="146">
        <v>332.46561945634704</v>
      </c>
      <c r="AP411">
        <v>280.93483577209452</v>
      </c>
      <c r="AQ411" s="146" t="s">
        <v>302</v>
      </c>
      <c r="AR411" s="146">
        <v>0</v>
      </c>
      <c r="AS411" s="146">
        <v>0</v>
      </c>
      <c r="AT411" s="146">
        <v>0</v>
      </c>
      <c r="AU411" s="146">
        <v>0</v>
      </c>
      <c r="AV411" s="146">
        <v>0</v>
      </c>
      <c r="AW411" s="146">
        <v>3</v>
      </c>
      <c r="AX411" s="141">
        <v>9.9999999999948221E-9</v>
      </c>
      <c r="AY411" s="228">
        <v>1E-8</v>
      </c>
      <c r="AZ411" s="209">
        <v>280.93483577209452</v>
      </c>
      <c r="BA411" s="146">
        <v>9.9999999999948221E-9</v>
      </c>
      <c r="BB411" s="252">
        <v>82.769453620078224</v>
      </c>
      <c r="BC411" s="244">
        <v>235.38962405040505</v>
      </c>
      <c r="BD411" s="229">
        <v>136484.35971952457</v>
      </c>
      <c r="BE411" s="244">
        <v>101.88816764848703</v>
      </c>
      <c r="BF411" s="229">
        <v>463700.133284515</v>
      </c>
      <c r="BG411" t="s">
        <v>387</v>
      </c>
      <c r="BH411" s="146">
        <v>6.5664091939320371E-6</v>
      </c>
      <c r="BI411" s="146">
        <v>2564843.5971952458</v>
      </c>
      <c r="BJ411">
        <f t="shared" si="28"/>
        <v>0.1807908029135144</v>
      </c>
    </row>
    <row r="412" spans="1:62" s="140" customFormat="1" x14ac:dyDescent="0.3">
      <c r="A412" s="140">
        <v>-0.1</v>
      </c>
      <c r="B412" s="140">
        <v>1900</v>
      </c>
      <c r="C412" s="140">
        <v>25</v>
      </c>
      <c r="D412" s="140">
        <v>400</v>
      </c>
      <c r="E412" s="253">
        <v>21.089330717894917</v>
      </c>
      <c r="F412" s="140">
        <v>8.4084096040658221</v>
      </c>
      <c r="G412" s="140">
        <v>26.131425738562051</v>
      </c>
      <c r="H412" s="140">
        <v>0</v>
      </c>
      <c r="J412" s="140">
        <v>9.9999994009491683E-9</v>
      </c>
      <c r="K412" s="140">
        <v>1E-8</v>
      </c>
      <c r="L412" s="140">
        <v>141.0640483652638</v>
      </c>
      <c r="M412" s="140">
        <v>84.638428360859379</v>
      </c>
      <c r="N412" s="140">
        <v>-2.1927211902277162E-7</v>
      </c>
      <c r="Z412" s="140" t="s">
        <v>35</v>
      </c>
      <c r="AL412" s="140">
        <v>279.21202784096869</v>
      </c>
      <c r="AM412" s="140">
        <v>0.32177385528787134</v>
      </c>
      <c r="AN412" s="140">
        <v>0.30873025348098088</v>
      </c>
      <c r="AO412" s="140">
        <v>331.69010655706887</v>
      </c>
      <c r="AP412" s="140">
        <v>279.21213747702819</v>
      </c>
      <c r="AQ412" s="140" t="s">
        <v>302</v>
      </c>
      <c r="AR412" s="140">
        <v>0</v>
      </c>
      <c r="AS412" s="140">
        <v>0</v>
      </c>
      <c r="AT412" s="140">
        <v>0</v>
      </c>
      <c r="AU412" s="140">
        <v>0</v>
      </c>
      <c r="AV412" s="140">
        <v>0</v>
      </c>
      <c r="AW412" s="140">
        <v>3</v>
      </c>
      <c r="AX412" s="141">
        <v>9.9999999999948221E-9</v>
      </c>
      <c r="AY412" s="205">
        <v>1E-8</v>
      </c>
      <c r="AZ412" s="209">
        <v>279.21213747702819</v>
      </c>
      <c r="BA412" s="140">
        <v>9.9999999999948221E-9</v>
      </c>
      <c r="BB412" s="253">
        <v>84.668611239598675</v>
      </c>
      <c r="BC412" s="245">
        <v>232.0228352131895</v>
      </c>
      <c r="BD412" s="210">
        <v>136681.12990608477</v>
      </c>
      <c r="BE412" s="245">
        <v>103.13325224049852</v>
      </c>
      <c r="BF412" s="210">
        <v>475010.26425973477</v>
      </c>
      <c r="BG412" t="s">
        <v>387</v>
      </c>
      <c r="BH412" s="140">
        <v>6.6602509472844773E-6</v>
      </c>
      <c r="BI412" s="140">
        <v>2566811.2990608476</v>
      </c>
      <c r="BJ412">
        <f t="shared" si="28"/>
        <v>0.18505850602790042</v>
      </c>
    </row>
    <row r="413" spans="1:62" x14ac:dyDescent="0.3">
      <c r="A413">
        <v>-0.1</v>
      </c>
      <c r="B413" s="146">
        <v>1000</v>
      </c>
      <c r="C413" s="146">
        <v>25</v>
      </c>
      <c r="D413" s="146">
        <v>200</v>
      </c>
      <c r="E413" s="249">
        <v>10.789211648618698</v>
      </c>
      <c r="F413">
        <v>11.51137335689425</v>
      </c>
      <c r="G413">
        <v>17.410642975535488</v>
      </c>
      <c r="H413">
        <v>0</v>
      </c>
      <c r="J413">
        <v>1.0793814707354431E-4</v>
      </c>
      <c r="K413">
        <v>1E-8</v>
      </c>
      <c r="L413">
        <v>111.45713475706336</v>
      </c>
      <c r="M413">
        <v>66.874280334104711</v>
      </c>
      <c r="N413">
        <v>-1.2503293839183018E-3</v>
      </c>
      <c r="Z413" t="s">
        <v>35</v>
      </c>
      <c r="AL413">
        <v>135.26027879205475</v>
      </c>
      <c r="AM413">
        <v>0.6611687674642126</v>
      </c>
      <c r="AN413">
        <v>0.28951004860702761</v>
      </c>
      <c r="AO413">
        <v>162.73285953102217</v>
      </c>
      <c r="AP413">
        <v>135.88544348401388</v>
      </c>
      <c r="AQ413" t="s">
        <v>302</v>
      </c>
      <c r="AR413">
        <v>0</v>
      </c>
      <c r="AS413">
        <v>0</v>
      </c>
      <c r="AT413">
        <v>0</v>
      </c>
      <c r="AU413">
        <v>0</v>
      </c>
      <c r="AV413">
        <v>0</v>
      </c>
      <c r="AW413" s="146">
        <v>3</v>
      </c>
      <c r="AX413" s="141">
        <v>1.0806595882048245E-4</v>
      </c>
      <c r="AY413" s="141">
        <v>1E-8</v>
      </c>
      <c r="AZ413" s="209">
        <v>135.88544348401388</v>
      </c>
      <c r="BA413" s="198">
        <v>1.0806595882048245E-4</v>
      </c>
      <c r="BB413" s="249">
        <v>97.549863900005548</v>
      </c>
      <c r="BC413" s="243">
        <v>218.47270446003904</v>
      </c>
      <c r="BD413" s="209">
        <v>147927.47263147804</v>
      </c>
      <c r="BE413" s="244">
        <v>127.82515492782711</v>
      </c>
      <c r="BF413" s="209">
        <v>220023.20538537612</v>
      </c>
      <c r="BG413" t="s">
        <v>388</v>
      </c>
      <c r="BH413">
        <v>3.485904106621279E-6</v>
      </c>
      <c r="BI413">
        <v>2679274.7263147803</v>
      </c>
      <c r="BJ413">
        <f t="shared" si="28"/>
        <v>8.2120434767063988E-2</v>
      </c>
    </row>
    <row r="414" spans="1:62" x14ac:dyDescent="0.3">
      <c r="A414">
        <v>-0.1</v>
      </c>
      <c r="B414" s="146">
        <v>1000</v>
      </c>
      <c r="C414" s="146">
        <v>25</v>
      </c>
      <c r="D414" s="146">
        <v>300</v>
      </c>
      <c r="E414" s="249">
        <v>14.890348850405454</v>
      </c>
      <c r="F414">
        <v>8.4899440456426092</v>
      </c>
      <c r="G414">
        <v>19.921378212819985</v>
      </c>
      <c r="H414">
        <v>0</v>
      </c>
      <c r="J414">
        <v>1.236022191390248E-4</v>
      </c>
      <c r="K414">
        <v>1E-8</v>
      </c>
      <c r="L414">
        <v>108.55035176533133</v>
      </c>
      <c r="M414">
        <v>65.130210552630473</v>
      </c>
      <c r="N414">
        <v>-1.9284905968191225E-3</v>
      </c>
      <c r="Z414" t="s">
        <v>35</v>
      </c>
      <c r="AL414">
        <v>209.84995007433739</v>
      </c>
      <c r="AM414">
        <v>0.42617252455852095</v>
      </c>
      <c r="AN414">
        <v>0.28562068449475864</v>
      </c>
      <c r="AO414">
        <v>247.86669993195574</v>
      </c>
      <c r="AP414">
        <v>210.81419537274698</v>
      </c>
      <c r="AQ414" t="s">
        <v>302</v>
      </c>
      <c r="AR414">
        <v>0</v>
      </c>
      <c r="AS414">
        <v>0</v>
      </c>
      <c r="AT414">
        <v>0</v>
      </c>
      <c r="AU414">
        <v>0</v>
      </c>
      <c r="AV414">
        <v>0</v>
      </c>
      <c r="AW414" s="146">
        <v>3</v>
      </c>
      <c r="AX414" s="141">
        <v>1.2374442078974068E-4</v>
      </c>
      <c r="AY414" s="141">
        <v>1E-8</v>
      </c>
      <c r="AZ414" s="209">
        <v>210.81419537274698</v>
      </c>
      <c r="BA414">
        <v>1.2374442078974068E-4</v>
      </c>
      <c r="BB414" s="249">
        <v>79.026185114710259</v>
      </c>
      <c r="BC414" s="243">
        <v>209.19694180266694</v>
      </c>
      <c r="BD414" s="209">
        <v>128464.66311942057</v>
      </c>
      <c r="BE414" s="244">
        <v>105.2259940346233</v>
      </c>
      <c r="BF414" s="209">
        <v>297792.65940029809</v>
      </c>
      <c r="BG414" t="s">
        <v>388</v>
      </c>
      <c r="BH414">
        <v>5.1015995686049599E-6</v>
      </c>
      <c r="BI414">
        <v>2484646.631194206</v>
      </c>
      <c r="BJ414">
        <f t="shared" si="28"/>
        <v>0.1198531234428168</v>
      </c>
    </row>
    <row r="415" spans="1:62" x14ac:dyDescent="0.3">
      <c r="A415">
        <v>-0.1</v>
      </c>
      <c r="B415" s="146">
        <v>1000</v>
      </c>
      <c r="C415" s="146">
        <v>25</v>
      </c>
      <c r="D415" s="146">
        <v>400</v>
      </c>
      <c r="E415" s="249">
        <v>17.483124936798301</v>
      </c>
      <c r="F415">
        <v>6.5559512159500768</v>
      </c>
      <c r="G415">
        <v>21.494451503992469</v>
      </c>
      <c r="H415">
        <v>0</v>
      </c>
      <c r="J415">
        <v>1.4160605654268458E-4</v>
      </c>
      <c r="K415">
        <v>1E-8</v>
      </c>
      <c r="L415">
        <v>106.4257765760162</v>
      </c>
      <c r="M415">
        <v>63.855465448956089</v>
      </c>
      <c r="N415">
        <v>-2.5697211724909691E-3</v>
      </c>
      <c r="Z415" t="s">
        <v>35</v>
      </c>
      <c r="AL415">
        <v>293.27663618067641</v>
      </c>
      <c r="AM415">
        <v>0.30500667647799001</v>
      </c>
      <c r="AN415">
        <v>0.2822858716955628</v>
      </c>
      <c r="AO415">
        <v>338.06588749275647</v>
      </c>
      <c r="AP415">
        <v>294.56149676692189</v>
      </c>
      <c r="AQ415" t="s">
        <v>302</v>
      </c>
      <c r="AR415">
        <v>0</v>
      </c>
      <c r="AS415">
        <v>0</v>
      </c>
      <c r="AT415">
        <v>0</v>
      </c>
      <c r="AU415">
        <v>0</v>
      </c>
      <c r="AV415">
        <v>0</v>
      </c>
      <c r="AW415" s="146">
        <v>3</v>
      </c>
      <c r="AX415" s="141">
        <v>1.4175604761532506E-4</v>
      </c>
      <c r="AY415" s="141">
        <v>1E-8</v>
      </c>
      <c r="AZ415" s="209">
        <v>294.56149676692189</v>
      </c>
      <c r="BA415">
        <v>1.4175604761532506E-4</v>
      </c>
      <c r="BB415" s="249">
        <v>67.135297563597987</v>
      </c>
      <c r="BC415" s="243">
        <v>202.66303092997609</v>
      </c>
      <c r="BD415" s="209">
        <v>115875.18756668628</v>
      </c>
      <c r="BE415" s="244">
        <v>90.677352757676559</v>
      </c>
      <c r="BF415" s="209">
        <v>339195.52177049767</v>
      </c>
      <c r="BG415" t="s">
        <v>388</v>
      </c>
      <c r="BH415">
        <v>6.221486834680823E-6</v>
      </c>
      <c r="BI415">
        <v>2358751.8756668628</v>
      </c>
      <c r="BJ415">
        <f t="shared" si="28"/>
        <v>0.14380296854013133</v>
      </c>
    </row>
    <row r="416" spans="1:62" x14ac:dyDescent="0.3">
      <c r="A416">
        <v>-0.1</v>
      </c>
      <c r="B416" s="146">
        <v>1000</v>
      </c>
      <c r="C416" s="146">
        <v>25</v>
      </c>
      <c r="D416" s="146">
        <v>500</v>
      </c>
      <c r="E416" s="249">
        <v>19.206709020412799</v>
      </c>
      <c r="F416">
        <v>5.2820781157014531</v>
      </c>
      <c r="G416">
        <v>22.546504610611706</v>
      </c>
      <c r="H416">
        <v>0</v>
      </c>
      <c r="J416">
        <v>1.6083090481893607E-4</v>
      </c>
      <c r="K416">
        <v>1E-8</v>
      </c>
      <c r="L416">
        <v>105.00506918465672</v>
      </c>
      <c r="M416">
        <v>63.003041020770375</v>
      </c>
      <c r="N416">
        <v>-3.1911724878405864E-3</v>
      </c>
      <c r="Z416" t="s">
        <v>35</v>
      </c>
      <c r="AL416">
        <v>381.89945502192086</v>
      </c>
      <c r="AM416">
        <v>0.23427481141424458</v>
      </c>
      <c r="AN416">
        <v>0.27952690715092882</v>
      </c>
      <c r="AO416">
        <v>431.28851452557211</v>
      </c>
      <c r="AP416">
        <v>383.49504126584117</v>
      </c>
      <c r="AQ416" t="s">
        <v>302</v>
      </c>
      <c r="AR416">
        <v>0</v>
      </c>
      <c r="AS416">
        <v>0</v>
      </c>
      <c r="AT416">
        <v>0</v>
      </c>
      <c r="AU416">
        <v>0</v>
      </c>
      <c r="AV416">
        <v>0</v>
      </c>
      <c r="AW416" s="146">
        <v>3</v>
      </c>
      <c r="AX416" s="141">
        <v>1.6098667538047562E-4</v>
      </c>
      <c r="AY416" s="141">
        <v>1E-8</v>
      </c>
      <c r="AZ416" s="209">
        <v>383.49504126584117</v>
      </c>
      <c r="BA416">
        <v>1.6098667538047562E-4</v>
      </c>
      <c r="BB416" s="249">
        <v>59.318973646757307</v>
      </c>
      <c r="BC416" s="243">
        <v>198.40248022549679</v>
      </c>
      <c r="BD416" s="209">
        <v>107693.1331481146</v>
      </c>
      <c r="BE416" s="244">
        <v>81.100132713775295</v>
      </c>
      <c r="BF416" s="209">
        <v>362631.62727204914</v>
      </c>
      <c r="BG416" t="s">
        <v>388</v>
      </c>
      <c r="BH416">
        <v>7.0123609950483038E-6</v>
      </c>
      <c r="BI416">
        <v>2276931.3314811462</v>
      </c>
      <c r="BJ416">
        <f t="shared" si="28"/>
        <v>0.15926331297666182</v>
      </c>
    </row>
    <row r="417" spans="1:62" x14ac:dyDescent="0.3">
      <c r="A417">
        <v>-0.1</v>
      </c>
      <c r="B417" s="146">
        <v>1000</v>
      </c>
      <c r="C417" s="146">
        <v>25</v>
      </c>
      <c r="D417" s="146">
        <v>600</v>
      </c>
      <c r="E417" s="249">
        <v>20.422079257082952</v>
      </c>
      <c r="F417">
        <v>4.4018650834817867</v>
      </c>
      <c r="G417">
        <v>23.298382840681676</v>
      </c>
      <c r="H417">
        <v>0</v>
      </c>
      <c r="J417">
        <v>1.8083561997949411E-4</v>
      </c>
      <c r="K417">
        <v>1E-8</v>
      </c>
      <c r="L417">
        <v>104.06896773174117</v>
      </c>
      <c r="M417">
        <v>62.44138015338951</v>
      </c>
      <c r="N417">
        <v>-3.8046404383664857E-3</v>
      </c>
      <c r="Z417" t="s">
        <v>35</v>
      </c>
      <c r="AL417">
        <v>473.62385457462818</v>
      </c>
      <c r="AM417">
        <v>0.18893436139248346</v>
      </c>
      <c r="AN417">
        <v>0.27726152981055741</v>
      </c>
      <c r="AO417">
        <v>526.34362484028486</v>
      </c>
      <c r="AP417">
        <v>475.52617479381144</v>
      </c>
      <c r="AQ417" t="s">
        <v>302</v>
      </c>
      <c r="AR417">
        <v>0</v>
      </c>
      <c r="AS417">
        <v>0</v>
      </c>
      <c r="AT417">
        <v>0</v>
      </c>
      <c r="AU417">
        <v>0</v>
      </c>
      <c r="AV417">
        <v>0</v>
      </c>
      <c r="AW417" s="146">
        <v>3</v>
      </c>
      <c r="AX417" s="141">
        <v>1.8099648508954666E-4</v>
      </c>
      <c r="AY417" s="141">
        <v>1E-8</v>
      </c>
      <c r="AZ417" s="209">
        <v>475.52617479381144</v>
      </c>
      <c r="BA417">
        <v>1.8099648508954666E-4</v>
      </c>
      <c r="BB417" s="249">
        <v>53.943035021703224</v>
      </c>
      <c r="BC417" s="243">
        <v>195.64080443936876</v>
      </c>
      <c r="BD417" s="209">
        <v>102174.45558032335</v>
      </c>
      <c r="BE417" s="244">
        <v>74.507612303763622</v>
      </c>
      <c r="BF417" s="209">
        <v>377287.9998109166</v>
      </c>
      <c r="BG417" t="s">
        <v>388</v>
      </c>
      <c r="BH417">
        <v>7.58982605666274E-6</v>
      </c>
      <c r="BI417">
        <v>2221744.5558032338</v>
      </c>
      <c r="BJ417">
        <f t="shared" si="28"/>
        <v>0.1698161018670819</v>
      </c>
    </row>
    <row r="418" spans="1:62" x14ac:dyDescent="0.3">
      <c r="A418">
        <v>-0.1</v>
      </c>
      <c r="B418" s="146">
        <v>1000</v>
      </c>
      <c r="C418" s="146">
        <v>25</v>
      </c>
      <c r="D418" s="146">
        <v>700</v>
      </c>
      <c r="E418" s="249">
        <v>21.296668941599219</v>
      </c>
      <c r="F418">
        <v>3.7681070990377967</v>
      </c>
      <c r="G418">
        <v>23.836700551196952</v>
      </c>
      <c r="H418">
        <v>0</v>
      </c>
      <c r="J418">
        <v>2.0824036000848507E-4</v>
      </c>
      <c r="K418">
        <v>1E-8</v>
      </c>
      <c r="L418">
        <v>102.49719512321008</v>
      </c>
      <c r="M418">
        <v>61.4983165956058</v>
      </c>
      <c r="N418">
        <v>-4.5599038297054776E-3</v>
      </c>
      <c r="Z418" t="s">
        <v>35</v>
      </c>
      <c r="AL418">
        <v>566.06019390714562</v>
      </c>
      <c r="AM418">
        <v>0.1580800619173186</v>
      </c>
      <c r="AN418">
        <v>0.27072217274227023</v>
      </c>
      <c r="AO418">
        <v>621.33385778536206</v>
      </c>
      <c r="AP418">
        <v>568.34014582199848</v>
      </c>
      <c r="AQ418" t="s">
        <v>302</v>
      </c>
      <c r="AR418">
        <v>0</v>
      </c>
      <c r="AS418">
        <v>0</v>
      </c>
      <c r="AT418">
        <v>0</v>
      </c>
      <c r="AU418">
        <v>0</v>
      </c>
      <c r="AV418">
        <v>0</v>
      </c>
      <c r="AW418" s="146">
        <v>3</v>
      </c>
      <c r="AX418" s="141">
        <v>2.0843180785289154E-4</v>
      </c>
      <c r="AY418" s="141">
        <v>1E-8</v>
      </c>
      <c r="AZ418" s="209">
        <v>568.34014582199848</v>
      </c>
      <c r="BA418">
        <v>2.0843180785289154E-4</v>
      </c>
      <c r="BB418" s="249">
        <v>50.069292497873342</v>
      </c>
      <c r="BC418" s="243">
        <v>191.08226259514674</v>
      </c>
      <c r="BD418" s="209">
        <v>98287.072879899206</v>
      </c>
      <c r="BE418" s="244">
        <v>71.308961436386028</v>
      </c>
      <c r="BF418" s="209">
        <v>386728.86420522101</v>
      </c>
      <c r="BG418" t="s">
        <v>388</v>
      </c>
      <c r="BH418">
        <v>8.0176987921098866E-6</v>
      </c>
      <c r="BI418">
        <v>2182870.728798992</v>
      </c>
      <c r="BJ418">
        <f t="shared" si="28"/>
        <v>0.17716526182839876</v>
      </c>
    </row>
    <row r="419" spans="1:62" x14ac:dyDescent="0.3">
      <c r="A419">
        <v>-0.1</v>
      </c>
      <c r="B419" s="146">
        <v>1000</v>
      </c>
      <c r="C419" s="146">
        <v>25</v>
      </c>
      <c r="D419" s="146">
        <v>800</v>
      </c>
      <c r="E419" s="249">
        <v>21.980355372532404</v>
      </c>
      <c r="F419">
        <v>3.2779857142444531</v>
      </c>
      <c r="G419">
        <v>24.264673972421694</v>
      </c>
      <c r="H419">
        <v>0</v>
      </c>
      <c r="J419">
        <v>2.2127402907792096E-4</v>
      </c>
      <c r="K419">
        <v>1E-8</v>
      </c>
      <c r="L419">
        <v>102.83996802599631</v>
      </c>
      <c r="M419">
        <v>61.703980335677947</v>
      </c>
      <c r="N419">
        <v>-4.9956332235761387E-3</v>
      </c>
      <c r="Z419" t="s">
        <v>35</v>
      </c>
      <c r="AL419">
        <v>662.54994661695537</v>
      </c>
      <c r="AM419">
        <v>0.13509292224449779</v>
      </c>
      <c r="AN419">
        <v>0.27387377336772145</v>
      </c>
      <c r="AO419">
        <v>719.74275191724882</v>
      </c>
      <c r="AP419">
        <v>665.04776322874341</v>
      </c>
      <c r="AQ419" t="s">
        <v>302</v>
      </c>
      <c r="AR419">
        <v>0</v>
      </c>
      <c r="AS419">
        <v>0</v>
      </c>
      <c r="AT419">
        <v>0</v>
      </c>
      <c r="AU419">
        <v>0</v>
      </c>
      <c r="AV419">
        <v>0</v>
      </c>
      <c r="AW419" s="146">
        <v>3</v>
      </c>
      <c r="AX419" s="141">
        <v>2.2144204098838079E-4</v>
      </c>
      <c r="AY419" s="141">
        <v>1E-8</v>
      </c>
      <c r="AZ419" s="209">
        <v>665.04776322874341</v>
      </c>
      <c r="BA419">
        <v>2.2144204098838079E-4</v>
      </c>
      <c r="BB419" s="249">
        <v>47.085166860021083</v>
      </c>
      <c r="BC419" s="243">
        <v>192.06817330339959</v>
      </c>
      <c r="BD419" s="209">
        <v>95154.348115493485</v>
      </c>
      <c r="BE419" s="244">
        <v>66.062123803425834</v>
      </c>
      <c r="BF419" s="209">
        <v>393027.32199992717</v>
      </c>
      <c r="BG419" t="s">
        <v>388</v>
      </c>
      <c r="BH419">
        <v>8.3660586041626511E-6</v>
      </c>
      <c r="BI419">
        <v>2151543.481154935</v>
      </c>
      <c r="BJ419">
        <f t="shared" si="28"/>
        <v>0.18267226548865867</v>
      </c>
    </row>
    <row r="420" spans="1:62" x14ac:dyDescent="0.3">
      <c r="A420">
        <v>-0.1</v>
      </c>
      <c r="B420" s="146">
        <v>1000</v>
      </c>
      <c r="C420" s="146">
        <v>25</v>
      </c>
      <c r="D420" s="146">
        <v>900</v>
      </c>
      <c r="E420" s="249">
        <v>22.52073493112475</v>
      </c>
      <c r="F420">
        <v>2.9039889240207786</v>
      </c>
      <c r="G420">
        <v>24.608610444911108</v>
      </c>
      <c r="H420">
        <v>0</v>
      </c>
      <c r="J420">
        <v>2.4144177805148577E-4</v>
      </c>
      <c r="K420">
        <v>1E-8</v>
      </c>
      <c r="L420">
        <v>102.49458864294292</v>
      </c>
      <c r="M420">
        <v>61.496752707457667</v>
      </c>
      <c r="N420">
        <v>-5.5800328416700006E-3</v>
      </c>
      <c r="Z420" t="s">
        <v>35</v>
      </c>
      <c r="AL420">
        <v>758.54814302820751</v>
      </c>
      <c r="AM420">
        <v>0.11800702565151555</v>
      </c>
      <c r="AN420">
        <v>0.27257639802129069</v>
      </c>
      <c r="AO420">
        <v>817.3782649759512</v>
      </c>
      <c r="AP420">
        <v>761.33815944904256</v>
      </c>
      <c r="AQ420" t="s">
        <v>302</v>
      </c>
      <c r="AR420">
        <v>0</v>
      </c>
      <c r="AS420">
        <v>0</v>
      </c>
      <c r="AT420">
        <v>0</v>
      </c>
      <c r="AU420">
        <v>0</v>
      </c>
      <c r="AV420">
        <v>0</v>
      </c>
      <c r="AW420" s="146">
        <v>3</v>
      </c>
      <c r="AX420" s="141">
        <v>2.4161246519248663E-4</v>
      </c>
      <c r="AY420" s="141">
        <v>1E-8</v>
      </c>
      <c r="AZ420" s="209">
        <v>761.33815944904256</v>
      </c>
      <c r="BA420">
        <v>2.4161246519248663E-4</v>
      </c>
      <c r="BB420" s="249">
        <v>44.825433790167331</v>
      </c>
      <c r="BC420" s="243">
        <v>191.07478293379097</v>
      </c>
      <c r="BD420" s="209">
        <v>92926.225498551459</v>
      </c>
      <c r="BE420" s="244">
        <v>63.277637776596698</v>
      </c>
      <c r="BF420" s="209">
        <v>398200.36923139729</v>
      </c>
      <c r="BG420" t="s">
        <v>388</v>
      </c>
      <c r="BH420">
        <v>8.6368895659021515E-6</v>
      </c>
      <c r="BI420">
        <v>2129262.2549855146</v>
      </c>
      <c r="BJ420">
        <f t="shared" si="28"/>
        <v>0.18701330392676607</v>
      </c>
    </row>
    <row r="421" spans="1:62" x14ac:dyDescent="0.3">
      <c r="A421">
        <v>-0.1</v>
      </c>
      <c r="B421" s="146">
        <v>1000</v>
      </c>
      <c r="C421" s="146">
        <v>25</v>
      </c>
      <c r="D421" s="146">
        <v>1000</v>
      </c>
      <c r="E421" s="249">
        <v>22.94931062607986</v>
      </c>
      <c r="F421">
        <v>2.6041012164204247</v>
      </c>
      <c r="G421">
        <v>24.879471818878184</v>
      </c>
      <c r="H421">
        <v>0</v>
      </c>
      <c r="J421">
        <v>2.6165132748046593E-4</v>
      </c>
      <c r="K421">
        <v>1E-8</v>
      </c>
      <c r="L421">
        <v>102.19345917738221</v>
      </c>
      <c r="M421">
        <v>61.316075029526509</v>
      </c>
      <c r="N421">
        <v>-6.1580483397590449E-3</v>
      </c>
      <c r="Z421" t="s">
        <v>35</v>
      </c>
      <c r="AL421">
        <v>855.27962391905851</v>
      </c>
      <c r="AM421">
        <v>0.10466866963166277</v>
      </c>
      <c r="AN421">
        <v>0.27147610239213932</v>
      </c>
      <c r="AO421">
        <v>915.46471153865969</v>
      </c>
      <c r="AP421">
        <v>858.35864808893814</v>
      </c>
      <c r="AQ421" t="s">
        <v>302</v>
      </c>
      <c r="AR421">
        <v>0</v>
      </c>
      <c r="AS421">
        <v>0</v>
      </c>
      <c r="AT421">
        <v>0</v>
      </c>
      <c r="AU421">
        <v>0</v>
      </c>
      <c r="AV421">
        <v>0</v>
      </c>
      <c r="AW421" s="146">
        <v>3</v>
      </c>
      <c r="AX421" s="141">
        <v>2.6182428648136686E-4</v>
      </c>
      <c r="AY421" s="141">
        <v>1E-8</v>
      </c>
      <c r="AZ421" s="209">
        <v>858.35864808893814</v>
      </c>
      <c r="BA421">
        <v>2.6182428648136686E-4</v>
      </c>
      <c r="BB421" s="249">
        <v>43.008553999511271</v>
      </c>
      <c r="BC421" s="243">
        <v>190.21239725198132</v>
      </c>
      <c r="BD421" s="209">
        <v>91112.249064433505</v>
      </c>
      <c r="BE421" s="244">
        <v>61.031836583263512</v>
      </c>
      <c r="BF421" s="209">
        <v>401844.34663408867</v>
      </c>
      <c r="BG421" t="s">
        <v>388</v>
      </c>
      <c r="BH421">
        <v>8.8577332444898483E-6</v>
      </c>
      <c r="BI421">
        <v>2111122.4906443348</v>
      </c>
      <c r="BJ421">
        <f t="shared" si="28"/>
        <v>0.19034629606519984</v>
      </c>
    </row>
    <row r="422" spans="1:62" s="140" customFormat="1" x14ac:dyDescent="0.3">
      <c r="A422" s="140">
        <v>-0.1</v>
      </c>
      <c r="B422" s="140">
        <v>1000</v>
      </c>
      <c r="C422" s="140">
        <v>25</v>
      </c>
      <c r="D422" s="140">
        <v>1100</v>
      </c>
      <c r="E422" s="253">
        <v>23.301644143526005</v>
      </c>
      <c r="F422" s="140">
        <v>2.359441016804035</v>
      </c>
      <c r="G422" s="140">
        <v>25.10318149355594</v>
      </c>
      <c r="H422" s="140">
        <v>0</v>
      </c>
      <c r="J422" s="140">
        <v>2.814824306066242E-4</v>
      </c>
      <c r="K422" s="140">
        <v>1E-8</v>
      </c>
      <c r="L422" s="140">
        <v>101.95300007093431</v>
      </c>
      <c r="M422" s="140">
        <v>61.171799566779917</v>
      </c>
      <c r="N422" s="140">
        <v>-6.7229870783604212E-3</v>
      </c>
      <c r="Z422" s="140" t="s">
        <v>35</v>
      </c>
      <c r="AL422" s="140">
        <v>952.52243733944192</v>
      </c>
      <c r="AM422" s="140">
        <v>9.3989720681807221E-2</v>
      </c>
      <c r="AN422" s="140">
        <v>0.27053034991956898</v>
      </c>
      <c r="AO422" s="140">
        <v>1013.8668021889087</v>
      </c>
      <c r="AP422" s="140">
        <v>955.88393087862221</v>
      </c>
      <c r="AQ422" s="140" t="s">
        <v>302</v>
      </c>
      <c r="AR422" s="140">
        <v>0</v>
      </c>
      <c r="AS422" s="140">
        <v>0</v>
      </c>
      <c r="AT422" s="140">
        <v>0</v>
      </c>
      <c r="AU422" s="140">
        <v>0</v>
      </c>
      <c r="AV422" s="140">
        <v>0</v>
      </c>
      <c r="AW422" s="140">
        <v>3</v>
      </c>
      <c r="AX422" s="141">
        <v>2.8165692270121744E-4</v>
      </c>
      <c r="AY422" s="205">
        <v>1E-8</v>
      </c>
      <c r="AZ422" s="209">
        <v>955.88393087862221</v>
      </c>
      <c r="BA422" s="140">
        <v>2.8165692270121744E-4</v>
      </c>
      <c r="BB422" s="253">
        <v>41.529002221744683</v>
      </c>
      <c r="BC422" s="245">
        <v>189.52623739838532</v>
      </c>
      <c r="BD422" s="210">
        <v>89643.693516908592</v>
      </c>
      <c r="BE422" s="245">
        <v>59.200499252782443</v>
      </c>
      <c r="BF422" s="210">
        <v>404692.25240012875</v>
      </c>
      <c r="BG422" t="s">
        <v>388</v>
      </c>
      <c r="BH422" s="140">
        <v>9.0409412012561233E-6</v>
      </c>
      <c r="BI422" s="140">
        <v>2096436.9351690859</v>
      </c>
      <c r="BJ422">
        <f t="shared" si="28"/>
        <v>0.19303812369032161</v>
      </c>
    </row>
    <row r="423" spans="1:62" x14ac:dyDescent="0.3">
      <c r="A423">
        <v>-0.1</v>
      </c>
      <c r="B423" s="146">
        <v>1000</v>
      </c>
      <c r="C423" s="146">
        <v>25</v>
      </c>
      <c r="D423" s="146">
        <v>400</v>
      </c>
      <c r="E423" s="249">
        <v>17.483975177305076</v>
      </c>
      <c r="F423">
        <v>6.5565243387212444</v>
      </c>
      <c r="G423">
        <v>21.495642147034403</v>
      </c>
      <c r="H423">
        <v>0</v>
      </c>
      <c r="J423">
        <v>1.4158653410897783E-4</v>
      </c>
      <c r="K423">
        <v>1E-8</v>
      </c>
      <c r="L423">
        <v>106.42793565572286</v>
      </c>
      <c r="M423">
        <v>63.856760896770012</v>
      </c>
      <c r="N423">
        <v>-2.5694948160300581E-3</v>
      </c>
      <c r="Z423" t="s">
        <v>35</v>
      </c>
      <c r="AL423">
        <v>293.26731617000536</v>
      </c>
      <c r="AM423">
        <v>0.30501644444363812</v>
      </c>
      <c r="AN423">
        <v>0.28226559096750303</v>
      </c>
      <c r="AO423">
        <v>338.05842533843247</v>
      </c>
      <c r="AP423">
        <v>294.55206357802041</v>
      </c>
      <c r="AQ423" t="s">
        <v>302</v>
      </c>
      <c r="AR423">
        <v>0</v>
      </c>
      <c r="AS423">
        <v>0</v>
      </c>
      <c r="AT423">
        <v>0</v>
      </c>
      <c r="AU423">
        <v>0</v>
      </c>
      <c r="AV423">
        <v>0</v>
      </c>
      <c r="AW423" s="146">
        <v>3</v>
      </c>
      <c r="AX423" s="141">
        <v>1.4173654853057106E-4</v>
      </c>
      <c r="AY423" s="141">
        <v>1E-8</v>
      </c>
      <c r="AZ423" s="209">
        <v>294.55206357802041</v>
      </c>
      <c r="BA423" s="198">
        <v>1.4173654853057106E-4</v>
      </c>
      <c r="BB423" s="249">
        <v>67.140478140066264</v>
      </c>
      <c r="BC423" s="243">
        <v>202.66957071391377</v>
      </c>
      <c r="BD423" s="209">
        <v>115888.00822357465</v>
      </c>
      <c r="BE423" s="244">
        <v>90.692349433567742</v>
      </c>
      <c r="BF423" s="209">
        <v>339239.11870743986</v>
      </c>
      <c r="BG423" t="s">
        <v>389</v>
      </c>
      <c r="BH423">
        <v>6.2213855275624493E-6</v>
      </c>
      <c r="BI423">
        <v>2358880.0822357466</v>
      </c>
      <c r="BJ423">
        <f t="shared" si="28"/>
        <v>0.1438136348100871</v>
      </c>
    </row>
    <row r="424" spans="1:62" x14ac:dyDescent="0.3">
      <c r="A424">
        <v>-0.1</v>
      </c>
      <c r="B424" s="146">
        <v>1000</v>
      </c>
      <c r="C424" s="146">
        <v>25</v>
      </c>
      <c r="D424" s="146">
        <v>400</v>
      </c>
      <c r="E424" s="249">
        <v>16.898896825469532</v>
      </c>
      <c r="F424">
        <v>6.2356484325218835</v>
      </c>
      <c r="G424">
        <v>20.71000858736868</v>
      </c>
      <c r="H424">
        <v>0</v>
      </c>
      <c r="J424">
        <v>1.3751205547402637E-4</v>
      </c>
      <c r="K424">
        <v>1E-8</v>
      </c>
      <c r="L424">
        <v>102.55477001143996</v>
      </c>
      <c r="M424">
        <v>61.532861528275035</v>
      </c>
      <c r="N424">
        <v>-2.4106441227770615E-3</v>
      </c>
      <c r="Z424" t="s">
        <v>35</v>
      </c>
      <c r="AL424">
        <v>297.18446433728496</v>
      </c>
      <c r="AM424">
        <v>0.3010934740184073</v>
      </c>
      <c r="AN424">
        <v>0.28373036868845847</v>
      </c>
      <c r="AO424">
        <v>340.44029582175301</v>
      </c>
      <c r="AP424">
        <v>298.38978639867344</v>
      </c>
      <c r="AQ424" t="s">
        <v>302</v>
      </c>
      <c r="AR424">
        <v>0</v>
      </c>
      <c r="AS424">
        <v>0</v>
      </c>
      <c r="AT424">
        <v>0</v>
      </c>
      <c r="AU424">
        <v>0</v>
      </c>
      <c r="AV424">
        <v>0</v>
      </c>
      <c r="AW424" s="146">
        <v>2.5</v>
      </c>
      <c r="AX424" s="141">
        <v>1.3764312567809682E-4</v>
      </c>
      <c r="AY424" s="141">
        <v>1E-8</v>
      </c>
      <c r="AZ424" s="209">
        <v>298.38978639867344</v>
      </c>
      <c r="BA424">
        <v>1.3764312567809682E-4</v>
      </c>
      <c r="BB424" s="249">
        <v>64.120989097764138</v>
      </c>
      <c r="BC424" s="243">
        <v>191.24754825492877</v>
      </c>
      <c r="BD424" s="209">
        <v>108308.9527424781</v>
      </c>
      <c r="BE424" s="244">
        <v>86.06747000035331</v>
      </c>
      <c r="BF424" s="209">
        <v>386886.58923855273</v>
      </c>
      <c r="BG424" t="s">
        <v>389</v>
      </c>
      <c r="BH424">
        <v>6.0616102242084645E-6</v>
      </c>
      <c r="BI424">
        <v>2283089.5274247807</v>
      </c>
      <c r="BJ424">
        <f t="shared" si="28"/>
        <v>0.16945747619233439</v>
      </c>
    </row>
    <row r="425" spans="1:62" x14ac:dyDescent="0.3">
      <c r="A425">
        <v>-0.1</v>
      </c>
      <c r="B425" s="146">
        <v>1000</v>
      </c>
      <c r="C425" s="146">
        <v>25</v>
      </c>
      <c r="D425" s="146">
        <v>400</v>
      </c>
      <c r="E425" s="249">
        <v>14.759464831524232</v>
      </c>
      <c r="F425">
        <v>5.1532271226822504</v>
      </c>
      <c r="G425">
        <v>17.899621383905739</v>
      </c>
      <c r="H425">
        <v>0</v>
      </c>
      <c r="J425">
        <v>1.2518939370118509E-4</v>
      </c>
      <c r="K425">
        <v>1E-8</v>
      </c>
      <c r="L425">
        <v>88.645505838617098</v>
      </c>
      <c r="M425">
        <v>53.18730308949123</v>
      </c>
      <c r="N425">
        <v>-1.9132786408351166E-3</v>
      </c>
      <c r="Z425" t="s">
        <v>35</v>
      </c>
      <c r="AL425">
        <v>311.1117506226617</v>
      </c>
      <c r="AM425">
        <v>0.28789587288788809</v>
      </c>
      <c r="AN425">
        <v>0.28824388624653147</v>
      </c>
      <c r="AO425">
        <v>348.79521982679404</v>
      </c>
      <c r="AP425">
        <v>312.0683899430793</v>
      </c>
      <c r="AQ425" t="s">
        <v>302</v>
      </c>
      <c r="AR425">
        <v>0</v>
      </c>
      <c r="AS425">
        <v>0</v>
      </c>
      <c r="AT425">
        <v>0</v>
      </c>
      <c r="AU425">
        <v>0</v>
      </c>
      <c r="AV425">
        <v>0</v>
      </c>
      <c r="AW425" s="146">
        <v>1.5</v>
      </c>
      <c r="AX425" s="141">
        <v>1.2527200521789291E-4</v>
      </c>
      <c r="AY425" s="141">
        <v>1E-8</v>
      </c>
      <c r="AZ425" s="209">
        <v>312.0683899430793</v>
      </c>
      <c r="BA425">
        <v>1.2527200521789291E-4</v>
      </c>
      <c r="BB425" s="249">
        <v>53.775063243140778</v>
      </c>
      <c r="BC425" s="243">
        <v>154.58910958356157</v>
      </c>
      <c r="BD425" s="209">
        <v>84255.930486425612</v>
      </c>
      <c r="BE425" s="244">
        <v>70.828086832591495</v>
      </c>
      <c r="BF425" s="209">
        <v>508292.28448928095</v>
      </c>
      <c r="BG425" t="s">
        <v>389</v>
      </c>
      <c r="BH425">
        <v>5.493103364398246E-6</v>
      </c>
      <c r="BI425">
        <v>2042559.3048642562</v>
      </c>
      <c r="BJ425">
        <f t="shared" si="28"/>
        <v>0.24885068613616626</v>
      </c>
    </row>
    <row r="426" spans="1:62" x14ac:dyDescent="0.3">
      <c r="A426">
        <v>-0.1</v>
      </c>
      <c r="B426" s="146">
        <v>1000</v>
      </c>
      <c r="C426" s="146">
        <v>25</v>
      </c>
      <c r="D426" s="146">
        <v>400</v>
      </c>
      <c r="E426" s="249">
        <v>12.774377040206264</v>
      </c>
      <c r="F426">
        <v>4.2548557103222171</v>
      </c>
      <c r="G426">
        <v>15.362787467040057</v>
      </c>
      <c r="H426">
        <v>0</v>
      </c>
      <c r="J426">
        <v>1.1658891020322499E-4</v>
      </c>
      <c r="K426">
        <v>1E-8</v>
      </c>
      <c r="L426">
        <v>76.038033335134628</v>
      </c>
      <c r="M426">
        <v>45.622819646236628</v>
      </c>
      <c r="N426">
        <v>-1.5400408374431707E-3</v>
      </c>
      <c r="Z426" t="s">
        <v>35</v>
      </c>
      <c r="AL426">
        <v>323.62214519167304</v>
      </c>
      <c r="AM426">
        <v>0.27695857405114505</v>
      </c>
      <c r="AN426">
        <v>0.29151568972315106</v>
      </c>
      <c r="AO426">
        <v>356.17945280290769</v>
      </c>
      <c r="AP426">
        <v>324.39216561039461</v>
      </c>
      <c r="AQ426" t="s">
        <v>302</v>
      </c>
      <c r="AR426">
        <v>0</v>
      </c>
      <c r="AS426">
        <v>0</v>
      </c>
      <c r="AT426">
        <v>0</v>
      </c>
      <c r="AU426">
        <v>0</v>
      </c>
      <c r="AV426">
        <v>0</v>
      </c>
      <c r="AW426" s="146">
        <v>1</v>
      </c>
      <c r="AX426" s="141">
        <v>1.1664449637752059E-4</v>
      </c>
      <c r="AY426" s="141">
        <v>1E-8</v>
      </c>
      <c r="AZ426" s="209">
        <v>324.39216561039461</v>
      </c>
      <c r="BA426">
        <v>1.1664449637752059E-4</v>
      </c>
      <c r="BB426" s="249">
        <v>44.983998659783126</v>
      </c>
      <c r="BC426" s="243">
        <v>125.91796642905253</v>
      </c>
      <c r="BD426" s="209">
        <v>65935.361861315949</v>
      </c>
      <c r="BE426" s="244">
        <v>58.47506224002074</v>
      </c>
      <c r="BF426" s="209">
        <v>575820.67868404696</v>
      </c>
      <c r="BG426" t="s">
        <v>389</v>
      </c>
      <c r="BH426">
        <v>4.9354273644260457E-6</v>
      </c>
      <c r="BI426">
        <v>1859353.6186131595</v>
      </c>
      <c r="BJ426">
        <f t="shared" si="28"/>
        <v>0.30968863207071695</v>
      </c>
    </row>
    <row r="427" spans="1:62" x14ac:dyDescent="0.3">
      <c r="A427">
        <v>-0.1</v>
      </c>
      <c r="B427" s="146">
        <v>1000</v>
      </c>
      <c r="C427" s="146">
        <v>25</v>
      </c>
      <c r="D427" s="146">
        <v>400</v>
      </c>
      <c r="E427" s="249">
        <v>11.678263701495901</v>
      </c>
      <c r="F427">
        <v>3.7950659495325678</v>
      </c>
      <c r="G427">
        <v>13.985629149182197</v>
      </c>
      <c r="H427">
        <v>0</v>
      </c>
      <c r="J427">
        <v>1.1272175138706949E-4</v>
      </c>
      <c r="K427">
        <v>1E-8</v>
      </c>
      <c r="L427">
        <v>69.188011854159285</v>
      </c>
      <c r="M427">
        <v>41.512806789618182</v>
      </c>
      <c r="N427">
        <v>-1.3602799618276399E-3</v>
      </c>
      <c r="Z427" t="s">
        <v>35</v>
      </c>
      <c r="AL427">
        <v>330.41120803941072</v>
      </c>
      <c r="AM427">
        <v>0.271354681941819</v>
      </c>
      <c r="AN427">
        <v>0.29306374608176267</v>
      </c>
      <c r="AO427">
        <v>360.15111436459375</v>
      </c>
      <c r="AP427">
        <v>331.09134802032452</v>
      </c>
      <c r="AQ427" t="s">
        <v>302</v>
      </c>
      <c r="AR427">
        <v>0</v>
      </c>
      <c r="AS427">
        <v>0</v>
      </c>
      <c r="AT427">
        <v>0</v>
      </c>
      <c r="AU427">
        <v>0</v>
      </c>
      <c r="AV427">
        <v>0</v>
      </c>
      <c r="AW427" s="146">
        <v>0.8</v>
      </c>
      <c r="AX427" s="141">
        <v>1.1276671854407133E-4</v>
      </c>
      <c r="AY427" s="141">
        <v>1E-8</v>
      </c>
      <c r="AZ427" s="209">
        <v>331.09134802032452</v>
      </c>
      <c r="BA427">
        <v>1.1276671854407133E-4</v>
      </c>
      <c r="BB427" s="249">
        <v>40.405902296330247</v>
      </c>
      <c r="BC427" s="243">
        <v>111.72617486645947</v>
      </c>
      <c r="BD427" s="209">
        <v>57107.919936614184</v>
      </c>
      <c r="BE427" s="244">
        <v>52.206814301545251</v>
      </c>
      <c r="BF427" s="209">
        <v>601281.36899743997</v>
      </c>
      <c r="BG427" t="s">
        <v>389</v>
      </c>
      <c r="BH427">
        <v>4.6043564208955936E-6</v>
      </c>
      <c r="BI427">
        <v>1771079.1993661418</v>
      </c>
      <c r="BJ427">
        <f t="shared" si="28"/>
        <v>0.33949998916628621</v>
      </c>
    </row>
    <row r="428" spans="1:62" x14ac:dyDescent="0.3">
      <c r="A428">
        <v>-0.1</v>
      </c>
      <c r="B428" s="146">
        <v>1000</v>
      </c>
      <c r="C428" s="146">
        <v>25</v>
      </c>
      <c r="D428" s="146">
        <v>400</v>
      </c>
      <c r="E428" s="249">
        <v>10.320310954399719</v>
      </c>
      <c r="F428">
        <v>3.2567237475618072</v>
      </c>
      <c r="G428">
        <v>12.299468160376669</v>
      </c>
      <c r="H428">
        <v>0</v>
      </c>
      <c r="J428">
        <v>1.0859531868980087E-4</v>
      </c>
      <c r="K428">
        <v>1E-8</v>
      </c>
      <c r="L428">
        <v>60.797136180463689</v>
      </c>
      <c r="M428">
        <v>36.47828142455824</v>
      </c>
      <c r="N428">
        <v>-1.1572199342726496E-3</v>
      </c>
      <c r="Z428" t="s">
        <v>35</v>
      </c>
      <c r="AL428">
        <v>338.7266108916524</v>
      </c>
      <c r="AM428">
        <v>0.26478573748851192</v>
      </c>
      <c r="AN428">
        <v>0.29474928812845413</v>
      </c>
      <c r="AO428">
        <v>364.98613781247866</v>
      </c>
      <c r="AP428">
        <v>339.3052208587888</v>
      </c>
      <c r="AQ428" t="s">
        <v>302</v>
      </c>
      <c r="AR428">
        <v>0</v>
      </c>
      <c r="AS428">
        <v>0</v>
      </c>
      <c r="AT428">
        <v>0</v>
      </c>
      <c r="AU428">
        <v>0</v>
      </c>
      <c r="AV428">
        <v>0</v>
      </c>
      <c r="AW428" s="146">
        <v>0.6</v>
      </c>
      <c r="AX428" s="141">
        <v>1.0862995214483656E-4</v>
      </c>
      <c r="AY428" s="141">
        <v>1E-8</v>
      </c>
      <c r="AZ428" s="209">
        <v>339.3052208587888</v>
      </c>
      <c r="BA428">
        <v>1.0862995214483656E-4</v>
      </c>
      <c r="BB428" s="249">
        <v>34.971941363687918</v>
      </c>
      <c r="BC428" s="243">
        <v>95.423780364329346</v>
      </c>
      <c r="BD428" s="209">
        <v>47241.293698167152</v>
      </c>
      <c r="BE428" s="244">
        <v>44.894352514089377</v>
      </c>
      <c r="BF428" s="209">
        <v>623816.31257851806</v>
      </c>
      <c r="BG428" t="s">
        <v>389</v>
      </c>
      <c r="BH428">
        <v>4.1676809173637008E-6</v>
      </c>
      <c r="BI428">
        <v>1672412.9369816715</v>
      </c>
      <c r="BJ428">
        <f t="shared" si="28"/>
        <v>0.37300375928947666</v>
      </c>
    </row>
    <row r="429" spans="1:62" x14ac:dyDescent="0.3">
      <c r="A429">
        <v>-0.1</v>
      </c>
      <c r="B429" s="146">
        <v>1000</v>
      </c>
      <c r="C429" s="146">
        <v>25</v>
      </c>
      <c r="D429" s="146">
        <v>400</v>
      </c>
      <c r="E429" s="249">
        <v>8.5674949534340499</v>
      </c>
      <c r="F429">
        <v>2.6073962246254809</v>
      </c>
      <c r="G429">
        <v>10.151674666591536</v>
      </c>
      <c r="H429">
        <v>0</v>
      </c>
      <c r="J429">
        <v>1.0416037740385377E-4</v>
      </c>
      <c r="K429">
        <v>1E-8</v>
      </c>
      <c r="L429">
        <v>50.114460769175238</v>
      </c>
      <c r="M429">
        <v>30.068676227637663</v>
      </c>
      <c r="N429">
        <v>-9.2063385693351169E-4</v>
      </c>
      <c r="Z429" t="s">
        <v>35</v>
      </c>
      <c r="AL429">
        <v>349.33643138323725</v>
      </c>
      <c r="AM429">
        <v>0.25684395040812752</v>
      </c>
      <c r="AN429">
        <v>0.29661787340574741</v>
      </c>
      <c r="AO429">
        <v>371.11605293685568</v>
      </c>
      <c r="AP429">
        <v>349.79674831170411</v>
      </c>
      <c r="AQ429" t="s">
        <v>302</v>
      </c>
      <c r="AR429">
        <v>0</v>
      </c>
      <c r="AS429">
        <v>0</v>
      </c>
      <c r="AT429">
        <v>0</v>
      </c>
      <c r="AU429">
        <v>0</v>
      </c>
      <c r="AV429">
        <v>0</v>
      </c>
      <c r="AW429" s="146">
        <v>0.4</v>
      </c>
      <c r="AX429" s="141">
        <v>1.0418493108783802E-4</v>
      </c>
      <c r="AY429" s="141">
        <v>1E-8</v>
      </c>
      <c r="AZ429" s="209">
        <v>349.79674831170411</v>
      </c>
      <c r="BA429">
        <v>1.0418493108783802E-4</v>
      </c>
      <c r="BB429" s="249">
        <v>28.303696657829409</v>
      </c>
      <c r="BC429" s="243">
        <v>76.112759046627772</v>
      </c>
      <c r="BD429" s="209">
        <v>36028.699852774283</v>
      </c>
      <c r="BE429" s="244">
        <v>36.079881291269992</v>
      </c>
      <c r="BF429" s="209">
        <v>639833.57584685821</v>
      </c>
      <c r="BG429" t="s">
        <v>389</v>
      </c>
      <c r="BH429">
        <v>3.5583876300609909E-6</v>
      </c>
      <c r="BI429">
        <v>1560286.9985277429</v>
      </c>
      <c r="BJ429">
        <f t="shared" si="28"/>
        <v>0.41007428534019252</v>
      </c>
    </row>
    <row r="430" spans="1:62" x14ac:dyDescent="0.3">
      <c r="A430">
        <v>-0.1</v>
      </c>
      <c r="B430" s="146">
        <v>1000</v>
      </c>
      <c r="C430" s="146">
        <v>25</v>
      </c>
      <c r="D430" s="146">
        <v>400</v>
      </c>
      <c r="E430" s="249">
        <v>7.4562749281847038</v>
      </c>
      <c r="F430">
        <v>2.2196182903577562</v>
      </c>
      <c r="G430">
        <v>8.8048749821362176</v>
      </c>
      <c r="H430">
        <v>0</v>
      </c>
      <c r="J430">
        <v>1.0175353176609093E-4</v>
      </c>
      <c r="K430">
        <v>1E-8</v>
      </c>
      <c r="L430">
        <v>43.420894058803441</v>
      </c>
      <c r="M430">
        <v>26.052536232651224</v>
      </c>
      <c r="N430">
        <v>-7.823157956868169E-4</v>
      </c>
      <c r="Z430" t="s">
        <v>35</v>
      </c>
      <c r="AL430">
        <v>356.0025242609189</v>
      </c>
      <c r="AM430">
        <v>0.25208969972441764</v>
      </c>
      <c r="AN430">
        <v>0.29762702827966908</v>
      </c>
      <c r="AO430">
        <v>374.9475880222198</v>
      </c>
      <c r="AP430">
        <v>356.39368215876237</v>
      </c>
      <c r="AQ430" t="s">
        <v>302</v>
      </c>
      <c r="AR430">
        <v>0</v>
      </c>
      <c r="AS430">
        <v>0</v>
      </c>
      <c r="AT430">
        <v>0</v>
      </c>
      <c r="AU430">
        <v>0</v>
      </c>
      <c r="AV430">
        <v>0</v>
      </c>
      <c r="AW430" s="146">
        <v>0.3</v>
      </c>
      <c r="AX430" s="141">
        <v>1.0177305912260589E-4</v>
      </c>
      <c r="AY430" s="141">
        <v>1E-8</v>
      </c>
      <c r="AZ430" s="209">
        <v>356.39368215876237</v>
      </c>
      <c r="BA430">
        <v>1.0177305912260589E-4</v>
      </c>
      <c r="BB430" s="249">
        <v>24.257286724375867</v>
      </c>
      <c r="BC430" s="243">
        <v>64.709620583596589</v>
      </c>
      <c r="BD430" s="209">
        <v>29707.162874290872</v>
      </c>
      <c r="BE430" s="244">
        <v>30.806742925457556</v>
      </c>
      <c r="BF430" s="209">
        <v>642565.61248780519</v>
      </c>
      <c r="BG430" t="s">
        <v>389</v>
      </c>
      <c r="BH430">
        <v>3.1446842473044849E-6</v>
      </c>
      <c r="BI430">
        <v>1497071.6287429086</v>
      </c>
      <c r="BJ430">
        <f t="shared" si="28"/>
        <v>0.42921500892202979</v>
      </c>
    </row>
    <row r="431" spans="1:62" x14ac:dyDescent="0.3">
      <c r="A431">
        <v>-0.1</v>
      </c>
      <c r="B431" s="146">
        <v>1000</v>
      </c>
      <c r="C431" s="146">
        <v>25</v>
      </c>
      <c r="D431" s="146">
        <v>400</v>
      </c>
      <c r="E431" s="249">
        <v>5.9794747424908214</v>
      </c>
      <c r="F431">
        <v>1.7309743597166289</v>
      </c>
      <c r="G431">
        <v>7.0309361009447429</v>
      </c>
      <c r="H431">
        <v>0</v>
      </c>
      <c r="J431">
        <v>9.9999998498789051E-9</v>
      </c>
      <c r="K431">
        <v>1E-8</v>
      </c>
      <c r="L431">
        <v>34.373086325218594</v>
      </c>
      <c r="M431">
        <v>20.623851634723419</v>
      </c>
      <c r="N431">
        <v>-6.1654484187065069E-8</v>
      </c>
      <c r="Z431" t="s">
        <v>35</v>
      </c>
      <c r="AL431">
        <v>364.92828549255108</v>
      </c>
      <c r="AM431">
        <v>0.24619401099151489</v>
      </c>
      <c r="AN431">
        <v>0.2961221482921686</v>
      </c>
      <c r="AO431">
        <v>379.80740455593622</v>
      </c>
      <c r="AP431">
        <v>364.92831631979328</v>
      </c>
      <c r="AQ431" t="s">
        <v>302</v>
      </c>
      <c r="AR431">
        <v>0</v>
      </c>
      <c r="AS431">
        <v>0</v>
      </c>
      <c r="AT431">
        <v>0</v>
      </c>
      <c r="AU431">
        <v>0</v>
      </c>
      <c r="AV431">
        <v>0</v>
      </c>
      <c r="AW431" s="146">
        <v>0.2</v>
      </c>
      <c r="AX431" s="141">
        <v>9.9999999999948221E-9</v>
      </c>
      <c r="AY431" s="141">
        <v>1E-8</v>
      </c>
      <c r="AZ431" s="209">
        <v>364.92831631979328</v>
      </c>
      <c r="BA431">
        <v>9.9999999999948221E-9</v>
      </c>
      <c r="BB431" s="249">
        <v>19.081534485599416</v>
      </c>
      <c r="BC431" s="243">
        <v>50.020675607474971</v>
      </c>
      <c r="BD431" s="209">
        <v>22166.737271313654</v>
      </c>
      <c r="BE431" s="244">
        <v>24.368995830767819</v>
      </c>
      <c r="BF431" s="209">
        <v>610452.76524121268</v>
      </c>
      <c r="BG431" t="s">
        <v>389</v>
      </c>
      <c r="BH431">
        <v>2.6022933679062738E-6</v>
      </c>
      <c r="BI431">
        <v>1421667.3727131365</v>
      </c>
      <c r="BJ431">
        <f t="shared" si="28"/>
        <v>0.4293921186896294</v>
      </c>
    </row>
    <row r="432" spans="1:62" s="140" customFormat="1" x14ac:dyDescent="0.3">
      <c r="A432" s="140">
        <v>-0.1</v>
      </c>
      <c r="B432" s="140">
        <v>1000</v>
      </c>
      <c r="C432" s="140">
        <v>25</v>
      </c>
      <c r="D432" s="140">
        <v>400</v>
      </c>
      <c r="E432" s="253">
        <v>4.1806393250833738</v>
      </c>
      <c r="F432" s="140">
        <v>1.1701992947687245</v>
      </c>
      <c r="G432" s="140">
        <v>4.8921244294816777</v>
      </c>
      <c r="H432" s="140">
        <v>0</v>
      </c>
      <c r="J432" s="140">
        <v>6.2132848885703626E-3</v>
      </c>
      <c r="K432" s="140">
        <v>1E-8</v>
      </c>
      <c r="L432" s="140">
        <v>24.067465914720437</v>
      </c>
      <c r="M432" s="140">
        <v>14.440479436517421</v>
      </c>
      <c r="N432" s="140">
        <v>-2.6036640935945064E-2</v>
      </c>
      <c r="Z432" s="140" t="s">
        <v>35</v>
      </c>
      <c r="AL432" s="140">
        <v>362.66422857072558</v>
      </c>
      <c r="AM432" s="140">
        <v>0.23920064005663641</v>
      </c>
      <c r="AN432" s="140">
        <v>0.30045902629216142</v>
      </c>
      <c r="AO432" s="140">
        <v>386.08582548950221</v>
      </c>
      <c r="AP432" s="140">
        <v>375.68254903869808</v>
      </c>
      <c r="AQ432" s="140" t="s">
        <v>302</v>
      </c>
      <c r="AR432" s="140">
        <v>0</v>
      </c>
      <c r="AS432" s="140">
        <v>0</v>
      </c>
      <c r="AT432" s="140">
        <v>0</v>
      </c>
      <c r="AU432" s="140">
        <v>0</v>
      </c>
      <c r="AV432" s="140">
        <v>0</v>
      </c>
      <c r="AW432" s="140">
        <v>0.1</v>
      </c>
      <c r="AX432" s="141">
        <v>6.2500100000000003E-3</v>
      </c>
      <c r="AY432" s="205">
        <v>1E-8</v>
      </c>
      <c r="AZ432" s="209">
        <v>375.68254903869808</v>
      </c>
      <c r="BA432" s="140">
        <v>6.2500100000000003E-3</v>
      </c>
      <c r="BB432" s="253">
        <v>13.038711701949715</v>
      </c>
      <c r="BC432" s="245">
        <v>34.16258739020865</v>
      </c>
      <c r="BD432" s="210">
        <v>14146.719131021246</v>
      </c>
      <c r="BE432" s="245">
        <v>16.391595415367899</v>
      </c>
      <c r="BF432" s="210">
        <v>600171.98077080655</v>
      </c>
      <c r="BG432" t="s">
        <v>389</v>
      </c>
      <c r="BH432" s="140">
        <v>1.8089000693212073E-6</v>
      </c>
      <c r="BI432" s="140">
        <v>1341467.1913102125</v>
      </c>
      <c r="BJ432">
        <f t="shared" si="28"/>
        <v>0.44739967153771232</v>
      </c>
    </row>
    <row r="433" spans="1:62" x14ac:dyDescent="0.3">
      <c r="A433">
        <v>-0.1</v>
      </c>
      <c r="B433" s="146">
        <v>1000</v>
      </c>
      <c r="C433" s="146">
        <v>25</v>
      </c>
      <c r="D433" s="146">
        <v>400</v>
      </c>
      <c r="E433" s="249">
        <v>17.485016042555579</v>
      </c>
      <c r="F433">
        <v>6.5571743192798602</v>
      </c>
      <c r="G433">
        <v>21.497077559198484</v>
      </c>
      <c r="H433">
        <v>0</v>
      </c>
      <c r="J433">
        <v>1.415838600028574E-4</v>
      </c>
      <c r="K433">
        <v>1E-8</v>
      </c>
      <c r="L433">
        <v>106.43253450058602</v>
      </c>
      <c r="M433">
        <v>63.859520203666442</v>
      </c>
      <c r="N433">
        <v>-2.5696020199368523E-3</v>
      </c>
      <c r="Z433" t="s">
        <v>35</v>
      </c>
      <c r="AL433">
        <v>293.25773239703398</v>
      </c>
      <c r="AM433">
        <v>0.30502631351739623</v>
      </c>
      <c r="AN433">
        <v>0.28225078744389048</v>
      </c>
      <c r="AO433">
        <v>338.05148888723124</v>
      </c>
      <c r="AP433">
        <v>294.5425334070024</v>
      </c>
      <c r="AQ433" t="s">
        <v>302</v>
      </c>
      <c r="AR433">
        <v>0</v>
      </c>
      <c r="AS433">
        <v>0</v>
      </c>
      <c r="AT433">
        <v>0</v>
      </c>
      <c r="AU433">
        <v>0</v>
      </c>
      <c r="AV433">
        <v>0</v>
      </c>
      <c r="AW433" s="146">
        <v>3</v>
      </c>
      <c r="AX433" s="141">
        <v>1.4173392150637398E-4</v>
      </c>
      <c r="AY433" s="141">
        <v>1E-8</v>
      </c>
      <c r="AZ433" s="209">
        <v>294.5425334070024</v>
      </c>
      <c r="BA433" s="198">
        <v>1.4173392150637398E-4</v>
      </c>
      <c r="BB433" s="249">
        <v>67.146438549681804</v>
      </c>
      <c r="BC433" s="243">
        <v>202.6835011350598</v>
      </c>
      <c r="BD433" s="209">
        <v>115902.94652774524</v>
      </c>
      <c r="BE433" s="244">
        <v>90.706241666130836</v>
      </c>
      <c r="BF433" s="209">
        <v>339291.09647820186</v>
      </c>
      <c r="BG433" t="s">
        <v>390</v>
      </c>
      <c r="BH433">
        <v>6.2212830910864294E-6</v>
      </c>
      <c r="BI433">
        <v>2359029.4652774525</v>
      </c>
      <c r="BJ433">
        <f t="shared" si="28"/>
        <v>0.14382656150430781</v>
      </c>
    </row>
    <row r="434" spans="1:62" x14ac:dyDescent="0.3">
      <c r="A434">
        <v>-0.2</v>
      </c>
      <c r="B434" s="146">
        <v>1000</v>
      </c>
      <c r="C434" s="146">
        <v>25</v>
      </c>
      <c r="D434" s="146">
        <v>400</v>
      </c>
      <c r="E434" s="249">
        <v>17.322498897354397</v>
      </c>
      <c r="F434">
        <v>6.6772451206127279</v>
      </c>
      <c r="G434">
        <v>21.397842993432029</v>
      </c>
      <c r="H434">
        <v>0</v>
      </c>
      <c r="J434">
        <v>1.4015830477400175E-4</v>
      </c>
      <c r="K434">
        <v>1E-8</v>
      </c>
      <c r="L434">
        <v>106.56481910770006</v>
      </c>
      <c r="M434">
        <v>63.938890967317541</v>
      </c>
      <c r="N434">
        <v>-2.521346977572302E-3</v>
      </c>
      <c r="Z434" t="s">
        <v>35</v>
      </c>
      <c r="AL434">
        <v>286.65015493262143</v>
      </c>
      <c r="AM434">
        <v>0.31205225324170655</v>
      </c>
      <c r="AN434">
        <v>0.25110690498343724</v>
      </c>
      <c r="AO434">
        <v>331.01544181552089</v>
      </c>
      <c r="AP434">
        <v>287.91082842140764</v>
      </c>
      <c r="AQ434" t="s">
        <v>302</v>
      </c>
      <c r="AR434">
        <v>0</v>
      </c>
      <c r="AS434">
        <v>0</v>
      </c>
      <c r="AT434">
        <v>0</v>
      </c>
      <c r="AU434">
        <v>0</v>
      </c>
      <c r="AV434">
        <v>0</v>
      </c>
      <c r="AW434" s="146">
        <v>3</v>
      </c>
      <c r="AX434" s="141">
        <v>1.4030784569617717E-4</v>
      </c>
      <c r="AY434" s="141">
        <v>1E-8</v>
      </c>
      <c r="AZ434" s="209">
        <v>287.91082842140764</v>
      </c>
      <c r="BA434">
        <v>1.4030784569617717E-4</v>
      </c>
      <c r="BB434" s="249">
        <v>67.88310603277877</v>
      </c>
      <c r="BC434" s="243">
        <v>203.08459469644049</v>
      </c>
      <c r="BD434" s="209">
        <v>116674.52198118623</v>
      </c>
      <c r="BE434" s="244">
        <v>91.604019612067376</v>
      </c>
      <c r="BF434" s="209">
        <v>336886.49741947214</v>
      </c>
      <c r="BG434" t="s">
        <v>390</v>
      </c>
      <c r="BH434">
        <v>6.1489731567940124E-6</v>
      </c>
      <c r="BI434">
        <v>2366745.2198118623</v>
      </c>
      <c r="BJ434">
        <f t="shared" si="28"/>
        <v>0.14234168283067325</v>
      </c>
    </row>
    <row r="435" spans="1:62" x14ac:dyDescent="0.3">
      <c r="A435">
        <v>-0.3</v>
      </c>
      <c r="B435" s="146">
        <v>1000</v>
      </c>
      <c r="C435" s="146">
        <v>25</v>
      </c>
      <c r="D435" s="146">
        <v>400</v>
      </c>
      <c r="E435" s="249">
        <v>17.112408464412798</v>
      </c>
      <c r="F435">
        <v>6.8344857055911739</v>
      </c>
      <c r="G435">
        <v>21.270696239782687</v>
      </c>
      <c r="H435">
        <v>0</v>
      </c>
      <c r="J435">
        <v>1.3836029118789256E-4</v>
      </c>
      <c r="K435">
        <v>1E-8</v>
      </c>
      <c r="L435">
        <v>106.74302475858116</v>
      </c>
      <c r="M435">
        <v>64.045814357014564</v>
      </c>
      <c r="N435">
        <v>-2.4604586183510418E-3</v>
      </c>
      <c r="Z435" t="s">
        <v>35</v>
      </c>
      <c r="AL435">
        <v>278.3852343381061</v>
      </c>
      <c r="AM435">
        <v>0.32130991992676772</v>
      </c>
      <c r="AN435">
        <v>0.219946178407226</v>
      </c>
      <c r="AO435">
        <v>322.19729122672226</v>
      </c>
      <c r="AP435">
        <v>279.61546364728162</v>
      </c>
      <c r="AQ435" t="s">
        <v>302</v>
      </c>
      <c r="AR435">
        <v>0</v>
      </c>
      <c r="AS435">
        <v>0</v>
      </c>
      <c r="AT435">
        <v>0</v>
      </c>
      <c r="AU435">
        <v>0</v>
      </c>
      <c r="AV435">
        <v>0</v>
      </c>
      <c r="AW435" s="146">
        <v>3</v>
      </c>
      <c r="AX435" s="141">
        <v>1.3850919136444503E-4</v>
      </c>
      <c r="AY435" s="141">
        <v>1E-8</v>
      </c>
      <c r="AZ435" s="209">
        <v>279.61546364728162</v>
      </c>
      <c r="BA435">
        <v>1.3850919136444503E-4</v>
      </c>
      <c r="BB435" s="249">
        <v>68.850627805239995</v>
      </c>
      <c r="BC435" s="243">
        <v>203.62611400605627</v>
      </c>
      <c r="BD435" s="209">
        <v>117700.57263650125</v>
      </c>
      <c r="BE435" s="244">
        <v>92.791855023663587</v>
      </c>
      <c r="BF435" s="209">
        <v>333782.48944320634</v>
      </c>
      <c r="BG435" t="s">
        <v>390</v>
      </c>
      <c r="BH435">
        <v>6.0552445830287869E-6</v>
      </c>
      <c r="BI435">
        <v>2377005.7263650126</v>
      </c>
      <c r="BJ435">
        <f t="shared" si="28"/>
        <v>0.1404214073786168</v>
      </c>
    </row>
    <row r="436" spans="1:62" x14ac:dyDescent="0.3">
      <c r="A436">
        <v>-0.4</v>
      </c>
      <c r="B436" s="146">
        <v>1000</v>
      </c>
      <c r="C436" s="146">
        <v>25</v>
      </c>
      <c r="D436" s="146">
        <v>400</v>
      </c>
      <c r="E436" s="249">
        <v>16.8221327085346</v>
      </c>
      <c r="F436">
        <v>7.0413320803411166</v>
      </c>
      <c r="G436">
        <v>21.089194697558849</v>
      </c>
      <c r="H436">
        <v>0</v>
      </c>
      <c r="J436">
        <v>1.3622171373843612E-4</v>
      </c>
      <c r="K436">
        <v>1E-8</v>
      </c>
      <c r="L436">
        <v>106.96317479099062</v>
      </c>
      <c r="M436">
        <v>64.177904375432888</v>
      </c>
      <c r="N436">
        <v>-2.3835262212056709E-3</v>
      </c>
      <c r="Z436" t="s">
        <v>35</v>
      </c>
      <c r="AL436">
        <v>267.89385485244776</v>
      </c>
      <c r="AM436">
        <v>0.33388340244002662</v>
      </c>
      <c r="AN436">
        <v>0.18889616433443196</v>
      </c>
      <c r="AO436">
        <v>310.94508050067236</v>
      </c>
      <c r="AP436">
        <v>269.08561796305059</v>
      </c>
      <c r="AQ436" t="s">
        <v>302</v>
      </c>
      <c r="AR436">
        <v>0</v>
      </c>
      <c r="AS436">
        <v>0</v>
      </c>
      <c r="AT436">
        <v>0</v>
      </c>
      <c r="AU436">
        <v>0</v>
      </c>
      <c r="AV436">
        <v>0</v>
      </c>
      <c r="AW436" s="146">
        <v>3</v>
      </c>
      <c r="AX436" s="141">
        <v>1.3636956135729662E-4</v>
      </c>
      <c r="AY436" s="141">
        <v>1E-8</v>
      </c>
      <c r="AZ436" s="209">
        <v>269.08561796305059</v>
      </c>
      <c r="BA436">
        <v>1.3636956135729662E-4</v>
      </c>
      <c r="BB436" s="249">
        <v>70.109137543269725</v>
      </c>
      <c r="BC436" s="243">
        <v>204.29698823718687</v>
      </c>
      <c r="BD436" s="209">
        <v>118971.83046505346</v>
      </c>
      <c r="BE436" s="244">
        <v>94.261391304289475</v>
      </c>
      <c r="BF436" s="209">
        <v>329155.24013774307</v>
      </c>
      <c r="BG436" t="s">
        <v>390</v>
      </c>
      <c r="BH436">
        <v>5.9306738453338586E-6</v>
      </c>
      <c r="BI436">
        <v>2389718.3046505349</v>
      </c>
      <c r="BJ436">
        <f t="shared" si="28"/>
        <v>0.13773809218316119</v>
      </c>
    </row>
    <row r="437" spans="1:62" x14ac:dyDescent="0.3">
      <c r="A437">
        <v>-0.5</v>
      </c>
      <c r="B437" s="146">
        <v>1000</v>
      </c>
      <c r="C437" s="146">
        <v>25</v>
      </c>
      <c r="D437" s="146">
        <v>400</v>
      </c>
      <c r="E437" s="249">
        <v>16.427465502109076</v>
      </c>
      <c r="F437">
        <v>7.3532588629570714</v>
      </c>
      <c r="G437">
        <v>20.8595818071223</v>
      </c>
      <c r="H437">
        <v>0</v>
      </c>
      <c r="J437">
        <v>1.3288465108369363E-4</v>
      </c>
      <c r="K437">
        <v>1E-8</v>
      </c>
      <c r="L437">
        <v>107.33580283814379</v>
      </c>
      <c r="M437">
        <v>64.40148120198586</v>
      </c>
      <c r="N437">
        <v>-2.2737893152453203E-3</v>
      </c>
      <c r="Z437" t="s">
        <v>35</v>
      </c>
      <c r="AL437">
        <v>253.72860718977645</v>
      </c>
      <c r="AM437">
        <v>0.35251228576626464</v>
      </c>
      <c r="AN437">
        <v>0.15756686877282183</v>
      </c>
      <c r="AO437">
        <v>295.74289550810317</v>
      </c>
      <c r="AP437">
        <v>254.86550184739909</v>
      </c>
      <c r="AQ437" t="s">
        <v>302</v>
      </c>
      <c r="AR437">
        <v>0</v>
      </c>
      <c r="AS437">
        <v>0</v>
      </c>
      <c r="AT437">
        <v>0</v>
      </c>
      <c r="AU437">
        <v>0</v>
      </c>
      <c r="AV437">
        <v>0</v>
      </c>
      <c r="AW437" s="146">
        <v>3</v>
      </c>
      <c r="AX437" s="141">
        <v>1.3303147544266804E-4</v>
      </c>
      <c r="AY437" s="141">
        <v>1E-8</v>
      </c>
      <c r="AZ437" s="209">
        <v>254.86550184739909</v>
      </c>
      <c r="BA437">
        <v>1.3303147544266804E-4</v>
      </c>
      <c r="BB437" s="249">
        <v>72.05107871690862</v>
      </c>
      <c r="BC437" s="243">
        <v>205.4373306565337</v>
      </c>
      <c r="BD437" s="209">
        <v>121135.14474978829</v>
      </c>
      <c r="BE437" s="244">
        <v>96.757418757342677</v>
      </c>
      <c r="BF437" s="209">
        <v>323444.54156171903</v>
      </c>
      <c r="BG437" t="s">
        <v>390</v>
      </c>
      <c r="BH437">
        <v>5.7516412855511947E-6</v>
      </c>
      <c r="BI437">
        <v>2411351.4474978829</v>
      </c>
      <c r="BJ437">
        <f t="shared" si="28"/>
        <v>0.13413413540250979</v>
      </c>
    </row>
    <row r="438" spans="1:62" x14ac:dyDescent="0.3">
      <c r="A438">
        <v>-0.6</v>
      </c>
      <c r="B438" s="146">
        <v>1000</v>
      </c>
      <c r="C438" s="146">
        <v>25</v>
      </c>
      <c r="D438" s="146">
        <v>400</v>
      </c>
      <c r="E438" s="249">
        <v>15.811727156348349</v>
      </c>
      <c r="F438">
        <v>7.8131020239177404</v>
      </c>
      <c r="G438">
        <v>20.48633311594854</v>
      </c>
      <c r="H438">
        <v>0</v>
      </c>
      <c r="J438">
        <v>1.2880127539603874E-4</v>
      </c>
      <c r="K438">
        <v>1E-8</v>
      </c>
      <c r="L438">
        <v>107.84721408386065</v>
      </c>
      <c r="M438">
        <v>64.708327947029389</v>
      </c>
      <c r="N438">
        <v>-2.1260921329966185E-3</v>
      </c>
      <c r="Z438" t="s">
        <v>35</v>
      </c>
      <c r="AL438">
        <v>234.51024047332518</v>
      </c>
      <c r="AM438">
        <v>0.38138118616431493</v>
      </c>
      <c r="AN438">
        <v>0.12641139613090477</v>
      </c>
      <c r="AO438">
        <v>274.91849912032785</v>
      </c>
      <c r="AP438">
        <v>235.57328653982353</v>
      </c>
      <c r="AQ438" t="s">
        <v>302</v>
      </c>
      <c r="AR438">
        <v>0</v>
      </c>
      <c r="AS438">
        <v>0</v>
      </c>
      <c r="AT438">
        <v>0</v>
      </c>
      <c r="AU438">
        <v>0</v>
      </c>
      <c r="AV438">
        <v>0</v>
      </c>
      <c r="AW438" s="146">
        <v>3</v>
      </c>
      <c r="AX438" s="141">
        <v>1.2894634727741243E-4</v>
      </c>
      <c r="AY438" s="141">
        <v>1E-8</v>
      </c>
      <c r="AZ438" s="209">
        <v>235.57328653982353</v>
      </c>
      <c r="BA438">
        <v>1.2894634727741243E-4</v>
      </c>
      <c r="BB438" s="249">
        <v>74.879139883865321</v>
      </c>
      <c r="BC438" s="243">
        <v>207.01234750098246</v>
      </c>
      <c r="BD438" s="209">
        <v>124133.78747549484</v>
      </c>
      <c r="BE438" s="244">
        <v>100.20963155554522</v>
      </c>
      <c r="BF438" s="209">
        <v>313545.58241099527</v>
      </c>
      <c r="BG438" t="s">
        <v>390</v>
      </c>
      <c r="BH438">
        <v>5.4864132832218478E-6</v>
      </c>
      <c r="BI438">
        <v>2441337.8747549485</v>
      </c>
      <c r="BJ438">
        <f t="shared" si="28"/>
        <v>0.12843186748268823</v>
      </c>
    </row>
    <row r="439" spans="1:62" x14ac:dyDescent="0.3">
      <c r="A439">
        <v>-0.7</v>
      </c>
      <c r="B439" s="146">
        <v>1000</v>
      </c>
      <c r="C439" s="146">
        <v>25</v>
      </c>
      <c r="D439" s="146">
        <v>400</v>
      </c>
      <c r="E439" s="249">
        <v>14.796095594681248</v>
      </c>
      <c r="F439">
        <v>8.6093189379971022</v>
      </c>
      <c r="G439">
        <v>19.891890113886419</v>
      </c>
      <c r="H439">
        <v>0</v>
      </c>
      <c r="J439">
        <v>1.2253596055678448E-4</v>
      </c>
      <c r="K439">
        <v>1E-8</v>
      </c>
      <c r="L439">
        <v>108.80874927311407</v>
      </c>
      <c r="M439">
        <v>65.285249056094273</v>
      </c>
      <c r="N439">
        <v>-1.9008975534898142E-3</v>
      </c>
      <c r="Z439" t="s">
        <v>35</v>
      </c>
      <c r="AL439">
        <v>206.63291777308757</v>
      </c>
      <c r="AM439">
        <v>0.4328054744273388</v>
      </c>
      <c r="AN439">
        <v>9.5091405565301018E-2</v>
      </c>
      <c r="AO439">
        <v>244.40133672731869</v>
      </c>
      <c r="AP439">
        <v>207.58336654983248</v>
      </c>
      <c r="AQ439" t="s">
        <v>302</v>
      </c>
      <c r="AR439">
        <v>0</v>
      </c>
      <c r="AS439">
        <v>0</v>
      </c>
      <c r="AT439">
        <v>0</v>
      </c>
      <c r="AU439">
        <v>0</v>
      </c>
      <c r="AV439">
        <v>0</v>
      </c>
      <c r="AW439" s="146">
        <v>3</v>
      </c>
      <c r="AX439" s="141">
        <v>1.22678435735784E-4</v>
      </c>
      <c r="AY439" s="141">
        <v>1E-8</v>
      </c>
      <c r="AZ439" s="209">
        <v>207.58336654983248</v>
      </c>
      <c r="BA439">
        <v>1.22678435735784E-4</v>
      </c>
      <c r="BB439" s="249">
        <v>79.827754323720853</v>
      </c>
      <c r="BC439" s="243">
        <v>210.00540317886669</v>
      </c>
      <c r="BD439" s="209">
        <v>129631.38571398002</v>
      </c>
      <c r="BE439" s="244">
        <v>106.44861690378112</v>
      </c>
      <c r="BF439" s="209">
        <v>297110.65040563187</v>
      </c>
      <c r="BG439" t="s">
        <v>390</v>
      </c>
      <c r="BH439">
        <v>5.0471237072036386E-6</v>
      </c>
      <c r="BI439">
        <v>2496313.8571398002</v>
      </c>
      <c r="BJ439">
        <f t="shared" si="28"/>
        <v>0.11901974968245865</v>
      </c>
    </row>
    <row r="440" spans="1:62" x14ac:dyDescent="0.3">
      <c r="A440">
        <v>-0.8</v>
      </c>
      <c r="B440" s="146">
        <v>1000</v>
      </c>
      <c r="C440" s="146">
        <v>25</v>
      </c>
      <c r="D440" s="146">
        <v>400</v>
      </c>
      <c r="E440" s="249">
        <v>12.815910296840217</v>
      </c>
      <c r="F440">
        <v>9.9705534384451795</v>
      </c>
      <c r="G440">
        <v>18.62435675421116</v>
      </c>
      <c r="H440">
        <v>0</v>
      </c>
      <c r="J440">
        <v>1.1423456208571745E-4</v>
      </c>
      <c r="K440">
        <v>1E-8</v>
      </c>
      <c r="L440">
        <v>109.81095673728645</v>
      </c>
      <c r="M440">
        <v>65.886573529920739</v>
      </c>
      <c r="N440">
        <v>-1.5496611714906202E-3</v>
      </c>
      <c r="Z440" t="s">
        <v>35</v>
      </c>
      <c r="AL440">
        <v>167.0465529225923</v>
      </c>
      <c r="AM440">
        <v>0.53535021746137534</v>
      </c>
      <c r="AN440">
        <v>6.3987480703016325E-2</v>
      </c>
      <c r="AO440">
        <v>199.71222251548835</v>
      </c>
      <c r="AP440">
        <v>167.82138350833762</v>
      </c>
      <c r="AQ440" t="s">
        <v>302</v>
      </c>
      <c r="AR440">
        <v>0</v>
      </c>
      <c r="AS440">
        <v>0</v>
      </c>
      <c r="AT440">
        <v>0</v>
      </c>
      <c r="AU440">
        <v>0</v>
      </c>
      <c r="AV440">
        <v>0</v>
      </c>
      <c r="AW440" s="146">
        <v>3</v>
      </c>
      <c r="AX440" s="141">
        <v>1.143686736368282E-4</v>
      </c>
      <c r="AY440" s="141">
        <v>1E-8</v>
      </c>
      <c r="AZ440" s="209">
        <v>167.82138350833762</v>
      </c>
      <c r="BA440">
        <v>1.143686736368282E-4</v>
      </c>
      <c r="BB440" s="249">
        <v>88.036785573823593</v>
      </c>
      <c r="BC440" s="243">
        <v>213.1703032122268</v>
      </c>
      <c r="BD440" s="209">
        <v>137601.28024684559</v>
      </c>
      <c r="BE440" s="244">
        <v>116.09759204711436</v>
      </c>
      <c r="BF440" s="209">
        <v>265754.57640512357</v>
      </c>
      <c r="BG440" t="s">
        <v>390</v>
      </c>
      <c r="BH440">
        <v>4.2661964905616748E-6</v>
      </c>
      <c r="BI440">
        <v>2576012.8024684559</v>
      </c>
      <c r="BJ440">
        <f t="shared" si="28"/>
        <v>0.10316508371016833</v>
      </c>
    </row>
    <row r="441" spans="1:62" x14ac:dyDescent="0.3">
      <c r="A441">
        <v>-0.85</v>
      </c>
      <c r="B441" s="146">
        <v>1000</v>
      </c>
      <c r="C441" s="146">
        <v>25</v>
      </c>
      <c r="D441" s="146">
        <v>400</v>
      </c>
      <c r="E441" s="249">
        <v>9.3010874470048552</v>
      </c>
      <c r="F441">
        <v>5.8272628403327111</v>
      </c>
      <c r="G441">
        <v>12.687811432595574</v>
      </c>
      <c r="H441">
        <v>0</v>
      </c>
      <c r="J441">
        <v>8.3723868301365038E-5</v>
      </c>
      <c r="K441">
        <v>1E-8</v>
      </c>
      <c r="L441">
        <v>75.11260462368449</v>
      </c>
      <c r="M441">
        <v>45.067562423685203</v>
      </c>
      <c r="N441">
        <v>-8.165004792099011E-4</v>
      </c>
      <c r="Z441" t="s">
        <v>35</v>
      </c>
      <c r="AL441">
        <v>195.20903735265171</v>
      </c>
      <c r="AM441">
        <v>0.45928037875485789</v>
      </c>
      <c r="AN441">
        <v>5.131966253859252E-2</v>
      </c>
      <c r="AO441">
        <v>218.76171847368613</v>
      </c>
      <c r="AP441">
        <v>195.61728759225667</v>
      </c>
      <c r="AQ441" t="s">
        <v>302</v>
      </c>
      <c r="AR441">
        <v>0</v>
      </c>
      <c r="AS441">
        <v>0</v>
      </c>
      <c r="AT441">
        <v>0</v>
      </c>
      <c r="AU441">
        <v>0</v>
      </c>
      <c r="AV441">
        <v>0</v>
      </c>
      <c r="AW441" s="146">
        <v>3</v>
      </c>
      <c r="AX441" s="141">
        <v>8.3754255391943052E-5</v>
      </c>
      <c r="AY441" s="141">
        <v>1E-8</v>
      </c>
      <c r="AZ441" s="209">
        <v>195.61728759225667</v>
      </c>
      <c r="BA441">
        <v>8.3754255391943052E-5</v>
      </c>
      <c r="BB441" s="249">
        <v>53.255716806258199</v>
      </c>
      <c r="BC441" s="243">
        <v>123.94937596701472</v>
      </c>
      <c r="BD441" s="209">
        <v>69513.434578081593</v>
      </c>
      <c r="BE441" s="244">
        <v>65.287650202730546</v>
      </c>
      <c r="BF441" s="209">
        <v>752934.19751949096</v>
      </c>
      <c r="BG441" t="s">
        <v>390</v>
      </c>
      <c r="BH441">
        <v>3.1797154448558924E-6</v>
      </c>
      <c r="BI441">
        <v>1895134.3457808159</v>
      </c>
      <c r="BJ441">
        <f t="shared" si="28"/>
        <v>0.39729858687631664</v>
      </c>
    </row>
    <row r="442" spans="1:62" s="140" customFormat="1" x14ac:dyDescent="0.3">
      <c r="A442" s="140">
        <v>-0.87</v>
      </c>
      <c r="B442" s="140">
        <v>1000</v>
      </c>
      <c r="C442" s="140">
        <v>25</v>
      </c>
      <c r="D442" s="140">
        <v>400</v>
      </c>
      <c r="E442" s="253">
        <v>3.2865355785857648</v>
      </c>
      <c r="F442" s="140">
        <v>1.1223229548339295</v>
      </c>
      <c r="G442" s="140">
        <v>3.9557826148655102</v>
      </c>
      <c r="H442" s="140">
        <v>0</v>
      </c>
      <c r="J442" s="140">
        <v>8.6773246145212222E-5</v>
      </c>
      <c r="K442" s="140">
        <v>1E-8</v>
      </c>
      <c r="L442" s="140">
        <v>20.291369015972258</v>
      </c>
      <c r="M442" s="140">
        <v>12.174821314890298</v>
      </c>
      <c r="N442" s="140">
        <v>-2.944467845741696E-4</v>
      </c>
      <c r="Z442" s="140" t="s">
        <v>35</v>
      </c>
      <c r="AL442" s="140">
        <v>316.51746485694377</v>
      </c>
      <c r="AM442" s="140">
        <v>0.28371704517238405</v>
      </c>
      <c r="AN442" s="140">
        <v>4.3728830727586626E-2</v>
      </c>
      <c r="AO442" s="140">
        <v>324.84282053962096</v>
      </c>
      <c r="AP442" s="140">
        <v>316.66468824923089</v>
      </c>
      <c r="AQ442" s="140" t="s">
        <v>302</v>
      </c>
      <c r="AR442" s="140">
        <v>0</v>
      </c>
      <c r="AS442" s="140">
        <v>0</v>
      </c>
      <c r="AT442" s="140">
        <v>0</v>
      </c>
      <c r="AU442" s="140">
        <v>0</v>
      </c>
      <c r="AV442" s="140">
        <v>0</v>
      </c>
      <c r="AW442" s="146">
        <v>3</v>
      </c>
      <c r="AX442" s="141">
        <v>8.6779958155834924E-5</v>
      </c>
      <c r="AY442" s="205">
        <v>1E-8</v>
      </c>
      <c r="AZ442" s="209">
        <v>316.66468824923089</v>
      </c>
      <c r="BA442" s="140">
        <v>8.6779958155834924E-5</v>
      </c>
      <c r="BB442" s="253">
        <v>11.769106423207621</v>
      </c>
      <c r="BC442" s="245">
        <v>28.55634632909965</v>
      </c>
      <c r="BD442" s="210">
        <v>11976.653237791266</v>
      </c>
      <c r="BE442" s="245">
        <v>14.677877216012481</v>
      </c>
      <c r="BF442" s="210">
        <v>805007.39744403015</v>
      </c>
      <c r="BG442" s="254" t="s">
        <v>390</v>
      </c>
      <c r="BH442" s="140">
        <v>1.1699647849230164E-6</v>
      </c>
      <c r="BI442" s="140">
        <v>1319766.5323779127</v>
      </c>
      <c r="BJ442">
        <f t="shared" si="28"/>
        <v>0.60996197258737417</v>
      </c>
    </row>
    <row r="443" spans="1:62" x14ac:dyDescent="0.3">
      <c r="A443">
        <v>-0.1</v>
      </c>
      <c r="B443" s="146">
        <v>100</v>
      </c>
      <c r="C443" s="146">
        <v>25</v>
      </c>
      <c r="D443" s="146">
        <v>400</v>
      </c>
      <c r="E443" s="249">
        <v>3.3611596052020278</v>
      </c>
      <c r="F443">
        <v>0.95814894567420916</v>
      </c>
      <c r="G443">
        <v>4.0690394006794248</v>
      </c>
      <c r="H443">
        <v>0</v>
      </c>
      <c r="J443">
        <v>5.9347286504537577E-2</v>
      </c>
      <c r="K443">
        <v>1E-8</v>
      </c>
      <c r="L443">
        <v>17.467478561121862</v>
      </c>
      <c r="M443">
        <v>10.480487055158218</v>
      </c>
      <c r="N443">
        <v>0.22357879928041041</v>
      </c>
      <c r="Z443" t="s">
        <v>35</v>
      </c>
      <c r="AL443">
        <v>487.58209409647969</v>
      </c>
      <c r="AM443">
        <v>0.23547300758852888</v>
      </c>
      <c r="AN443">
        <v>0.21214723564418256</v>
      </c>
      <c r="AO443">
        <v>384.15647700996004</v>
      </c>
      <c r="AP443">
        <v>375.7926944562746</v>
      </c>
      <c r="AQ443" t="s">
        <v>308</v>
      </c>
      <c r="AR443">
        <v>0</v>
      </c>
      <c r="AS443">
        <v>0</v>
      </c>
      <c r="AT443">
        <v>0</v>
      </c>
      <c r="AU443">
        <v>1</v>
      </c>
      <c r="AV443">
        <v>0.1</v>
      </c>
      <c r="AW443">
        <v>3</v>
      </c>
      <c r="AX443" s="141">
        <v>5.42917958906564E-2</v>
      </c>
      <c r="AY443" s="141">
        <v>1E-8</v>
      </c>
      <c r="AZ443" s="209">
        <v>375.7926944562746</v>
      </c>
      <c r="BA443">
        <v>5.42917958906564E-2</v>
      </c>
      <c r="BB443" s="249">
        <v>10.737011728888524</v>
      </c>
      <c r="BC443" s="243">
        <v>70.200119643027136</v>
      </c>
      <c r="BD443" s="209">
        <v>26397.207113508299</v>
      </c>
      <c r="BE443" s="243">
        <v>21.322009413089827</v>
      </c>
      <c r="BF443">
        <v>19515.89125828995</v>
      </c>
      <c r="BG443" t="s">
        <v>387</v>
      </c>
      <c r="BH443">
        <v>2.0595749168557373E-6</v>
      </c>
      <c r="BI443">
        <v>1463972.071135083</v>
      </c>
      <c r="BJ443">
        <f t="shared" si="28"/>
        <v>1.3330781128330138E-2</v>
      </c>
    </row>
    <row r="444" spans="1:62" x14ac:dyDescent="0.3">
      <c r="A444">
        <v>-0.1</v>
      </c>
      <c r="B444" s="146">
        <v>200</v>
      </c>
      <c r="C444" s="146">
        <v>25</v>
      </c>
      <c r="D444" s="146">
        <v>400</v>
      </c>
      <c r="E444" s="249">
        <v>6.0990959672326284</v>
      </c>
      <c r="F444">
        <v>1.7900342524257922</v>
      </c>
      <c r="G444">
        <v>7.3335603441064761</v>
      </c>
      <c r="H444">
        <v>0</v>
      </c>
      <c r="J444">
        <v>5.9931695138392645E-2</v>
      </c>
      <c r="K444">
        <v>1E-8</v>
      </c>
      <c r="L444">
        <v>32.326885733100241</v>
      </c>
      <c r="M444">
        <v>19.396131289001339</v>
      </c>
      <c r="N444">
        <v>0.37810000405378386</v>
      </c>
      <c r="Z444" t="s">
        <v>35</v>
      </c>
      <c r="AL444">
        <v>548.02099419414969</v>
      </c>
      <c r="AM444">
        <v>0.24408802388383302</v>
      </c>
      <c r="AN444">
        <v>0.2359212739381821</v>
      </c>
      <c r="AO444">
        <v>374.14774909688407</v>
      </c>
      <c r="AP444">
        <v>358.9709921672578</v>
      </c>
      <c r="AQ444" t="s">
        <v>308</v>
      </c>
      <c r="AR444">
        <v>0</v>
      </c>
      <c r="AS444">
        <v>0</v>
      </c>
      <c r="AT444">
        <v>0</v>
      </c>
      <c r="AU444">
        <v>1</v>
      </c>
      <c r="AV444">
        <v>0.1</v>
      </c>
      <c r="AW444">
        <v>3</v>
      </c>
      <c r="AX444" s="141">
        <v>5.4778763184651233E-2</v>
      </c>
      <c r="AY444" s="141">
        <v>1E-8</v>
      </c>
      <c r="AZ444" s="209">
        <v>358.9709921672578</v>
      </c>
      <c r="BA444">
        <v>5.4778763184651233E-2</v>
      </c>
      <c r="BB444" s="249">
        <v>19.786602922109491</v>
      </c>
      <c r="BC444" s="243">
        <v>101.94763035135536</v>
      </c>
      <c r="BD444" s="209">
        <v>42989.952276816417</v>
      </c>
      <c r="BE444" s="243">
        <v>33.831269913025281</v>
      </c>
      <c r="BF444">
        <v>53673.020526424356</v>
      </c>
      <c r="BG444" t="s">
        <v>387</v>
      </c>
      <c r="BH444">
        <v>3.4078329869690707E-6</v>
      </c>
      <c r="BI444">
        <v>1629899.5227681641</v>
      </c>
      <c r="BJ444">
        <f t="shared" si="28"/>
        <v>3.2930263354680897E-2</v>
      </c>
    </row>
    <row r="445" spans="1:62" x14ac:dyDescent="0.3">
      <c r="A445">
        <v>-0.1</v>
      </c>
      <c r="B445" s="146">
        <v>300</v>
      </c>
      <c r="C445" s="146">
        <v>25</v>
      </c>
      <c r="D445" s="146">
        <v>400</v>
      </c>
      <c r="E445" s="252">
        <v>8.4066058109996806</v>
      </c>
      <c r="F445" s="146">
        <v>2.5434513697323649</v>
      </c>
      <c r="G445" s="146">
        <v>10.100406932205965</v>
      </c>
      <c r="H445" s="146">
        <v>0</v>
      </c>
      <c r="I445" s="146"/>
      <c r="J445" s="146">
        <v>6.0619942966354007E-2</v>
      </c>
      <c r="K445" s="146">
        <v>1E-8</v>
      </c>
      <c r="L445" s="146">
        <v>45.430811388314005</v>
      </c>
      <c r="M445" s="146">
        <v>27.258486620977948</v>
      </c>
      <c r="N445" s="146">
        <v>0.49905917169512082</v>
      </c>
      <c r="O445" s="146"/>
      <c r="P445" s="146"/>
      <c r="Q445" s="146"/>
      <c r="R445" s="146"/>
      <c r="S445" s="146"/>
      <c r="T445" s="146"/>
      <c r="U445" s="146"/>
      <c r="V445" s="146"/>
      <c r="W445" s="146"/>
      <c r="X445" s="146"/>
      <c r="Y445" s="146"/>
      <c r="Z445" s="146" t="s">
        <v>35</v>
      </c>
      <c r="AA445" s="146"/>
      <c r="AB445" s="146"/>
      <c r="AC445" s="146"/>
      <c r="AD445" s="146"/>
      <c r="AE445" s="146"/>
      <c r="AF445" s="146"/>
      <c r="AG445" s="146"/>
      <c r="AH445" s="146"/>
      <c r="AI445" s="146"/>
      <c r="AJ445" s="146"/>
      <c r="AK445" s="146"/>
      <c r="AL445" s="146">
        <v>594.83490894521458</v>
      </c>
      <c r="AM445" s="146">
        <v>0.25181672251465081</v>
      </c>
      <c r="AN445" s="146">
        <v>0.24889258133604303</v>
      </c>
      <c r="AO445" s="146">
        <v>366.22395988713913</v>
      </c>
      <c r="AP445" s="146">
        <v>345.30532309765414</v>
      </c>
      <c r="AQ445" t="s">
        <v>308</v>
      </c>
      <c r="AR445">
        <v>0</v>
      </c>
      <c r="AS445">
        <v>0</v>
      </c>
      <c r="AT445">
        <v>0</v>
      </c>
      <c r="AU445">
        <v>1</v>
      </c>
      <c r="AV445">
        <v>0.1</v>
      </c>
      <c r="AW445">
        <v>3</v>
      </c>
      <c r="AX445" s="141">
        <v>5.5623209838614636E-2</v>
      </c>
      <c r="AY445" s="141">
        <v>1E-8</v>
      </c>
      <c r="AZ445" s="209">
        <v>345.30532309765414</v>
      </c>
      <c r="BA445">
        <v>5.5623209838614636E-2</v>
      </c>
      <c r="BB445" s="249">
        <v>27.789371351720025</v>
      </c>
      <c r="BC445" s="243">
        <v>124.72931469626569</v>
      </c>
      <c r="BD445" s="209">
        <v>56667.009305618645</v>
      </c>
      <c r="BE445" s="243">
        <v>44.10085983977573</v>
      </c>
      <c r="BF445">
        <v>92426.71308141778</v>
      </c>
      <c r="BG445" t="s">
        <v>387</v>
      </c>
      <c r="BH445">
        <v>4.2986755489460941E-6</v>
      </c>
      <c r="BI445">
        <v>1766670.0930561866</v>
      </c>
      <c r="BJ445">
        <f t="shared" si="28"/>
        <v>5.2316905937728052E-2</v>
      </c>
    </row>
    <row r="446" spans="1:62" x14ac:dyDescent="0.3">
      <c r="A446">
        <v>-0.1</v>
      </c>
      <c r="B446" s="146">
        <v>400</v>
      </c>
      <c r="C446" s="146">
        <v>25</v>
      </c>
      <c r="D446" s="146">
        <v>400</v>
      </c>
      <c r="E446" s="252">
        <v>10.389792257089717</v>
      </c>
      <c r="F446" s="146">
        <v>3.2349326845824433</v>
      </c>
      <c r="G446" s="146">
        <v>12.496799651284753</v>
      </c>
      <c r="H446" s="146">
        <v>0</v>
      </c>
      <c r="I446" s="146"/>
      <c r="J446" s="146">
        <v>6.1278153126924834E-2</v>
      </c>
      <c r="K446" s="146">
        <v>1E-8</v>
      </c>
      <c r="L446" s="146">
        <v>57.152455118502573</v>
      </c>
      <c r="M446" s="146">
        <v>34.291472804390082</v>
      </c>
      <c r="N446" s="146">
        <v>0.59851881995595324</v>
      </c>
      <c r="O446" s="146"/>
      <c r="P446" s="146"/>
      <c r="Q446" s="146"/>
      <c r="R446" s="146"/>
      <c r="S446" s="146"/>
      <c r="T446" s="146"/>
      <c r="U446" s="146"/>
      <c r="V446" s="146"/>
      <c r="W446" s="146"/>
      <c r="X446" s="146"/>
      <c r="Y446" s="146"/>
      <c r="Z446" s="146" t="s">
        <v>35</v>
      </c>
      <c r="AA446" s="146"/>
      <c r="AB446" s="146"/>
      <c r="AC446" s="146"/>
      <c r="AD446" s="146"/>
      <c r="AE446" s="146"/>
      <c r="AF446" s="146"/>
      <c r="AG446" s="146"/>
      <c r="AH446" s="146"/>
      <c r="AI446" s="146"/>
      <c r="AJ446" s="146"/>
      <c r="AK446" s="146"/>
      <c r="AL446" s="146">
        <v>633.05465717382231</v>
      </c>
      <c r="AM446" s="146">
        <v>0.25886089037603088</v>
      </c>
      <c r="AN446" s="146">
        <v>0.25748400594040938</v>
      </c>
      <c r="AO446" s="146">
        <v>359.6487858764545</v>
      </c>
      <c r="AP446" s="146">
        <v>333.79524719584566</v>
      </c>
      <c r="AQ446" t="s">
        <v>308</v>
      </c>
      <c r="AR446">
        <v>0</v>
      </c>
      <c r="AS446">
        <v>0</v>
      </c>
      <c r="AT446">
        <v>0</v>
      </c>
      <c r="AU446">
        <v>1</v>
      </c>
      <c r="AV446">
        <v>0.1</v>
      </c>
      <c r="AW446">
        <v>3</v>
      </c>
      <c r="AX446" s="141">
        <v>5.6464053538270283E-2</v>
      </c>
      <c r="AY446" s="141">
        <v>1E-8</v>
      </c>
      <c r="AZ446" s="209">
        <v>333.79524719584566</v>
      </c>
      <c r="BA446">
        <v>5.6464053538270283E-2</v>
      </c>
      <c r="BB446" s="249">
        <v>34.988372324033968</v>
      </c>
      <c r="BC446" s="243">
        <v>142.80980331443808</v>
      </c>
      <c r="BD446" s="209">
        <v>68518.646335180543</v>
      </c>
      <c r="BE446" s="243">
        <v>53.00661744708799</v>
      </c>
      <c r="BF446">
        <v>132741.5605883</v>
      </c>
      <c r="BG446" t="s">
        <v>387</v>
      </c>
      <c r="BH446">
        <v>4.9180448821540263E-6</v>
      </c>
      <c r="BI446">
        <v>1885186.4633518055</v>
      </c>
      <c r="BJ446">
        <f t="shared" si="28"/>
        <v>7.0412960823137596E-2</v>
      </c>
    </row>
    <row r="447" spans="1:62" x14ac:dyDescent="0.3">
      <c r="A447">
        <v>-0.1</v>
      </c>
      <c r="B447" s="146">
        <v>600</v>
      </c>
      <c r="C447" s="146">
        <v>25</v>
      </c>
      <c r="D447" s="146">
        <v>400</v>
      </c>
      <c r="E447" s="252">
        <v>13.617903518395183</v>
      </c>
      <c r="F447" s="146">
        <v>4.4591937128689807</v>
      </c>
      <c r="G447" s="146">
        <v>16.442945277286082</v>
      </c>
      <c r="H447" s="146">
        <v>0</v>
      </c>
      <c r="I447" s="146"/>
      <c r="J447" s="146">
        <v>6.2419332741057397E-2</v>
      </c>
      <c r="K447" s="146">
        <v>1E-8</v>
      </c>
      <c r="L447" s="146">
        <v>77.235980177141499</v>
      </c>
      <c r="M447" s="146">
        <v>46.341587745850326</v>
      </c>
      <c r="N447" s="146">
        <v>0.75449751253383024</v>
      </c>
      <c r="O447" s="146"/>
      <c r="P447" s="146"/>
      <c r="Q447" s="146"/>
      <c r="R447" s="146"/>
      <c r="S447" s="146"/>
      <c r="T447" s="146"/>
      <c r="U447" s="146"/>
      <c r="V447" s="146"/>
      <c r="W447" s="146"/>
      <c r="X447" s="146"/>
      <c r="Y447" s="146"/>
      <c r="Z447" s="146" t="s">
        <v>35</v>
      </c>
      <c r="AA447" s="146"/>
      <c r="AB447" s="146"/>
      <c r="AC447" s="146"/>
      <c r="AD447" s="146"/>
      <c r="AE447" s="146"/>
      <c r="AF447" s="146"/>
      <c r="AG447" s="146"/>
      <c r="AH447" s="146"/>
      <c r="AI447" s="146"/>
      <c r="AJ447" s="146"/>
      <c r="AK447" s="146"/>
      <c r="AL447" s="146">
        <v>692.67528995177088</v>
      </c>
      <c r="AM447" s="146">
        <v>0.27119190860707976</v>
      </c>
      <c r="AN447" s="146">
        <v>0.26866524447054596</v>
      </c>
      <c r="AO447" s="146">
        <v>349.31274588482125</v>
      </c>
      <c r="AP447" s="146">
        <v>315.42653368485571</v>
      </c>
      <c r="AQ447" t="s">
        <v>308</v>
      </c>
      <c r="AR447">
        <v>0</v>
      </c>
      <c r="AS447">
        <v>0</v>
      </c>
      <c r="AT447">
        <v>0</v>
      </c>
      <c r="AU447">
        <v>1</v>
      </c>
      <c r="AV447">
        <v>0.1</v>
      </c>
      <c r="AW447">
        <v>3</v>
      </c>
      <c r="AX447" s="141">
        <v>5.7933728031333877E-2</v>
      </c>
      <c r="AY447" s="141">
        <v>1E-8</v>
      </c>
      <c r="AZ447" s="209">
        <v>315.42653368485571</v>
      </c>
      <c r="BA447">
        <v>5.7933728031333877E-2</v>
      </c>
      <c r="BB447" s="249">
        <v>47.430845640268736</v>
      </c>
      <c r="BC447" s="243">
        <v>170.27411082407809</v>
      </c>
      <c r="BD447" s="209">
        <v>88178.000788482575</v>
      </c>
      <c r="BE447" s="243">
        <v>67.903850158485128</v>
      </c>
      <c r="BF447">
        <v>212470.1749187641</v>
      </c>
      <c r="BG447" t="s">
        <v>387</v>
      </c>
      <c r="BH447">
        <v>5.6924483787464502E-6</v>
      </c>
      <c r="BI447">
        <v>2081780.0078848258</v>
      </c>
      <c r="BJ447">
        <f t="shared" si="28"/>
        <v>0.10206178083852507</v>
      </c>
    </row>
    <row r="448" spans="1:62" x14ac:dyDescent="0.3">
      <c r="A448">
        <v>-0.1</v>
      </c>
      <c r="B448" s="146">
        <v>800</v>
      </c>
      <c r="C448" s="146">
        <v>25</v>
      </c>
      <c r="D448" s="146">
        <v>400</v>
      </c>
      <c r="E448" s="252">
        <v>16.097920133133698</v>
      </c>
      <c r="F448" s="146">
        <v>5.4937504986371728</v>
      </c>
      <c r="G448" s="146">
        <v>19.519202199611279</v>
      </c>
      <c r="H448" s="146">
        <v>0</v>
      </c>
      <c r="I448" s="146"/>
      <c r="J448" s="146">
        <v>6.3388506415398074E-2</v>
      </c>
      <c r="K448" s="146">
        <v>1E-8</v>
      </c>
      <c r="L448" s="146">
        <v>93.614061897663305</v>
      </c>
      <c r="M448" s="146">
        <v>56.168436701732361</v>
      </c>
      <c r="N448" s="146">
        <v>0.87007773415504941</v>
      </c>
      <c r="O448" s="146"/>
      <c r="P448" s="146"/>
      <c r="Q448" s="146"/>
      <c r="R448" s="146"/>
      <c r="S448" s="146"/>
      <c r="T448" s="146"/>
      <c r="U448" s="146"/>
      <c r="V448" s="146"/>
      <c r="W448" s="146"/>
      <c r="X448" s="146"/>
      <c r="Y448" s="146"/>
      <c r="Z448" s="146" t="s">
        <v>35</v>
      </c>
      <c r="AA448" s="146"/>
      <c r="AB448" s="146"/>
      <c r="AC448" s="146"/>
      <c r="AD448" s="146"/>
      <c r="AE448" s="146"/>
      <c r="AF448" s="146"/>
      <c r="AG448" s="146"/>
      <c r="AH448" s="146"/>
      <c r="AI448" s="146"/>
      <c r="AJ448" s="146"/>
      <c r="AK448" s="146"/>
      <c r="AL448" s="146">
        <v>736.62474240134884</v>
      </c>
      <c r="AM448" s="146">
        <v>0.28145363947029456</v>
      </c>
      <c r="AN448" s="146">
        <v>0.27585433923354946</v>
      </c>
      <c r="AO448" s="146">
        <v>341.64340434933473</v>
      </c>
      <c r="AP448" s="146">
        <v>301.58587532382421</v>
      </c>
      <c r="AQ448" t="s">
        <v>308</v>
      </c>
      <c r="AR448">
        <v>0</v>
      </c>
      <c r="AS448">
        <v>0</v>
      </c>
      <c r="AT448">
        <v>0</v>
      </c>
      <c r="AU448">
        <v>1</v>
      </c>
      <c r="AV448">
        <v>0.1</v>
      </c>
      <c r="AW448">
        <v>3</v>
      </c>
      <c r="AX448" s="141">
        <v>5.9160405703883062E-2</v>
      </c>
      <c r="AY448" s="141">
        <v>1E-8</v>
      </c>
      <c r="AZ448" s="209">
        <v>301.58587532382421</v>
      </c>
      <c r="BA448">
        <v>5.9160405703883062E-2</v>
      </c>
      <c r="BB448" s="249">
        <v>57.680304001382169</v>
      </c>
      <c r="BC448" s="243">
        <v>189.9378220007209</v>
      </c>
      <c r="BD448" s="209">
        <v>103577.88491566203</v>
      </c>
      <c r="BE448" s="243">
        <v>79.824904862877034</v>
      </c>
      <c r="BF448">
        <v>286219.76138645865</v>
      </c>
      <c r="BG448" t="s">
        <v>387</v>
      </c>
      <c r="BH448">
        <v>6.1300395346830264E-6</v>
      </c>
      <c r="BI448">
        <v>2235778.84915662</v>
      </c>
      <c r="BJ448">
        <f t="shared" si="28"/>
        <v>0.12801792158219333</v>
      </c>
    </row>
    <row r="449" spans="1:62" x14ac:dyDescent="0.3">
      <c r="A449">
        <v>-0.1</v>
      </c>
      <c r="B449" s="146">
        <v>1000</v>
      </c>
      <c r="C449" s="146">
        <v>25</v>
      </c>
      <c r="D449" s="146">
        <v>400</v>
      </c>
      <c r="E449" s="252">
        <v>18.009761384194494</v>
      </c>
      <c r="F449" s="146">
        <v>6.3530562572615761</v>
      </c>
      <c r="G449" s="146">
        <v>21.919844640375416</v>
      </c>
      <c r="H449" s="146">
        <v>0</v>
      </c>
      <c r="I449" s="146"/>
      <c r="J449" s="146">
        <v>6.40952403860654E-2</v>
      </c>
      <c r="K449" s="146">
        <v>1E-8</v>
      </c>
      <c r="L449" s="146">
        <v>106.91117966959689</v>
      </c>
      <c r="M449" s="146">
        <v>64.146707302839303</v>
      </c>
      <c r="N449" s="146">
        <v>0.95880397777221393</v>
      </c>
      <c r="O449" s="146"/>
      <c r="P449" s="146"/>
      <c r="Q449" s="146"/>
      <c r="R449" s="146"/>
      <c r="S449" s="146"/>
      <c r="T449" s="146"/>
      <c r="U449" s="146"/>
      <c r="V449" s="146"/>
      <c r="W449" s="146"/>
      <c r="X449" s="146"/>
      <c r="Y449" s="146"/>
      <c r="Z449" s="146" t="s">
        <v>35</v>
      </c>
      <c r="AA449" s="146"/>
      <c r="AB449" s="146"/>
      <c r="AC449" s="146"/>
      <c r="AD449" s="146"/>
      <c r="AE449" s="146"/>
      <c r="AF449" s="146"/>
      <c r="AG449" s="146"/>
      <c r="AH449" s="146"/>
      <c r="AI449" s="146"/>
      <c r="AJ449" s="146"/>
      <c r="AK449" s="146"/>
      <c r="AL449" s="146">
        <v>770.51136553109131</v>
      </c>
      <c r="AM449" s="146">
        <v>0.289831263017235</v>
      </c>
      <c r="AN449" s="146">
        <v>0.28106913462044458</v>
      </c>
      <c r="AO449" s="146">
        <v>335.92408711644964</v>
      </c>
      <c r="AP449" s="146">
        <v>291.10937664498431</v>
      </c>
      <c r="AQ449" t="s">
        <v>308</v>
      </c>
      <c r="AR449">
        <v>0</v>
      </c>
      <c r="AS449">
        <v>0</v>
      </c>
      <c r="AT449">
        <v>0</v>
      </c>
      <c r="AU449">
        <v>1</v>
      </c>
      <c r="AV449">
        <v>0.1</v>
      </c>
      <c r="AW449">
        <v>3</v>
      </c>
      <c r="AX449" s="141">
        <v>6.0078157689852675E-2</v>
      </c>
      <c r="AY449" s="141">
        <v>1E-8</v>
      </c>
      <c r="AZ449" s="209">
        <v>291.10937664498431</v>
      </c>
      <c r="BA449">
        <v>6.0078157689852675E-2</v>
      </c>
      <c r="BB449" s="249">
        <v>66.034796799774142</v>
      </c>
      <c r="BC449" s="243">
        <v>204.13835111972253</v>
      </c>
      <c r="BD449" s="209">
        <v>115493.96330468303</v>
      </c>
      <c r="BE449" s="243">
        <v>89.283699900330987</v>
      </c>
      <c r="BF449">
        <v>350878.51194330747</v>
      </c>
      <c r="BG449" t="s">
        <v>387</v>
      </c>
      <c r="BH449">
        <v>6.3954240537794894E-6</v>
      </c>
      <c r="BI449">
        <v>2354939.6330468301</v>
      </c>
      <c r="BJ449">
        <f t="shared" si="28"/>
        <v>0.14899681801581449</v>
      </c>
    </row>
    <row r="450" spans="1:62" x14ac:dyDescent="0.3">
      <c r="A450">
        <v>-0.1</v>
      </c>
      <c r="B450" s="146">
        <v>1300</v>
      </c>
      <c r="C450" s="146">
        <v>25</v>
      </c>
      <c r="D450" s="146">
        <v>400</v>
      </c>
      <c r="E450" s="252">
        <v>20.101967101218936</v>
      </c>
      <c r="F450" s="146">
        <v>7.3612671483355836</v>
      </c>
      <c r="G450" s="146">
        <v>24.578588389930712</v>
      </c>
      <c r="H450" s="146">
        <v>0</v>
      </c>
      <c r="I450" s="146"/>
      <c r="J450" s="146">
        <v>6.4929918671118442E-2</v>
      </c>
      <c r="K450" s="146">
        <v>1E-8</v>
      </c>
      <c r="L450" s="146">
        <v>122.22296174160699</v>
      </c>
      <c r="M450" s="146">
        <v>73.333776474590366</v>
      </c>
      <c r="N450" s="146">
        <v>1.0539842967370454</v>
      </c>
      <c r="O450" s="146"/>
      <c r="P450" s="146"/>
      <c r="Q450" s="146"/>
      <c r="R450" s="146"/>
      <c r="S450" s="146"/>
      <c r="T450" s="146"/>
      <c r="U450" s="146"/>
      <c r="V450" s="146"/>
      <c r="W450" s="146"/>
      <c r="X450" s="146"/>
      <c r="Y450" s="146"/>
      <c r="Z450" s="146" t="s">
        <v>35</v>
      </c>
      <c r="AA450" s="146"/>
      <c r="AB450" s="146"/>
      <c r="AC450" s="146"/>
      <c r="AD450" s="146"/>
      <c r="AE450" s="146"/>
      <c r="AF450" s="146"/>
      <c r="AG450" s="146"/>
      <c r="AH450" s="146"/>
      <c r="AI450" s="146"/>
      <c r="AJ450" s="146"/>
      <c r="AK450" s="146"/>
      <c r="AL450" s="146">
        <v>806.82234448144732</v>
      </c>
      <c r="AM450" s="146">
        <v>0.29949918325461389</v>
      </c>
      <c r="AN450" s="146">
        <v>0.28656198935765526</v>
      </c>
      <c r="AO450" s="146">
        <v>329.85124389219027</v>
      </c>
      <c r="AP450" s="146">
        <v>279.83019611292463</v>
      </c>
      <c r="AQ450" t="s">
        <v>308</v>
      </c>
      <c r="AR450">
        <v>0</v>
      </c>
      <c r="AS450">
        <v>0</v>
      </c>
      <c r="AT450">
        <v>0</v>
      </c>
      <c r="AU450">
        <v>1</v>
      </c>
      <c r="AV450">
        <v>0.1</v>
      </c>
      <c r="AW450" s="146">
        <v>3</v>
      </c>
      <c r="AX450" s="141">
        <v>6.1146421100101746E-2</v>
      </c>
      <c r="AY450" s="228">
        <v>1E-8</v>
      </c>
      <c r="AZ450" s="209">
        <v>279.83019611292463</v>
      </c>
      <c r="BA450">
        <v>6.1146421100101746E-2</v>
      </c>
      <c r="BB450" s="249">
        <v>75.674008860714181</v>
      </c>
      <c r="BC450" s="243">
        <v>218.43338322003012</v>
      </c>
      <c r="BD450" s="209">
        <v>128449.00047628337</v>
      </c>
      <c r="BE450" s="243">
        <v>99.961702597563502</v>
      </c>
      <c r="BF450">
        <v>429828.18587435578</v>
      </c>
      <c r="BG450" t="s">
        <v>387</v>
      </c>
      <c r="BH450">
        <v>6.6288290133913996E-6</v>
      </c>
      <c r="BI450">
        <v>2484490.0047628339</v>
      </c>
      <c r="BJ450">
        <f t="shared" si="28"/>
        <v>0.17300459452457592</v>
      </c>
    </row>
    <row r="451" spans="1:62" x14ac:dyDescent="0.3">
      <c r="A451">
        <v>-0.1</v>
      </c>
      <c r="B451" s="227">
        <v>1600</v>
      </c>
      <c r="C451" s="146">
        <v>25</v>
      </c>
      <c r="D451" s="146">
        <v>400</v>
      </c>
      <c r="E451" s="252">
        <v>21.54672688394966</v>
      </c>
      <c r="F451" s="146">
        <v>8.1016858172378967</v>
      </c>
      <c r="G451" s="146">
        <v>26.434625532698188</v>
      </c>
      <c r="H451" s="146">
        <v>0</v>
      </c>
      <c r="I451" s="146"/>
      <c r="J451" s="146">
        <v>6.554236077057056E-2</v>
      </c>
      <c r="K451" s="146">
        <v>1E-8</v>
      </c>
      <c r="L451" s="146">
        <v>133.33183151777141</v>
      </c>
      <c r="M451" s="146">
        <v>79.999098288447613</v>
      </c>
      <c r="N451" s="146">
        <v>1.1184592150467778</v>
      </c>
      <c r="O451" s="146"/>
      <c r="P451" s="146"/>
      <c r="Q451" s="146"/>
      <c r="R451" s="146"/>
      <c r="S451" s="146"/>
      <c r="T451" s="146"/>
      <c r="U451" s="146"/>
      <c r="V451" s="146"/>
      <c r="W451" s="146"/>
      <c r="X451" s="146"/>
      <c r="Y451" s="146"/>
      <c r="Z451" s="146" t="s">
        <v>35</v>
      </c>
      <c r="AA451" s="146"/>
      <c r="AB451" s="146"/>
      <c r="AC451" s="146"/>
      <c r="AD451" s="146"/>
      <c r="AE451" s="146"/>
      <c r="AF451" s="146"/>
      <c r="AG451" s="146"/>
      <c r="AH451" s="146"/>
      <c r="AI451" s="146"/>
      <c r="AJ451" s="146"/>
      <c r="AK451" s="146"/>
      <c r="AL451" s="146">
        <v>831.40091468292803</v>
      </c>
      <c r="AM451" s="146">
        <v>0.30648006748635626</v>
      </c>
      <c r="AN451" s="146">
        <v>0.29033728367066614</v>
      </c>
      <c r="AO451" s="146">
        <v>325.7872547006728</v>
      </c>
      <c r="AP451" s="146">
        <v>272.17130715953925</v>
      </c>
      <c r="AQ451" t="s">
        <v>308</v>
      </c>
      <c r="AR451">
        <v>0</v>
      </c>
      <c r="AS451">
        <v>0</v>
      </c>
      <c r="AT451">
        <v>0</v>
      </c>
      <c r="AU451">
        <v>1</v>
      </c>
      <c r="AV451">
        <v>0.1</v>
      </c>
      <c r="AW451" s="146">
        <v>3</v>
      </c>
      <c r="AX451" s="141">
        <v>6.1923490517190517E-2</v>
      </c>
      <c r="AY451" s="228">
        <v>1E-8</v>
      </c>
      <c r="AZ451" s="209">
        <v>272.17130715953925</v>
      </c>
      <c r="BA451">
        <v>6.1923490517190517E-2</v>
      </c>
      <c r="BB451" s="249">
        <v>82.652921367622781</v>
      </c>
      <c r="BC451" s="243">
        <v>227.29328776696738</v>
      </c>
      <c r="BD451" s="209">
        <v>137214.59822191359</v>
      </c>
      <c r="BE451" s="243">
        <v>107.52900828486348</v>
      </c>
      <c r="BF451">
        <v>489431.10865573154</v>
      </c>
      <c r="BG451" t="s">
        <v>387</v>
      </c>
      <c r="BH451">
        <v>6.7631843547073493E-6</v>
      </c>
      <c r="BI451">
        <v>2572145.9822191359</v>
      </c>
      <c r="BJ451">
        <f t="shared" si="28"/>
        <v>0.19028123288456267</v>
      </c>
    </row>
    <row r="452" spans="1:62" s="140" customFormat="1" x14ac:dyDescent="0.3">
      <c r="A452" s="140">
        <v>-0.1</v>
      </c>
      <c r="B452" s="140">
        <v>1900</v>
      </c>
      <c r="C452" s="140">
        <v>25</v>
      </c>
      <c r="D452" s="140">
        <v>400</v>
      </c>
      <c r="E452" s="253">
        <v>22.569706234344508</v>
      </c>
      <c r="F452" s="140">
        <v>8.6491756625633478</v>
      </c>
      <c r="G452" s="140">
        <v>27.759078523530597</v>
      </c>
      <c r="H452" s="140">
        <v>0</v>
      </c>
      <c r="J452" s="140">
        <v>6.6015150520830249E-2</v>
      </c>
      <c r="K452" s="140">
        <v>1E-8</v>
      </c>
      <c r="L452" s="140">
        <v>141.49085584351477</v>
      </c>
      <c r="M452" s="140">
        <v>84.894512845818198</v>
      </c>
      <c r="N452" s="140">
        <v>1.1629056064761358</v>
      </c>
      <c r="Z452" s="140" t="s">
        <v>35</v>
      </c>
      <c r="AL452" s="140">
        <v>848.26558943716304</v>
      </c>
      <c r="AM452" s="140">
        <v>0.31158007119118464</v>
      </c>
      <c r="AN452" s="140">
        <v>0.29301513939033652</v>
      </c>
      <c r="AO452" s="140">
        <v>322.97426583041312</v>
      </c>
      <c r="AP452" s="140">
        <v>266.81278619909534</v>
      </c>
      <c r="AQ452" s="140" t="s">
        <v>308</v>
      </c>
      <c r="AR452" s="140">
        <v>0</v>
      </c>
      <c r="AS452" s="140">
        <v>0</v>
      </c>
      <c r="AT452" s="140">
        <v>0</v>
      </c>
      <c r="AU452" s="140">
        <v>1</v>
      </c>
      <c r="AV452">
        <v>0.1</v>
      </c>
      <c r="AW452" s="140">
        <v>3</v>
      </c>
      <c r="AX452" s="141">
        <v>6.2512814844668474E-2</v>
      </c>
      <c r="AY452" s="205">
        <v>1E-8</v>
      </c>
      <c r="AZ452" s="209">
        <v>266.81278619909534</v>
      </c>
      <c r="BA452" s="140">
        <v>6.2512814844668474E-2</v>
      </c>
      <c r="BB452" s="253">
        <v>87.763350586719412</v>
      </c>
      <c r="BC452" s="245">
        <v>232.92068309298949</v>
      </c>
      <c r="BD452" s="210">
        <v>143271.65457242375</v>
      </c>
      <c r="BE452" s="245">
        <v>112.99310006877577</v>
      </c>
      <c r="BF452" s="140">
        <v>534148.83443722699</v>
      </c>
      <c r="BG452" t="s">
        <v>387</v>
      </c>
      <c r="BH452" s="140">
        <v>6.8481167018017616E-6</v>
      </c>
      <c r="BI452" s="140">
        <v>2632716.5457242373</v>
      </c>
      <c r="BJ452">
        <f t="shared" ref="BJ452:BJ515" si="29">BF452/BI452</f>
        <v>0.20288885079737565</v>
      </c>
    </row>
    <row r="453" spans="1:62" x14ac:dyDescent="0.3">
      <c r="A453">
        <v>-0.1</v>
      </c>
      <c r="B453" s="146">
        <v>1000</v>
      </c>
      <c r="C453" s="146">
        <v>25</v>
      </c>
      <c r="D453" s="146">
        <v>200</v>
      </c>
      <c r="E453" s="252">
        <v>12.407590094919611</v>
      </c>
      <c r="F453" s="146">
        <v>10.916474549620867</v>
      </c>
      <c r="G453" s="146">
        <v>18.737178998816361</v>
      </c>
      <c r="H453" s="146">
        <v>0</v>
      </c>
      <c r="I453" s="146"/>
      <c r="J453" s="146">
        <v>9.8066498993887377E-2</v>
      </c>
      <c r="K453" s="146">
        <v>1E-8</v>
      </c>
      <c r="L453" s="146">
        <v>113.27415948474311</v>
      </c>
      <c r="M453" s="146">
        <v>67.964495162233121</v>
      </c>
      <c r="N453" s="146">
        <v>1.0405417178951026</v>
      </c>
      <c r="O453" s="146"/>
      <c r="P453" s="146"/>
      <c r="Q453" s="146"/>
      <c r="R453" s="146"/>
      <c r="S453" s="146"/>
      <c r="T453" s="146"/>
      <c r="U453" s="146"/>
      <c r="V453" s="146"/>
      <c r="W453" s="146"/>
      <c r="X453" s="146"/>
      <c r="Y453" s="146"/>
      <c r="Z453" s="146" t="s">
        <v>35</v>
      </c>
      <c r="AA453" s="146"/>
      <c r="AB453" s="146"/>
      <c r="AC453" s="146"/>
      <c r="AD453" s="146"/>
      <c r="AE453" s="146"/>
      <c r="AF453" s="146"/>
      <c r="AG453" s="146"/>
      <c r="AH453" s="146"/>
      <c r="AI453" s="146"/>
      <c r="AJ453" s="146"/>
      <c r="AK453" s="146"/>
      <c r="AL453" s="146">
        <v>646.10226565920675</v>
      </c>
      <c r="AM453" s="146">
        <v>0.58261035721068077</v>
      </c>
      <c r="AN453" s="146">
        <v>0.28658855887150558</v>
      </c>
      <c r="AO453" s="146">
        <v>156.70591267224083</v>
      </c>
      <c r="AP453" s="146">
        <v>125.83140671165501</v>
      </c>
      <c r="AQ453" t="s">
        <v>308</v>
      </c>
      <c r="AR453">
        <v>0</v>
      </c>
      <c r="AS453">
        <v>0</v>
      </c>
      <c r="AT453">
        <v>0</v>
      </c>
      <c r="AU453">
        <v>1</v>
      </c>
      <c r="AV453">
        <v>0.1</v>
      </c>
      <c r="AW453" s="146">
        <v>3</v>
      </c>
      <c r="AX453" s="141">
        <v>9.1624717977481854E-2</v>
      </c>
      <c r="AY453" s="141">
        <v>1E-8</v>
      </c>
      <c r="AZ453" s="209">
        <v>125.83140671165501</v>
      </c>
      <c r="BA453">
        <v>9.1624717977481854E-2</v>
      </c>
      <c r="BB453" s="249">
        <v>94.215924721677851</v>
      </c>
      <c r="BC453" s="243">
        <v>224.48228165618397</v>
      </c>
      <c r="BD453" s="209">
        <v>147677.03318746263</v>
      </c>
      <c r="BE453" s="243">
        <v>124.05836997834348</v>
      </c>
      <c r="BF453">
        <v>259134.10200269948</v>
      </c>
      <c r="BG453" t="s">
        <v>388</v>
      </c>
      <c r="BH453">
        <v>3.9849662085532779E-6</v>
      </c>
      <c r="BI453">
        <v>2676770.3318746262</v>
      </c>
      <c r="BJ453">
        <f t="shared" si="29"/>
        <v>9.6808493024958087E-2</v>
      </c>
    </row>
    <row r="454" spans="1:62" x14ac:dyDescent="0.3">
      <c r="A454">
        <v>-0.1</v>
      </c>
      <c r="B454" s="146">
        <v>1000</v>
      </c>
      <c r="C454" s="146">
        <v>25</v>
      </c>
      <c r="D454" s="146">
        <v>300</v>
      </c>
      <c r="E454" s="252">
        <v>15.80429795661394</v>
      </c>
      <c r="F454" s="146">
        <v>8.1338584665315068</v>
      </c>
      <c r="G454" s="146">
        <v>20.658098827401808</v>
      </c>
      <c r="H454" s="146">
        <v>0</v>
      </c>
      <c r="I454" s="146"/>
      <c r="J454" s="146">
        <v>7.8288604699686737E-2</v>
      </c>
      <c r="K454" s="146">
        <v>1E-8</v>
      </c>
      <c r="L454" s="146">
        <v>109.4094246299843</v>
      </c>
      <c r="M454" s="146">
        <v>65.645654267413263</v>
      </c>
      <c r="N454" s="146">
        <v>1.0177512654526404</v>
      </c>
      <c r="O454" s="146"/>
      <c r="P454" s="146"/>
      <c r="Q454" s="146"/>
      <c r="R454" s="146"/>
      <c r="S454" s="146"/>
      <c r="T454" s="146"/>
      <c r="U454" s="146"/>
      <c r="V454" s="146"/>
      <c r="W454" s="146"/>
      <c r="X454" s="146"/>
      <c r="Y454" s="146"/>
      <c r="Z454" s="146" t="s">
        <v>35</v>
      </c>
      <c r="AA454" s="146"/>
      <c r="AB454" s="146"/>
      <c r="AC454" s="146"/>
      <c r="AD454" s="146"/>
      <c r="AE454" s="146"/>
      <c r="AF454" s="146"/>
      <c r="AG454" s="146"/>
      <c r="AH454" s="146"/>
      <c r="AI454" s="146"/>
      <c r="AJ454" s="146"/>
      <c r="AK454" s="146"/>
      <c r="AL454" s="146">
        <v>713.84676310101349</v>
      </c>
      <c r="AM454" s="146">
        <v>0.3937370294570573</v>
      </c>
      <c r="AN454" s="146">
        <v>0.28373010389754422</v>
      </c>
      <c r="AO454" s="146">
        <v>244.29812790566305</v>
      </c>
      <c r="AP454" s="146">
        <v>204.97113037469333</v>
      </c>
      <c r="AQ454" t="s">
        <v>308</v>
      </c>
      <c r="AR454">
        <v>0</v>
      </c>
      <c r="AS454">
        <v>0</v>
      </c>
      <c r="AT454">
        <v>0</v>
      </c>
      <c r="AU454">
        <v>1</v>
      </c>
      <c r="AV454">
        <v>0.1</v>
      </c>
      <c r="AW454" s="146">
        <v>3</v>
      </c>
      <c r="AX454" s="141">
        <v>7.3110829808303718E-2</v>
      </c>
      <c r="AY454" s="141">
        <v>1E-8</v>
      </c>
      <c r="AZ454" s="209">
        <v>204.97113037469333</v>
      </c>
      <c r="BA454">
        <v>7.3110829808303718E-2</v>
      </c>
      <c r="BB454" s="249">
        <v>77.055971195479799</v>
      </c>
      <c r="BC454" s="243">
        <v>211.89666297394956</v>
      </c>
      <c r="BD454" s="209">
        <v>127880.90229222924</v>
      </c>
      <c r="BE454" s="243">
        <v>102.85199203489658</v>
      </c>
      <c r="BF454">
        <v>319008.78608311247</v>
      </c>
      <c r="BG454" t="s">
        <v>388</v>
      </c>
      <c r="BH454">
        <v>5.3955849374411182E-6</v>
      </c>
      <c r="BI454">
        <v>2478809.0229222924</v>
      </c>
      <c r="BJ454">
        <f t="shared" si="29"/>
        <v>0.12869437828132071</v>
      </c>
    </row>
    <row r="455" spans="1:62" x14ac:dyDescent="0.3">
      <c r="A455">
        <v>-0.1</v>
      </c>
      <c r="B455" s="146">
        <v>1000</v>
      </c>
      <c r="C455" s="146">
        <v>25</v>
      </c>
      <c r="D455" s="146">
        <v>400</v>
      </c>
      <c r="E455" s="252">
        <v>18.017561595480821</v>
      </c>
      <c r="F455" s="146">
        <v>6.3577842108744722</v>
      </c>
      <c r="G455" s="146">
        <v>21.93047951130184</v>
      </c>
      <c r="H455" s="146">
        <v>0</v>
      </c>
      <c r="I455" s="146"/>
      <c r="J455" s="146">
        <v>6.4233882191958164E-2</v>
      </c>
      <c r="K455" s="146">
        <v>1E-8</v>
      </c>
      <c r="L455" s="146">
        <v>106.93316629482626</v>
      </c>
      <c r="M455" s="146">
        <v>64.159899277874317</v>
      </c>
      <c r="N455" s="146">
        <v>0.95652810414219047</v>
      </c>
      <c r="O455" s="146"/>
      <c r="P455" s="146"/>
      <c r="Q455" s="146"/>
      <c r="R455" s="146"/>
      <c r="S455" s="146"/>
      <c r="T455" s="146"/>
      <c r="U455" s="146"/>
      <c r="V455" s="146"/>
      <c r="W455" s="146"/>
      <c r="X455" s="146"/>
      <c r="Y455" s="146"/>
      <c r="Z455" s="146" t="s">
        <v>35</v>
      </c>
      <c r="AA455" s="146"/>
      <c r="AB455" s="146"/>
      <c r="AC455" s="146"/>
      <c r="AD455" s="146"/>
      <c r="AE455" s="146"/>
      <c r="AF455" s="146"/>
      <c r="AG455" s="146"/>
      <c r="AH455" s="146"/>
      <c r="AI455" s="146"/>
      <c r="AJ455" s="146"/>
      <c r="AK455" s="146"/>
      <c r="AL455" s="146">
        <v>769.28875602972687</v>
      </c>
      <c r="AM455" s="146">
        <v>0.28990630175678545</v>
      </c>
      <c r="AN455" s="146">
        <v>0.28090483499085739</v>
      </c>
      <c r="AO455" s="146">
        <v>335.85884131874326</v>
      </c>
      <c r="AP455" s="146">
        <v>291.02470395863145</v>
      </c>
      <c r="AQ455" t="s">
        <v>308</v>
      </c>
      <c r="AR455">
        <v>0</v>
      </c>
      <c r="AS455">
        <v>0</v>
      </c>
      <c r="AT455">
        <v>0</v>
      </c>
      <c r="AU455">
        <v>1</v>
      </c>
      <c r="AV455">
        <v>0.1</v>
      </c>
      <c r="AW455" s="146">
        <v>3</v>
      </c>
      <c r="AX455" s="141">
        <v>6.0201892361041953E-2</v>
      </c>
      <c r="AY455" s="141">
        <v>1E-8</v>
      </c>
      <c r="AZ455" s="209">
        <v>291.02470395863145</v>
      </c>
      <c r="BA455">
        <v>6.0201892361041953E-2</v>
      </c>
      <c r="BB455" s="249">
        <v>66.077709887262714</v>
      </c>
      <c r="BC455" s="243">
        <v>204.20541796671546</v>
      </c>
      <c r="BD455" s="209">
        <v>115603.07011020675</v>
      </c>
      <c r="BE455" s="243">
        <v>89.404906186798655</v>
      </c>
      <c r="BF455">
        <v>351273.62532352778</v>
      </c>
      <c r="BG455" t="s">
        <v>388</v>
      </c>
      <c r="BH455">
        <v>6.3946165450985708E-6</v>
      </c>
      <c r="BI455">
        <v>2356030.7011020677</v>
      </c>
      <c r="BJ455">
        <f t="shared" si="29"/>
        <v>0.1490955211913047</v>
      </c>
    </row>
    <row r="456" spans="1:62" x14ac:dyDescent="0.3">
      <c r="A456">
        <v>-0.1</v>
      </c>
      <c r="B456" s="146">
        <v>1000</v>
      </c>
      <c r="C456" s="146">
        <v>25</v>
      </c>
      <c r="D456" s="146">
        <v>500</v>
      </c>
      <c r="E456" s="252">
        <v>19.529890738091183</v>
      </c>
      <c r="F456" s="146">
        <v>5.166859545967216</v>
      </c>
      <c r="G456" s="146">
        <v>22.812579909736993</v>
      </c>
      <c r="H456" s="146">
        <v>0</v>
      </c>
      <c r="I456" s="146"/>
      <c r="J456" s="146">
        <v>5.3573981269674387E-2</v>
      </c>
      <c r="K456" s="146">
        <v>1E-8</v>
      </c>
      <c r="L456" s="146">
        <v>105.32221597041794</v>
      </c>
      <c r="M456" s="146">
        <v>63.193329090747085</v>
      </c>
      <c r="N456" s="146">
        <v>0.88895595341963363</v>
      </c>
      <c r="O456" s="146"/>
      <c r="P456" s="146"/>
      <c r="Q456" s="146"/>
      <c r="R456" s="146"/>
      <c r="S456" s="146"/>
      <c r="T456" s="146"/>
      <c r="U456" s="146"/>
      <c r="V456" s="146"/>
      <c r="W456" s="146"/>
      <c r="X456" s="146"/>
      <c r="Y456" s="146"/>
      <c r="Z456" s="146" t="s">
        <v>35</v>
      </c>
      <c r="AA456" s="146"/>
      <c r="AB456" s="146"/>
      <c r="AC456" s="146"/>
      <c r="AD456" s="146"/>
      <c r="AE456" s="146"/>
      <c r="AF456" s="146"/>
      <c r="AG456" s="146"/>
      <c r="AH456" s="146"/>
      <c r="AI456" s="146"/>
      <c r="AJ456" s="146"/>
      <c r="AK456" s="146"/>
      <c r="AL456" s="146">
        <v>825.7791247444635</v>
      </c>
      <c r="AM456" s="146">
        <v>0.22649167987185298</v>
      </c>
      <c r="AN456" s="146">
        <v>0.27859438252951069</v>
      </c>
      <c r="AO456" s="146">
        <v>429.89847619765828</v>
      </c>
      <c r="AP456" s="146">
        <v>381.30114803464699</v>
      </c>
      <c r="AQ456" t="s">
        <v>308</v>
      </c>
      <c r="AR456">
        <v>0</v>
      </c>
      <c r="AS456">
        <v>0</v>
      </c>
      <c r="AT456">
        <v>0</v>
      </c>
      <c r="AU456">
        <v>1</v>
      </c>
      <c r="AV456">
        <v>0.1</v>
      </c>
      <c r="AW456" s="146">
        <v>3</v>
      </c>
      <c r="AX456" s="141">
        <v>5.0506419724182607E-2</v>
      </c>
      <c r="AY456" s="141">
        <v>1E-8</v>
      </c>
      <c r="AZ456" s="209">
        <v>381.30114803464699</v>
      </c>
      <c r="BA456">
        <v>5.0506419724182607E-2</v>
      </c>
      <c r="BB456" s="249">
        <v>58.720315499724272</v>
      </c>
      <c r="BC456" s="243">
        <v>199.34625034950508</v>
      </c>
      <c r="BD456" s="209">
        <v>107552.61683499641</v>
      </c>
      <c r="BE456" s="243">
        <v>80.357509115375606</v>
      </c>
      <c r="BF456">
        <v>369751.32090264774</v>
      </c>
      <c r="BG456" t="s">
        <v>388</v>
      </c>
      <c r="BH456">
        <v>7.1176973683540109E-6</v>
      </c>
      <c r="BI456">
        <v>2275526.1683499641</v>
      </c>
      <c r="BJ456">
        <f t="shared" si="29"/>
        <v>0.16249047189413904</v>
      </c>
    </row>
    <row r="457" spans="1:62" x14ac:dyDescent="0.3">
      <c r="A457">
        <v>-0.1</v>
      </c>
      <c r="B457" s="146">
        <v>1000</v>
      </c>
      <c r="C457" s="146">
        <v>25</v>
      </c>
      <c r="D457" s="146">
        <v>600</v>
      </c>
      <c r="E457" s="252">
        <v>20.618840816916862</v>
      </c>
      <c r="F457" s="146">
        <v>4.3300861238273169</v>
      </c>
      <c r="G457" s="146">
        <v>23.459309595418556</v>
      </c>
      <c r="H457" s="146">
        <v>0</v>
      </c>
      <c r="I457" s="146"/>
      <c r="J457" s="146">
        <v>4.5396583476827346E-2</v>
      </c>
      <c r="K457" s="146">
        <v>1E-8</v>
      </c>
      <c r="L457" s="146">
        <v>104.24403786326167</v>
      </c>
      <c r="M457" s="146">
        <v>62.546422231484819</v>
      </c>
      <c r="N457" s="146">
        <v>0.82300447315119607</v>
      </c>
      <c r="O457" s="146"/>
      <c r="P457" s="146"/>
      <c r="Q457" s="146"/>
      <c r="R457" s="146"/>
      <c r="S457" s="146"/>
      <c r="T457" s="146"/>
      <c r="U457" s="146"/>
      <c r="V457" s="146"/>
      <c r="W457" s="146"/>
      <c r="X457" s="146"/>
      <c r="Y457" s="146"/>
      <c r="Z457" s="146" t="s">
        <v>35</v>
      </c>
      <c r="AA457" s="146"/>
      <c r="AB457" s="146"/>
      <c r="AC457" s="146"/>
      <c r="AD457" s="146"/>
      <c r="AE457" s="146"/>
      <c r="AF457" s="146"/>
      <c r="AG457" s="146"/>
      <c r="AH457" s="146"/>
      <c r="AI457" s="146"/>
      <c r="AJ457" s="146"/>
      <c r="AK457" s="146"/>
      <c r="AL457" s="146">
        <v>885.66511696831788</v>
      </c>
      <c r="AM457" s="146">
        <v>0.18457858302330232</v>
      </c>
      <c r="AN457" s="146">
        <v>0.27665122519902596</v>
      </c>
      <c r="AO457" s="146">
        <v>525.46990962326868</v>
      </c>
      <c r="AP457" s="146">
        <v>474.16288039272007</v>
      </c>
      <c r="AQ457" t="s">
        <v>308</v>
      </c>
      <c r="AR457">
        <v>0</v>
      </c>
      <c r="AS457">
        <v>0</v>
      </c>
      <c r="AT457">
        <v>0</v>
      </c>
      <c r="AU457">
        <v>1</v>
      </c>
      <c r="AV457">
        <v>0.1</v>
      </c>
      <c r="AW457" s="146">
        <v>3</v>
      </c>
      <c r="AX457" s="141">
        <v>4.3084127781777261E-2</v>
      </c>
      <c r="AY457" s="141">
        <v>1E-8</v>
      </c>
      <c r="AZ457" s="209">
        <v>474.16288039272007</v>
      </c>
      <c r="BA457">
        <v>4.3084127781777261E-2</v>
      </c>
      <c r="BB457" s="249">
        <v>53.567139823298028</v>
      </c>
      <c r="BC457" s="243">
        <v>196.154597754766</v>
      </c>
      <c r="BD457" s="209">
        <v>102039.47755418734</v>
      </c>
      <c r="BE457" s="243">
        <v>74.015688880448536</v>
      </c>
      <c r="BF457">
        <v>381385.63125966839</v>
      </c>
      <c r="BG457" t="s">
        <v>388</v>
      </c>
      <c r="BH457">
        <v>7.6564896569388048E-6</v>
      </c>
      <c r="BI457">
        <v>2220394.7755418736</v>
      </c>
      <c r="BJ457">
        <f t="shared" si="29"/>
        <v>0.17176478501062659</v>
      </c>
    </row>
    <row r="458" spans="1:62" x14ac:dyDescent="0.3">
      <c r="A458">
        <v>-0.1</v>
      </c>
      <c r="B458" s="146">
        <v>1000</v>
      </c>
      <c r="C458" s="146">
        <v>25</v>
      </c>
      <c r="D458" s="146">
        <v>700</v>
      </c>
      <c r="E458" s="252">
        <v>21.437776276753848</v>
      </c>
      <c r="F458" s="146">
        <v>3.7164937610179334</v>
      </c>
      <c r="G458" s="146">
        <v>23.954412332513382</v>
      </c>
      <c r="H458" s="146">
        <v>0</v>
      </c>
      <c r="I458" s="146"/>
      <c r="J458" s="146">
        <v>3.9057839942501428E-2</v>
      </c>
      <c r="K458" s="146">
        <v>1E-8</v>
      </c>
      <c r="L458" s="146">
        <v>103.49466048186142</v>
      </c>
      <c r="M458" s="146">
        <v>62.09679580614177</v>
      </c>
      <c r="N458" s="146">
        <v>0.76154212036736535</v>
      </c>
      <c r="O458" s="146"/>
      <c r="P458" s="146"/>
      <c r="Q458" s="146"/>
      <c r="R458" s="146"/>
      <c r="S458" s="146"/>
      <c r="T458" s="146"/>
      <c r="U458" s="146"/>
      <c r="V458" s="146"/>
      <c r="W458" s="146"/>
      <c r="X458" s="146"/>
      <c r="Y458" s="146"/>
      <c r="Z458" s="146" t="s">
        <v>35</v>
      </c>
      <c r="AA458" s="146"/>
      <c r="AB458" s="146"/>
      <c r="AC458" s="146"/>
      <c r="AD458" s="146"/>
      <c r="AE458" s="146"/>
      <c r="AF458" s="146"/>
      <c r="AG458" s="146"/>
      <c r="AH458" s="146"/>
      <c r="AI458" s="146"/>
      <c r="AJ458" s="146"/>
      <c r="AK458" s="146"/>
      <c r="AL458" s="146">
        <v>949.4644346583699</v>
      </c>
      <c r="AM458" s="146">
        <v>0.15514860934298635</v>
      </c>
      <c r="AN458" s="146">
        <v>0.27497861400923868</v>
      </c>
      <c r="AO458" s="146">
        <v>622.03838704331531</v>
      </c>
      <c r="AP458" s="146">
        <v>568.69337447468752</v>
      </c>
      <c r="AQ458" t="s">
        <v>308</v>
      </c>
      <c r="AR458">
        <v>0</v>
      </c>
      <c r="AS458">
        <v>0</v>
      </c>
      <c r="AT458">
        <v>0</v>
      </c>
      <c r="AU458">
        <v>1</v>
      </c>
      <c r="AV458">
        <v>0.1</v>
      </c>
      <c r="AW458" s="146">
        <v>3</v>
      </c>
      <c r="AX458" s="141">
        <v>3.7315922970648126E-2</v>
      </c>
      <c r="AY458" s="141">
        <v>1E-8</v>
      </c>
      <c r="AZ458" s="209">
        <v>568.69337447468752</v>
      </c>
      <c r="BA458">
        <v>3.7315922970648126E-2</v>
      </c>
      <c r="BB458" s="249">
        <v>49.804255500589996</v>
      </c>
      <c r="BC458" s="243">
        <v>193.96392273251746</v>
      </c>
      <c r="BD458" s="209">
        <v>98098.260596188658</v>
      </c>
      <c r="BE458" s="243">
        <v>69.391747367708845</v>
      </c>
      <c r="BF458">
        <v>389345.57396474003</v>
      </c>
      <c r="BG458" t="s">
        <v>388</v>
      </c>
      <c r="BH458">
        <v>8.0697928776461071E-6</v>
      </c>
      <c r="BI458">
        <v>2180982.6059618867</v>
      </c>
      <c r="BJ458">
        <f t="shared" si="29"/>
        <v>0.1785184223388272</v>
      </c>
    </row>
    <row r="459" spans="1:62" x14ac:dyDescent="0.3">
      <c r="A459">
        <v>-0.1</v>
      </c>
      <c r="B459" s="146">
        <v>1000</v>
      </c>
      <c r="C459" s="146">
        <v>25</v>
      </c>
      <c r="D459" s="146">
        <v>800</v>
      </c>
      <c r="E459" s="252">
        <v>22.074116195672346</v>
      </c>
      <c r="F459" s="146">
        <v>3.2498375329823861</v>
      </c>
      <c r="G459" s="146">
        <v>24.344746153508151</v>
      </c>
      <c r="H459" s="146">
        <v>0</v>
      </c>
      <c r="I459" s="146"/>
      <c r="J459" s="146">
        <v>3.4070277224116749E-2</v>
      </c>
      <c r="K459" s="146">
        <v>1E-8</v>
      </c>
      <c r="L459" s="146">
        <v>102.95244616615891</v>
      </c>
      <c r="M459" s="146">
        <v>61.771467219250589</v>
      </c>
      <c r="N459" s="146">
        <v>0.70579335374733765</v>
      </c>
      <c r="O459" s="146"/>
      <c r="P459" s="146"/>
      <c r="Q459" s="146"/>
      <c r="R459" s="146"/>
      <c r="S459" s="146"/>
      <c r="T459" s="146"/>
      <c r="U459" s="146"/>
      <c r="V459" s="146"/>
      <c r="W459" s="146"/>
      <c r="X459" s="146"/>
      <c r="Y459" s="146"/>
      <c r="Z459" s="146" t="s">
        <v>35</v>
      </c>
      <c r="AA459" s="146"/>
      <c r="AB459" s="146"/>
      <c r="AC459" s="146"/>
      <c r="AD459" s="146"/>
      <c r="AE459" s="146"/>
      <c r="AF459" s="146"/>
      <c r="AG459" s="146"/>
      <c r="AH459" s="146"/>
      <c r="AI459" s="146"/>
      <c r="AJ459" s="146"/>
      <c r="AK459" s="146"/>
      <c r="AL459" s="146">
        <v>1017.2698789041476</v>
      </c>
      <c r="AM459" s="146">
        <v>0.1334923565228498</v>
      </c>
      <c r="AN459" s="146">
        <v>0.273538123391184</v>
      </c>
      <c r="AO459" s="146">
        <v>719.30150020037831</v>
      </c>
      <c r="AP459" s="146">
        <v>664.37320203047875</v>
      </c>
      <c r="AQ459" t="s">
        <v>308</v>
      </c>
      <c r="AR459">
        <v>0</v>
      </c>
      <c r="AS459">
        <v>0</v>
      </c>
      <c r="AT459">
        <v>0</v>
      </c>
      <c r="AU459">
        <v>1</v>
      </c>
      <c r="AV459">
        <v>0.1</v>
      </c>
      <c r="AW459" s="146">
        <v>3</v>
      </c>
      <c r="AX459" s="141">
        <v>3.2753319342066857E-2</v>
      </c>
      <c r="AY459" s="141">
        <v>1E-8</v>
      </c>
      <c r="AZ459" s="209">
        <v>664.37320203047875</v>
      </c>
      <c r="BA459">
        <v>3.2753319342066857E-2</v>
      </c>
      <c r="BB459" s="249">
        <v>46.953714745833018</v>
      </c>
      <c r="BC459" s="243">
        <v>192.39268040272725</v>
      </c>
      <c r="BD459" s="209">
        <v>95163.56910197527</v>
      </c>
      <c r="BE459" s="243">
        <v>65.891796135117986</v>
      </c>
      <c r="BF459">
        <v>395105.19569393434</v>
      </c>
      <c r="BG459" t="s">
        <v>388</v>
      </c>
      <c r="BH459">
        <v>8.3951946997095866E-6</v>
      </c>
      <c r="BI459">
        <v>2151635.691019753</v>
      </c>
      <c r="BJ459">
        <f t="shared" si="29"/>
        <v>0.18363015511546796</v>
      </c>
    </row>
    <row r="460" spans="1:62" x14ac:dyDescent="0.3">
      <c r="A460">
        <v>-0.1</v>
      </c>
      <c r="B460" s="146">
        <v>1000</v>
      </c>
      <c r="C460" s="146">
        <v>25</v>
      </c>
      <c r="D460" s="146">
        <v>900</v>
      </c>
      <c r="E460" s="252">
        <v>22.578968544608777</v>
      </c>
      <c r="F460" s="146">
        <v>2.8837471033682878</v>
      </c>
      <c r="G460" s="146">
        <v>24.656712180266503</v>
      </c>
      <c r="H460" s="146">
        <v>0</v>
      </c>
      <c r="I460" s="146"/>
      <c r="J460" s="146">
        <v>3.0053522768656967E-2</v>
      </c>
      <c r="K460" s="146">
        <v>1E-8</v>
      </c>
      <c r="L460" s="146">
        <v>102.5425653662877</v>
      </c>
      <c r="M460" s="146">
        <v>61.525538741240652</v>
      </c>
      <c r="N460" s="146">
        <v>0.65660010065494967</v>
      </c>
      <c r="O460" s="146"/>
      <c r="P460" s="146"/>
      <c r="Q460" s="146"/>
      <c r="R460" s="146"/>
      <c r="S460" s="146"/>
      <c r="T460" s="146"/>
      <c r="U460" s="146"/>
      <c r="V460" s="146"/>
      <c r="W460" s="146"/>
      <c r="X460" s="146"/>
      <c r="Y460" s="146"/>
      <c r="Z460" s="146" t="s">
        <v>35</v>
      </c>
      <c r="AA460" s="146"/>
      <c r="AB460" s="146"/>
      <c r="AC460" s="146"/>
      <c r="AD460" s="146"/>
      <c r="AE460" s="146"/>
      <c r="AF460" s="146"/>
      <c r="AG460" s="146"/>
      <c r="AH460" s="146"/>
      <c r="AI460" s="146"/>
      <c r="AJ460" s="146"/>
      <c r="AK460" s="146"/>
      <c r="AL460" s="146">
        <v>1089.2098782825033</v>
      </c>
      <c r="AM460" s="146">
        <v>0.11695586509203104</v>
      </c>
      <c r="AN460" s="146">
        <v>0.27234536321102526</v>
      </c>
      <c r="AO460" s="146">
        <v>817.09435299945392</v>
      </c>
      <c r="AP460" s="146">
        <v>760.9098279550285</v>
      </c>
      <c r="AQ460" t="s">
        <v>308</v>
      </c>
      <c r="AR460">
        <v>0</v>
      </c>
      <c r="AS460">
        <v>0</v>
      </c>
      <c r="AT460">
        <v>0</v>
      </c>
      <c r="AU460">
        <v>1</v>
      </c>
      <c r="AV460">
        <v>0.1</v>
      </c>
      <c r="AW460" s="146">
        <v>3</v>
      </c>
      <c r="AX460" s="141">
        <v>2.9052589028248994E-2</v>
      </c>
      <c r="AY460" s="141">
        <v>1E-8</v>
      </c>
      <c r="AZ460" s="209">
        <v>760.9098279550285</v>
      </c>
      <c r="BA460">
        <v>2.9052589028248994E-2</v>
      </c>
      <c r="BB460" s="249">
        <v>44.721865967585117</v>
      </c>
      <c r="BC460" s="243">
        <v>191.21250060886021</v>
      </c>
      <c r="BD460" s="209">
        <v>92883.75000636201</v>
      </c>
      <c r="BE460" s="243">
        <v>63.135532980572279</v>
      </c>
      <c r="BF460">
        <v>399332.01159398339</v>
      </c>
      <c r="BG460" t="s">
        <v>388</v>
      </c>
      <c r="BH460">
        <v>8.657243749918936E-6</v>
      </c>
      <c r="BI460">
        <v>2128837.50006362</v>
      </c>
      <c r="BJ460">
        <f t="shared" si="29"/>
        <v>0.18758219525071754</v>
      </c>
    </row>
    <row r="461" spans="1:62" x14ac:dyDescent="0.3">
      <c r="A461">
        <v>-0.1</v>
      </c>
      <c r="B461" s="146">
        <v>1000</v>
      </c>
      <c r="C461" s="146">
        <v>25</v>
      </c>
      <c r="D461" s="146">
        <v>1000</v>
      </c>
      <c r="E461" s="252">
        <v>22.990665136829545</v>
      </c>
      <c r="F461" s="146">
        <v>2.5900050707517428</v>
      </c>
      <c r="G461" s="146">
        <v>24.913771693839735</v>
      </c>
      <c r="H461" s="146">
        <v>0</v>
      </c>
      <c r="I461" s="146"/>
      <c r="J461" s="146">
        <v>2.6806074263526589E-2</v>
      </c>
      <c r="K461" s="146">
        <v>1E-8</v>
      </c>
      <c r="L461" s="146">
        <v>102.2269758041238</v>
      </c>
      <c r="M461" s="146">
        <v>61.336185005415061</v>
      </c>
      <c r="N461" s="146">
        <v>0.61265461623966688</v>
      </c>
      <c r="O461" s="146"/>
      <c r="P461" s="146"/>
      <c r="Q461" s="146"/>
      <c r="R461" s="146"/>
      <c r="S461" s="146"/>
      <c r="T461" s="146"/>
      <c r="U461" s="146"/>
      <c r="V461" s="146"/>
      <c r="W461" s="146"/>
      <c r="X461" s="146"/>
      <c r="Y461" s="146"/>
      <c r="Z461" s="146" t="s">
        <v>35</v>
      </c>
      <c r="AA461" s="146"/>
      <c r="AB461" s="146"/>
      <c r="AC461" s="146"/>
      <c r="AD461" s="146"/>
      <c r="AE461" s="146"/>
      <c r="AF461" s="146"/>
      <c r="AG461" s="146"/>
      <c r="AH461" s="146"/>
      <c r="AI461" s="146"/>
      <c r="AJ461" s="146"/>
      <c r="AK461" s="146"/>
      <c r="AL461" s="146">
        <v>1164.3760280174802</v>
      </c>
      <c r="AM461" s="146">
        <v>0.10395877037727516</v>
      </c>
      <c r="AN461" s="146">
        <v>0.27130095442960267</v>
      </c>
      <c r="AO461" s="146">
        <v>915.25770639043151</v>
      </c>
      <c r="AP461" s="146">
        <v>858.04871989764649</v>
      </c>
      <c r="AQ461" t="s">
        <v>308</v>
      </c>
      <c r="AR461">
        <v>0</v>
      </c>
      <c r="AS461">
        <v>0</v>
      </c>
      <c r="AT461">
        <v>0</v>
      </c>
      <c r="AU461">
        <v>1</v>
      </c>
      <c r="AV461">
        <v>0.1</v>
      </c>
      <c r="AW461" s="146">
        <v>3</v>
      </c>
      <c r="AX461" s="141">
        <v>2.6038851384396905E-2</v>
      </c>
      <c r="AY461" s="141">
        <v>1E-8</v>
      </c>
      <c r="AZ461" s="209">
        <v>858.04871989764649</v>
      </c>
      <c r="BA461">
        <v>2.6038851384396905E-2</v>
      </c>
      <c r="BB461" s="249">
        <v>42.937026939741898</v>
      </c>
      <c r="BC461" s="243">
        <v>190.30821245198842</v>
      </c>
      <c r="BD461" s="209">
        <v>91083.072036138838</v>
      </c>
      <c r="BE461" s="243">
        <v>60.933396201738795</v>
      </c>
      <c r="BF461">
        <v>402639.4574351738</v>
      </c>
      <c r="BG461" t="s">
        <v>388</v>
      </c>
      <c r="BH461">
        <v>8.8722248963979683E-6</v>
      </c>
      <c r="BI461">
        <v>2110830.7203613883</v>
      </c>
      <c r="BJ461">
        <f t="shared" si="29"/>
        <v>0.19074928820736475</v>
      </c>
    </row>
    <row r="462" spans="1:62" s="140" customFormat="1" x14ac:dyDescent="0.3">
      <c r="A462" s="140">
        <v>-0.1</v>
      </c>
      <c r="B462" s="140">
        <v>1000</v>
      </c>
      <c r="C462" s="140">
        <v>25</v>
      </c>
      <c r="D462" s="140">
        <v>1100</v>
      </c>
      <c r="E462" s="253">
        <v>23.331826288813083</v>
      </c>
      <c r="F462" s="140">
        <v>2.3493780194259068</v>
      </c>
      <c r="G462" s="140">
        <v>25.128330528609855</v>
      </c>
      <c r="H462" s="140">
        <v>0</v>
      </c>
      <c r="J462" s="140">
        <v>2.4138429343916072E-2</v>
      </c>
      <c r="K462" s="140">
        <v>1E-8</v>
      </c>
      <c r="L462" s="140">
        <v>101.97698525531047</v>
      </c>
      <c r="M462" s="140">
        <v>61.186190677293666</v>
      </c>
      <c r="N462" s="140">
        <v>0.57361550646873072</v>
      </c>
      <c r="Z462" s="140" t="s">
        <v>35</v>
      </c>
      <c r="AL462" s="140">
        <v>1242.4613957262709</v>
      </c>
      <c r="AM462" s="140">
        <v>9.3495189294450859E-2</v>
      </c>
      <c r="AN462" s="140">
        <v>0.27039336118149476</v>
      </c>
      <c r="AO462" s="140">
        <v>1013.7115416337749</v>
      </c>
      <c r="AP462" s="140">
        <v>955.65364249190566</v>
      </c>
      <c r="AQ462" s="140" t="s">
        <v>308</v>
      </c>
      <c r="AR462" s="140">
        <v>0</v>
      </c>
      <c r="AS462" s="140">
        <v>0</v>
      </c>
      <c r="AT462" s="140">
        <v>0</v>
      </c>
      <c r="AU462" s="140">
        <v>1</v>
      </c>
      <c r="AV462">
        <v>0.1</v>
      </c>
      <c r="AW462" s="140">
        <v>3</v>
      </c>
      <c r="AX462" s="141">
        <v>2.3545002142753534E-2</v>
      </c>
      <c r="AY462" s="205">
        <v>1E-8</v>
      </c>
      <c r="AZ462" s="209">
        <v>955.65364249190566</v>
      </c>
      <c r="BA462" s="140">
        <v>2.3545002142753534E-2</v>
      </c>
      <c r="BB462" s="253">
        <v>41.478428086116807</v>
      </c>
      <c r="BC462" s="245">
        <v>189.59458186303357</v>
      </c>
      <c r="BD462" s="210">
        <v>89623.746811278412</v>
      </c>
      <c r="BE462" s="245">
        <v>59.131510170493314</v>
      </c>
      <c r="BF462" s="140">
        <v>405269.89761662367</v>
      </c>
      <c r="BG462" t="s">
        <v>388</v>
      </c>
      <c r="BH462" s="140">
        <v>9.0515019758272333E-6</v>
      </c>
      <c r="BI462" s="140">
        <v>2096237.468112784</v>
      </c>
      <c r="BJ462">
        <f t="shared" si="29"/>
        <v>0.19333205506601456</v>
      </c>
    </row>
    <row r="463" spans="1:62" x14ac:dyDescent="0.3">
      <c r="A463">
        <v>-0.1</v>
      </c>
      <c r="B463" s="146">
        <v>1000</v>
      </c>
      <c r="C463" s="146">
        <v>25</v>
      </c>
      <c r="D463" s="146">
        <v>400</v>
      </c>
      <c r="E463" s="252">
        <v>18.020468010045342</v>
      </c>
      <c r="F463" s="146">
        <v>6.3595476004980327</v>
      </c>
      <c r="G463" s="146">
        <v>21.934443464690794</v>
      </c>
      <c r="H463" s="146">
        <v>0</v>
      </c>
      <c r="I463" s="146"/>
      <c r="J463" s="146">
        <v>6.4285449596106839E-2</v>
      </c>
      <c r="K463" s="146">
        <v>1E-8</v>
      </c>
      <c r="L463" s="146">
        <v>106.94139752919708</v>
      </c>
      <c r="M463" s="146">
        <v>64.164838018458397</v>
      </c>
      <c r="N463" s="146">
        <v>0.95568324099957991</v>
      </c>
      <c r="O463" s="146"/>
      <c r="P463" s="146"/>
      <c r="Q463" s="146"/>
      <c r="R463" s="146"/>
      <c r="S463" s="146"/>
      <c r="T463" s="146"/>
      <c r="U463" s="146"/>
      <c r="V463" s="146"/>
      <c r="W463" s="146"/>
      <c r="X463" s="146"/>
      <c r="Y463" s="146"/>
      <c r="Z463" s="146" t="s">
        <v>35</v>
      </c>
      <c r="AA463" s="146"/>
      <c r="AB463" s="146"/>
      <c r="AC463" s="146"/>
      <c r="AD463" s="146"/>
      <c r="AE463" s="146"/>
      <c r="AF463" s="146"/>
      <c r="AG463" s="146"/>
      <c r="AH463" s="146"/>
      <c r="AI463" s="146"/>
      <c r="AJ463" s="146"/>
      <c r="AK463" s="146"/>
      <c r="AL463" s="146">
        <v>768.8347731223414</v>
      </c>
      <c r="AM463" s="146">
        <v>0.28993430404265247</v>
      </c>
      <c r="AN463" s="146">
        <v>0.28084365183236576</v>
      </c>
      <c r="AO463" s="146">
        <v>335.83451898424369</v>
      </c>
      <c r="AP463" s="146">
        <v>290.99315262255175</v>
      </c>
      <c r="AQ463" t="s">
        <v>308</v>
      </c>
      <c r="AR463">
        <v>0</v>
      </c>
      <c r="AS463">
        <v>0</v>
      </c>
      <c r="AT463">
        <v>0</v>
      </c>
      <c r="AU463">
        <v>1</v>
      </c>
      <c r="AV463">
        <v>0.1</v>
      </c>
      <c r="AW463" s="146">
        <v>3</v>
      </c>
      <c r="AX463" s="141">
        <v>6.0247908036766142E-2</v>
      </c>
      <c r="AY463" s="141">
        <v>1E-8</v>
      </c>
      <c r="AZ463" s="209">
        <v>290.99315262255175</v>
      </c>
      <c r="BA463">
        <v>6.0247908036766142E-2</v>
      </c>
      <c r="BB463" s="249">
        <v>66.093712631138459</v>
      </c>
      <c r="BC463" s="243">
        <v>204.2305314994438</v>
      </c>
      <c r="BD463" s="209">
        <v>115643.8178744211</v>
      </c>
      <c r="BE463" s="243">
        <v>89.450130259130518</v>
      </c>
      <c r="BF463">
        <v>351421.07029261452</v>
      </c>
      <c r="BG463" t="s">
        <v>389</v>
      </c>
      <c r="BH463">
        <v>6.3943130230741986E-6</v>
      </c>
      <c r="BI463">
        <v>2356438.1787442109</v>
      </c>
      <c r="BJ463">
        <f t="shared" si="29"/>
        <v>0.14913231056199117</v>
      </c>
    </row>
    <row r="464" spans="1:62" x14ac:dyDescent="0.3">
      <c r="A464">
        <v>-0.1</v>
      </c>
      <c r="B464" s="146">
        <v>1000</v>
      </c>
      <c r="C464" s="146">
        <v>25</v>
      </c>
      <c r="D464" s="146">
        <v>400</v>
      </c>
      <c r="E464" s="252">
        <v>17.378598457372796</v>
      </c>
      <c r="F464" s="146">
        <v>6.0411919429262797</v>
      </c>
      <c r="G464" s="146">
        <v>21.091767594041894</v>
      </c>
      <c r="H464" s="146">
        <v>0</v>
      </c>
      <c r="I464" s="146"/>
      <c r="J464" s="146">
        <v>6.3746692787471165E-2</v>
      </c>
      <c r="K464" s="146">
        <v>1E-8</v>
      </c>
      <c r="L464" s="146">
        <v>102.93592429238873</v>
      </c>
      <c r="M464" s="146">
        <v>61.761554095065591</v>
      </c>
      <c r="N464" s="146">
        <v>0.9271852527625426</v>
      </c>
      <c r="O464" s="146"/>
      <c r="P464" s="146"/>
      <c r="Q464" s="146"/>
      <c r="R464" s="146"/>
      <c r="S464" s="146"/>
      <c r="T464" s="146"/>
      <c r="U464" s="146"/>
      <c r="V464" s="146"/>
      <c r="W464" s="146"/>
      <c r="X464" s="146"/>
      <c r="Y464" s="146"/>
      <c r="Z464" s="146" t="s">
        <v>35</v>
      </c>
      <c r="AA464" s="146"/>
      <c r="AB464" s="146"/>
      <c r="AC464" s="146"/>
      <c r="AD464" s="146"/>
      <c r="AE464" s="146"/>
      <c r="AF464" s="146"/>
      <c r="AG464" s="146"/>
      <c r="AH464" s="146"/>
      <c r="AI464" s="146"/>
      <c r="AJ464" s="146"/>
      <c r="AK464" s="146"/>
      <c r="AL464" s="146">
        <v>758.85372886416553</v>
      </c>
      <c r="AM464" s="146">
        <v>0.28642416601597798</v>
      </c>
      <c r="AN464" s="146">
        <v>0.28260308663132722</v>
      </c>
      <c r="AO464" s="146">
        <v>338.50527726172987</v>
      </c>
      <c r="AP464" s="146">
        <v>295.26110248289416</v>
      </c>
      <c r="AQ464" t="s">
        <v>308</v>
      </c>
      <c r="AR464">
        <v>0</v>
      </c>
      <c r="AS464">
        <v>0</v>
      </c>
      <c r="AT464">
        <v>0</v>
      </c>
      <c r="AU464">
        <v>1</v>
      </c>
      <c r="AV464">
        <v>0.1</v>
      </c>
      <c r="AW464" s="146">
        <v>2.5</v>
      </c>
      <c r="AX464" s="141">
        <v>5.9841646470202285E-2</v>
      </c>
      <c r="AY464" s="141">
        <v>1E-8</v>
      </c>
      <c r="AZ464" s="209">
        <v>295.26110248289416</v>
      </c>
      <c r="BA464">
        <v>5.9841646470202285E-2</v>
      </c>
      <c r="BB464" s="249">
        <v>63.046476189465444</v>
      </c>
      <c r="BC464" s="243">
        <v>192.34498294013983</v>
      </c>
      <c r="BD464" s="209">
        <v>107792.58255600487</v>
      </c>
      <c r="BE464" s="243">
        <v>84.684283142242265</v>
      </c>
      <c r="BF464">
        <v>399174.7429289131</v>
      </c>
      <c r="BG464" t="s">
        <v>389</v>
      </c>
      <c r="BH464">
        <v>6.2219914309668647E-6</v>
      </c>
      <c r="BI464">
        <v>2277925.8255600487</v>
      </c>
      <c r="BJ464">
        <f t="shared" si="29"/>
        <v>0.17523605836935993</v>
      </c>
    </row>
    <row r="465" spans="1:62" x14ac:dyDescent="0.3">
      <c r="A465">
        <v>-0.1</v>
      </c>
      <c r="B465" s="146">
        <v>1000</v>
      </c>
      <c r="C465" s="146">
        <v>25</v>
      </c>
      <c r="D465" s="146">
        <v>400</v>
      </c>
      <c r="E465" s="252">
        <v>15.101497828602049</v>
      </c>
      <c r="F465" s="146">
        <v>4.9969455404120442</v>
      </c>
      <c r="G465" s="146">
        <v>18.161396089793818</v>
      </c>
      <c r="H465" s="146">
        <v>0</v>
      </c>
      <c r="I465" s="146"/>
      <c r="J465" s="146">
        <v>6.2653811294139952E-2</v>
      </c>
      <c r="K465" s="146">
        <v>1E-8</v>
      </c>
      <c r="L465" s="146">
        <v>88.768658168385926</v>
      </c>
      <c r="M465" s="146">
        <v>53.261194486777818</v>
      </c>
      <c r="N465" s="146">
        <v>0.81293071269173911</v>
      </c>
      <c r="O465" s="146"/>
      <c r="P465" s="146"/>
      <c r="Q465" s="146"/>
      <c r="R465" s="146"/>
      <c r="S465" s="146"/>
      <c r="T465" s="146"/>
      <c r="U465" s="146"/>
      <c r="V465" s="146"/>
      <c r="W465" s="146"/>
      <c r="X465" s="146"/>
      <c r="Y465" s="146"/>
      <c r="Z465" s="146" t="s">
        <v>35</v>
      </c>
      <c r="AA465" s="146"/>
      <c r="AB465" s="146"/>
      <c r="AC465" s="146"/>
      <c r="AD465" s="146"/>
      <c r="AE465" s="146"/>
      <c r="AF465" s="146"/>
      <c r="AG465" s="146"/>
      <c r="AH465" s="146"/>
      <c r="AI465" s="146"/>
      <c r="AJ465" s="146"/>
      <c r="AK465" s="146"/>
      <c r="AL465" s="146">
        <v>716.30652108841196</v>
      </c>
      <c r="AM465" s="146">
        <v>0.2751410472909725</v>
      </c>
      <c r="AN465" s="146">
        <v>0.28720494429626875</v>
      </c>
      <c r="AO465" s="146">
        <v>347.41908825558392</v>
      </c>
      <c r="AP465" s="146">
        <v>309.84116474254233</v>
      </c>
      <c r="AQ465" t="s">
        <v>308</v>
      </c>
      <c r="AR465">
        <v>0</v>
      </c>
      <c r="AS465">
        <v>0</v>
      </c>
      <c r="AT465">
        <v>0</v>
      </c>
      <c r="AU465">
        <v>1</v>
      </c>
      <c r="AV465">
        <v>0.1</v>
      </c>
      <c r="AW465" s="146">
        <v>1.5</v>
      </c>
      <c r="AX465" s="141">
        <v>5.9106707276383341E-2</v>
      </c>
      <c r="AY465" s="141">
        <v>1E-8</v>
      </c>
      <c r="AZ465" s="209">
        <v>309.84116474254233</v>
      </c>
      <c r="BA465">
        <v>5.9106707276383341E-2</v>
      </c>
      <c r="BB465" s="249">
        <v>52.878629757825443</v>
      </c>
      <c r="BC465" s="243">
        <v>154.8881131409461</v>
      </c>
      <c r="BD465" s="209">
        <v>83618.150362848843</v>
      </c>
      <c r="BE465" s="243">
        <v>69.682083253352687</v>
      </c>
      <c r="BF465">
        <v>520336.50297085859</v>
      </c>
      <c r="BG465" t="s">
        <v>389</v>
      </c>
      <c r="BH465">
        <v>5.612074895956042E-6</v>
      </c>
      <c r="BI465">
        <v>2036181.5036284884</v>
      </c>
      <c r="BJ465">
        <f t="shared" si="29"/>
        <v>0.25554524586517247</v>
      </c>
    </row>
    <row r="466" spans="1:62" x14ac:dyDescent="0.3">
      <c r="A466">
        <v>-0.1</v>
      </c>
      <c r="B466" s="146">
        <v>1000</v>
      </c>
      <c r="C466" s="146">
        <v>25</v>
      </c>
      <c r="D466" s="146">
        <v>400</v>
      </c>
      <c r="E466" s="252">
        <v>13.01599945891496</v>
      </c>
      <c r="F466" s="146">
        <v>4.1323643178534315</v>
      </c>
      <c r="G466" s="146">
        <v>15.540821962966078</v>
      </c>
      <c r="H466" s="146">
        <v>0</v>
      </c>
      <c r="I466" s="146"/>
      <c r="J466" s="146">
        <v>6.1577714001146241E-2</v>
      </c>
      <c r="K466" s="146">
        <v>1E-8</v>
      </c>
      <c r="L466" s="146">
        <v>76.044575881260542</v>
      </c>
      <c r="M466" s="146">
        <v>45.626745173881631</v>
      </c>
      <c r="N466" s="146">
        <v>0.71160692731484754</v>
      </c>
      <c r="O466" s="146"/>
      <c r="P466" s="146"/>
      <c r="Q466" s="146"/>
      <c r="R466" s="146"/>
      <c r="S466" s="146"/>
      <c r="T466" s="146"/>
      <c r="U466" s="146"/>
      <c r="V466" s="146"/>
      <c r="W466" s="146"/>
      <c r="X466" s="146"/>
      <c r="Y466" s="146"/>
      <c r="Z466" s="146" t="s">
        <v>35</v>
      </c>
      <c r="AA466" s="146"/>
      <c r="AB466" s="146"/>
      <c r="AC466" s="146"/>
      <c r="AD466" s="146"/>
      <c r="AE466" s="146"/>
      <c r="AF466" s="146"/>
      <c r="AG466" s="146"/>
      <c r="AH466" s="146"/>
      <c r="AI466" s="146"/>
      <c r="AJ466" s="146"/>
      <c r="AK466" s="146"/>
      <c r="AL466" s="146">
        <v>678.6401845837446</v>
      </c>
      <c r="AM466" s="146">
        <v>0.26590384522137206</v>
      </c>
      <c r="AN466" s="146">
        <v>0.29069902683808452</v>
      </c>
      <c r="AO466" s="146">
        <v>355.22517016830363</v>
      </c>
      <c r="AP466" s="146">
        <v>322.83672092632088</v>
      </c>
      <c r="AQ466" t="s">
        <v>308</v>
      </c>
      <c r="AR466">
        <v>0</v>
      </c>
      <c r="AS466">
        <v>0</v>
      </c>
      <c r="AT466">
        <v>0</v>
      </c>
      <c r="AU466">
        <v>1</v>
      </c>
      <c r="AV466">
        <v>0.1</v>
      </c>
      <c r="AW466" s="146">
        <v>1</v>
      </c>
      <c r="AX466" s="141">
        <v>5.8341949435618136E-2</v>
      </c>
      <c r="AY466" s="141">
        <v>1E-8</v>
      </c>
      <c r="AZ466" s="209">
        <v>322.83672092632088</v>
      </c>
      <c r="BA466">
        <v>5.8341949435618136E-2</v>
      </c>
      <c r="BB466" s="249">
        <v>44.261534880230712</v>
      </c>
      <c r="BC466" s="243">
        <v>125.93194383366209</v>
      </c>
      <c r="BD466" s="209">
        <v>65346.527600195288</v>
      </c>
      <c r="BE466" s="243">
        <v>57.524194216098984</v>
      </c>
      <c r="BF466">
        <v>585675.6244733698</v>
      </c>
      <c r="BG466" t="s">
        <v>389</v>
      </c>
      <c r="BH466">
        <v>5.0242509504107971E-6</v>
      </c>
      <c r="BI466">
        <v>1853465.2760019528</v>
      </c>
      <c r="BJ466">
        <f t="shared" si="29"/>
        <v>0.3159895316391958</v>
      </c>
    </row>
    <row r="467" spans="1:62" x14ac:dyDescent="0.3">
      <c r="A467">
        <v>-0.1</v>
      </c>
      <c r="B467" s="146">
        <v>1000</v>
      </c>
      <c r="C467" s="146">
        <v>25</v>
      </c>
      <c r="D467" s="146">
        <v>400</v>
      </c>
      <c r="E467" s="252">
        <v>11.880946273825023</v>
      </c>
      <c r="F467" s="146">
        <v>3.6930776505787763</v>
      </c>
      <c r="G467" s="146">
        <v>14.135334204638944</v>
      </c>
      <c r="H467" s="146">
        <v>0</v>
      </c>
      <c r="I467" s="146"/>
      <c r="J467" s="146">
        <v>6.1107736573303054E-2</v>
      </c>
      <c r="K467" s="146">
        <v>1E-8</v>
      </c>
      <c r="L467" s="146">
        <v>69.17823164389273</v>
      </c>
      <c r="M467" s="146">
        <v>41.506938663503888</v>
      </c>
      <c r="N467" s="146">
        <v>0.65495630173960362</v>
      </c>
      <c r="O467" s="146"/>
      <c r="P467" s="146"/>
      <c r="Q467" s="146"/>
      <c r="R467" s="146"/>
      <c r="S467" s="146"/>
      <c r="T467" s="146"/>
      <c r="U467" s="146"/>
      <c r="V467" s="146"/>
      <c r="W467" s="146"/>
      <c r="X467" s="146"/>
      <c r="Y467" s="146"/>
      <c r="Z467" s="146" t="s">
        <v>35</v>
      </c>
      <c r="AA467" s="146"/>
      <c r="AB467" s="146"/>
      <c r="AC467" s="146"/>
      <c r="AD467" s="146"/>
      <c r="AE467" s="146"/>
      <c r="AF467" s="146"/>
      <c r="AG467" s="146"/>
      <c r="AH467" s="146"/>
      <c r="AI467" s="146"/>
      <c r="AJ467" s="146"/>
      <c r="AK467" s="146"/>
      <c r="AL467" s="146">
        <v>657.25736600263053</v>
      </c>
      <c r="AM467" s="146">
        <v>0.26126567629131681</v>
      </c>
      <c r="AN467" s="146">
        <v>0.29222647985874539</v>
      </c>
      <c r="AO467" s="146">
        <v>359.34336176664084</v>
      </c>
      <c r="AP467" s="146">
        <v>329.77921513282894</v>
      </c>
      <c r="AQ467" t="s">
        <v>308</v>
      </c>
      <c r="AR467">
        <v>0</v>
      </c>
      <c r="AS467">
        <v>0</v>
      </c>
      <c r="AT467">
        <v>0</v>
      </c>
      <c r="AU467">
        <v>1</v>
      </c>
      <c r="AV467">
        <v>0.1</v>
      </c>
      <c r="AW467" s="146">
        <v>0.8</v>
      </c>
      <c r="AX467" s="141">
        <v>5.803036715495679E-2</v>
      </c>
      <c r="AY467" s="141">
        <v>1E-8</v>
      </c>
      <c r="AZ467" s="209">
        <v>329.77921513282894</v>
      </c>
      <c r="BA467">
        <v>5.803036715495679E-2</v>
      </c>
      <c r="BB467" s="249">
        <v>39.807505437565439</v>
      </c>
      <c r="BC467" s="243">
        <v>111.70651360787323</v>
      </c>
      <c r="BD467" s="209">
        <v>56631.718968679917</v>
      </c>
      <c r="BE467" s="243">
        <v>51.433128601940375</v>
      </c>
      <c r="BF467">
        <v>610638.93823710049</v>
      </c>
      <c r="BG467" t="s">
        <v>389</v>
      </c>
      <c r="BH467">
        <v>4.6785004063618535E-6</v>
      </c>
      <c r="BI467">
        <v>1766317.1896867992</v>
      </c>
      <c r="BJ467">
        <f t="shared" si="29"/>
        <v>0.34571306999813445</v>
      </c>
    </row>
    <row r="468" spans="1:62" x14ac:dyDescent="0.3">
      <c r="A468">
        <v>-0.1</v>
      </c>
      <c r="B468" s="146">
        <v>1000</v>
      </c>
      <c r="C468" s="146">
        <v>25</v>
      </c>
      <c r="D468" s="146">
        <v>400</v>
      </c>
      <c r="E468" s="252">
        <v>10.475725063341494</v>
      </c>
      <c r="F468" s="146">
        <v>3.175554513292373</v>
      </c>
      <c r="G468" s="146">
        <v>12.412576473490097</v>
      </c>
      <c r="H468" s="146">
        <v>0</v>
      </c>
      <c r="I468" s="146"/>
      <c r="J468" s="146">
        <v>6.0442947029180488E-2</v>
      </c>
      <c r="K468" s="146">
        <v>1E-8</v>
      </c>
      <c r="L468" s="146">
        <v>60.764132974506552</v>
      </c>
      <c r="M468" s="146">
        <v>36.45847950113798</v>
      </c>
      <c r="N468" s="146">
        <v>0.58569398713577825</v>
      </c>
      <c r="O468" s="146"/>
      <c r="P468" s="146"/>
      <c r="Q468" s="146"/>
      <c r="R468" s="146"/>
      <c r="S468" s="146"/>
      <c r="T468" s="146"/>
      <c r="U468" s="146"/>
      <c r="V468" s="146"/>
      <c r="W468" s="146"/>
      <c r="X468" s="146"/>
      <c r="Y468" s="146"/>
      <c r="Z468" s="146" t="s">
        <v>35</v>
      </c>
      <c r="AA468" s="146"/>
      <c r="AB468" s="146"/>
      <c r="AC468" s="146"/>
      <c r="AD468" s="146"/>
      <c r="AE468" s="146"/>
      <c r="AF468" s="146"/>
      <c r="AG468" s="146"/>
      <c r="AH468" s="146"/>
      <c r="AI468" s="146"/>
      <c r="AJ468" s="146"/>
      <c r="AK468" s="146"/>
      <c r="AL468" s="146">
        <v>631.1489819929169</v>
      </c>
      <c r="AM468" s="146">
        <v>0.25583363132339992</v>
      </c>
      <c r="AN468" s="146">
        <v>0.29401127996622761</v>
      </c>
      <c r="AO468" s="146">
        <v>364.36964913541817</v>
      </c>
      <c r="AP468" s="146">
        <v>338.30198842502779</v>
      </c>
      <c r="AQ468" t="s">
        <v>308</v>
      </c>
      <c r="AR468">
        <v>0</v>
      </c>
      <c r="AS468">
        <v>0</v>
      </c>
      <c r="AT468">
        <v>0</v>
      </c>
      <c r="AU468">
        <v>1</v>
      </c>
      <c r="AV468">
        <v>0.1</v>
      </c>
      <c r="AW468" s="146">
        <v>0.6</v>
      </c>
      <c r="AX468" s="141">
        <v>5.7572300054098441E-2</v>
      </c>
      <c r="AY468" s="141">
        <v>1E-8</v>
      </c>
      <c r="AZ468" s="209">
        <v>338.30198842502779</v>
      </c>
      <c r="BA468">
        <v>5.7572300054098441E-2</v>
      </c>
      <c r="BB468" s="249">
        <v>34.49197935026335</v>
      </c>
      <c r="BC468" s="243">
        <v>95.361770300008757</v>
      </c>
      <c r="BD468" s="209">
        <v>46855.608946243374</v>
      </c>
      <c r="BE468" s="243">
        <v>44.267891100957321</v>
      </c>
      <c r="BF468">
        <v>631753.70312744065</v>
      </c>
      <c r="BG468" t="s">
        <v>389</v>
      </c>
      <c r="BH468">
        <v>4.2258850270276866E-6</v>
      </c>
      <c r="BI468">
        <v>1668556.0894624337</v>
      </c>
      <c r="BJ468">
        <f t="shared" si="29"/>
        <v>0.37862299452634857</v>
      </c>
    </row>
    <row r="469" spans="1:62" x14ac:dyDescent="0.3">
      <c r="A469">
        <v>-0.1</v>
      </c>
      <c r="B469" s="146">
        <v>1000</v>
      </c>
      <c r="C469" s="146">
        <v>25</v>
      </c>
      <c r="D469" s="146">
        <v>400</v>
      </c>
      <c r="E469" s="252">
        <v>8.6741947680812395</v>
      </c>
      <c r="F469" s="146">
        <v>2.5504995829979422</v>
      </c>
      <c r="G469" s="146">
        <v>10.228646833358175</v>
      </c>
      <c r="H469" s="146">
        <v>0</v>
      </c>
      <c r="I469" s="146"/>
      <c r="J469" s="146">
        <v>5.9658081567973545E-2</v>
      </c>
      <c r="K469" s="146">
        <v>1E-8</v>
      </c>
      <c r="L469" s="146">
        <v>50.073301741324222</v>
      </c>
      <c r="M469" s="146">
        <v>30.043980811119123</v>
      </c>
      <c r="N469" s="146">
        <v>0.49495714674327618</v>
      </c>
      <c r="O469" s="146"/>
      <c r="P469" s="146"/>
      <c r="Q469" s="146"/>
      <c r="R469" s="146"/>
      <c r="S469" s="146"/>
      <c r="T469" s="146"/>
      <c r="U469" s="146"/>
      <c r="V469" s="146"/>
      <c r="W469" s="146"/>
      <c r="X469" s="146"/>
      <c r="Y469" s="146"/>
      <c r="Z469" s="146" t="s">
        <v>35</v>
      </c>
      <c r="AA469" s="146"/>
      <c r="AB469" s="146"/>
      <c r="AC469" s="146"/>
      <c r="AD469" s="146"/>
      <c r="AE469" s="146"/>
      <c r="AF469" s="146"/>
      <c r="AG469" s="146"/>
      <c r="AH469" s="146"/>
      <c r="AI469" s="146"/>
      <c r="AJ469" s="146"/>
      <c r="AK469" s="146"/>
      <c r="AL469" s="146">
        <v>596.58524108169115</v>
      </c>
      <c r="AM469" s="146">
        <v>0.24934867969828867</v>
      </c>
      <c r="AN469" s="146">
        <v>0.29595835095928613</v>
      </c>
      <c r="AO469" s="146">
        <v>370.69116401018698</v>
      </c>
      <c r="AP469" s="146">
        <v>349.10666771005288</v>
      </c>
      <c r="AQ469" t="s">
        <v>308</v>
      </c>
      <c r="AR469">
        <v>0</v>
      </c>
      <c r="AS469">
        <v>0</v>
      </c>
      <c r="AT469">
        <v>0</v>
      </c>
      <c r="AU469">
        <v>1</v>
      </c>
      <c r="AV469">
        <v>0.1</v>
      </c>
      <c r="AW469" s="146">
        <v>0.4</v>
      </c>
      <c r="AX469" s="141">
        <v>5.7064799857668921E-2</v>
      </c>
      <c r="AY469" s="141">
        <v>1E-8</v>
      </c>
      <c r="AZ469" s="209">
        <v>349.10666771005288</v>
      </c>
      <c r="BA469">
        <v>5.7064799857668921E-2</v>
      </c>
      <c r="BB469" s="249">
        <v>27.966670089274899</v>
      </c>
      <c r="BC469" s="243">
        <v>76.041110318112104</v>
      </c>
      <c r="BD469" s="209">
        <v>35764.680822928538</v>
      </c>
      <c r="BE469" s="243">
        <v>35.639799193073301</v>
      </c>
      <c r="BF469">
        <v>646328.78964889003</v>
      </c>
      <c r="BG469" t="s">
        <v>389</v>
      </c>
      <c r="BH469">
        <v>3.5988508921358236E-6</v>
      </c>
      <c r="BI469">
        <v>1557646.8082292853</v>
      </c>
      <c r="BJ469">
        <f t="shared" si="29"/>
        <v>0.41493924440010188</v>
      </c>
    </row>
    <row r="470" spans="1:62" x14ac:dyDescent="0.3">
      <c r="A470">
        <v>-0.1</v>
      </c>
      <c r="B470" s="146">
        <v>1000</v>
      </c>
      <c r="C470" s="146">
        <v>25</v>
      </c>
      <c r="D470" s="146">
        <v>400</v>
      </c>
      <c r="E470" s="252">
        <v>7.5341414533110305</v>
      </c>
      <c r="F470" s="146">
        <v>2.1749145641133789</v>
      </c>
      <c r="G470" s="146">
        <v>8.8592787483228967</v>
      </c>
      <c r="H470" s="146">
        <v>0</v>
      </c>
      <c r="I470" s="146"/>
      <c r="J470" s="146">
        <v>5.9127626868842834E-2</v>
      </c>
      <c r="K470" s="146">
        <v>1E-8</v>
      </c>
      <c r="L470" s="146">
        <v>43.370660439768614</v>
      </c>
      <c r="M470" s="146">
        <v>26.022396061464754</v>
      </c>
      <c r="N470" s="146">
        <v>0.43676556978717651</v>
      </c>
      <c r="O470" s="146"/>
      <c r="P470" s="146"/>
      <c r="Q470" s="146"/>
      <c r="R470" s="146"/>
      <c r="S470" s="146"/>
      <c r="T470" s="146"/>
      <c r="U470" s="146"/>
      <c r="V470" s="146"/>
      <c r="W470" s="146"/>
      <c r="X470" s="146"/>
      <c r="Y470" s="146"/>
      <c r="Z470" s="146" t="s">
        <v>35</v>
      </c>
      <c r="AA470" s="146"/>
      <c r="AB470" s="146"/>
      <c r="AC470" s="146"/>
      <c r="AD470" s="146"/>
      <c r="AE470" s="146"/>
      <c r="AF470" s="146"/>
      <c r="AG470" s="146"/>
      <c r="AH470" s="146"/>
      <c r="AI470" s="146"/>
      <c r="AJ470" s="146"/>
      <c r="AK470" s="146"/>
      <c r="AL470" s="146">
        <v>574.27589641676502</v>
      </c>
      <c r="AM470" s="146">
        <v>0.24549566910569334</v>
      </c>
      <c r="AN470" s="146">
        <v>0.29709646314015076</v>
      </c>
      <c r="AO470" s="146">
        <v>374.64075683136991</v>
      </c>
      <c r="AP470" s="146">
        <v>355.89311152317686</v>
      </c>
      <c r="AQ470" t="s">
        <v>308</v>
      </c>
      <c r="AR470">
        <v>0</v>
      </c>
      <c r="AS470">
        <v>0</v>
      </c>
      <c r="AT470">
        <v>0</v>
      </c>
      <c r="AU470">
        <v>1</v>
      </c>
      <c r="AV470">
        <v>0.1</v>
      </c>
      <c r="AW470" s="146">
        <v>0.3</v>
      </c>
      <c r="AX470" s="141">
        <v>5.672874434091224E-2</v>
      </c>
      <c r="AY470" s="141">
        <v>1E-8</v>
      </c>
      <c r="AZ470" s="209">
        <v>355.89311152317686</v>
      </c>
      <c r="BA470">
        <v>5.672874434091224E-2</v>
      </c>
      <c r="BB470" s="249">
        <v>23.987572910950977</v>
      </c>
      <c r="BC470" s="243">
        <v>64.625859998264133</v>
      </c>
      <c r="BD470" s="209">
        <v>29492.470074369492</v>
      </c>
      <c r="BE470" s="243">
        <v>30.4461451838065</v>
      </c>
      <c r="BF470">
        <v>647508.09961275011</v>
      </c>
      <c r="BG470" t="s">
        <v>389</v>
      </c>
      <c r="BH470">
        <v>3.1755882591145307E-6</v>
      </c>
      <c r="BI470">
        <v>1494924.7007436948</v>
      </c>
      <c r="BJ470">
        <f t="shared" si="29"/>
        <v>0.43313760170704779</v>
      </c>
    </row>
    <row r="471" spans="1:62" x14ac:dyDescent="0.3">
      <c r="A471">
        <v>-0.1</v>
      </c>
      <c r="B471" s="146">
        <v>1000</v>
      </c>
      <c r="C471" s="146">
        <v>25</v>
      </c>
      <c r="D471" s="146">
        <v>400</v>
      </c>
      <c r="E471" s="252">
        <v>6.1295431846428983</v>
      </c>
      <c r="F471" s="146">
        <v>1.731470277960641</v>
      </c>
      <c r="G471" s="146">
        <v>7.1842151246151769</v>
      </c>
      <c r="H471" s="146">
        <v>0</v>
      </c>
      <c r="I471" s="146"/>
      <c r="J471" s="146">
        <v>5.8599560000721133E-2</v>
      </c>
      <c r="K471" s="146">
        <v>1E-8</v>
      </c>
      <c r="L471" s="146">
        <v>35.156672284262754</v>
      </c>
      <c r="M471" s="146">
        <v>21.094003206493181</v>
      </c>
      <c r="N471" s="146">
        <v>0.36242957170399637</v>
      </c>
      <c r="O471" s="146"/>
      <c r="P471" s="146"/>
      <c r="Q471" s="146"/>
      <c r="R471" s="146"/>
      <c r="S471" s="146"/>
      <c r="T471" s="146"/>
      <c r="U471" s="146"/>
      <c r="V471" s="146"/>
      <c r="W471" s="146"/>
      <c r="X471" s="146"/>
      <c r="Y471" s="146"/>
      <c r="Z471" s="146" t="s">
        <v>35</v>
      </c>
      <c r="AA471" s="146"/>
      <c r="AB471" s="146"/>
      <c r="AC471" s="146"/>
      <c r="AD471" s="146"/>
      <c r="AE471" s="146"/>
      <c r="AF471" s="146"/>
      <c r="AG471" s="146"/>
      <c r="AH471" s="146"/>
      <c r="AI471" s="146"/>
      <c r="AJ471" s="146"/>
      <c r="AK471" s="146"/>
      <c r="AL471" s="146">
        <v>545.41018021090997</v>
      </c>
      <c r="AM471" s="146">
        <v>0.24101036062076264</v>
      </c>
      <c r="AN471" s="146">
        <v>0.29824434987575571</v>
      </c>
      <c r="AO471" s="146">
        <v>379.44791515012309</v>
      </c>
      <c r="AP471" s="146">
        <v>364.19539435891193</v>
      </c>
      <c r="AQ471" t="s">
        <v>308</v>
      </c>
      <c r="AR471">
        <v>0</v>
      </c>
      <c r="AS471">
        <v>0</v>
      </c>
      <c r="AT471">
        <v>0</v>
      </c>
      <c r="AU471">
        <v>1</v>
      </c>
      <c r="AV471">
        <v>0.1</v>
      </c>
      <c r="AW471" s="146">
        <v>0.2</v>
      </c>
      <c r="AX471" s="141">
        <v>5.6461855334888046E-2</v>
      </c>
      <c r="AY471" s="141">
        <v>1E-8</v>
      </c>
      <c r="AZ471" s="209">
        <v>364.19539435891193</v>
      </c>
      <c r="BA471">
        <v>5.6461855334888046E-2</v>
      </c>
      <c r="BB471" s="249">
        <v>19.230165221403553</v>
      </c>
      <c r="BC471" s="243">
        <v>51.262673994365848</v>
      </c>
      <c r="BD471" s="209">
        <v>22487.032673774062</v>
      </c>
      <c r="BE471" s="243">
        <v>24.31204640241755</v>
      </c>
      <c r="BF471">
        <v>640520.73807838338</v>
      </c>
      <c r="BG471" t="s">
        <v>389</v>
      </c>
      <c r="BH471">
        <v>2.6230167188178823E-6</v>
      </c>
      <c r="BI471">
        <v>1424870.3267377405</v>
      </c>
      <c r="BJ471">
        <f t="shared" si="29"/>
        <v>0.44952914385189285</v>
      </c>
    </row>
    <row r="472" spans="1:62" s="140" customFormat="1" x14ac:dyDescent="0.3">
      <c r="A472" s="140">
        <v>-0.1</v>
      </c>
      <c r="B472" s="140">
        <v>1000</v>
      </c>
      <c r="C472" s="140">
        <v>25</v>
      </c>
      <c r="D472" s="140">
        <v>400</v>
      </c>
      <c r="E472" s="253">
        <v>4.2133701448686143</v>
      </c>
      <c r="F472" s="140">
        <v>1.1573580724301393</v>
      </c>
      <c r="G472" s="140">
        <v>4.9182282687911041</v>
      </c>
      <c r="H472" s="140">
        <v>0</v>
      </c>
      <c r="J472" s="140">
        <v>5.778059971063948E-2</v>
      </c>
      <c r="K472" s="140">
        <v>1E-8</v>
      </c>
      <c r="L472" s="140">
        <v>24.060404275700243</v>
      </c>
      <c r="M472" s="140">
        <v>14.436242453138261</v>
      </c>
      <c r="N472" s="140">
        <v>0.25783665075073359</v>
      </c>
      <c r="Z472" s="140" t="s">
        <v>35</v>
      </c>
      <c r="AL472" s="140">
        <v>504.37697633871409</v>
      </c>
      <c r="AM472" s="140">
        <v>0.2353201212262189</v>
      </c>
      <c r="AN472" s="140">
        <v>0.29973509194960313</v>
      </c>
      <c r="AO472" s="140">
        <v>385.94302016002501</v>
      </c>
      <c r="AP472" s="140">
        <v>375.45865096334745</v>
      </c>
      <c r="AQ472" s="140" t="s">
        <v>308</v>
      </c>
      <c r="AR472" s="140">
        <v>0</v>
      </c>
      <c r="AS472" s="140">
        <v>0</v>
      </c>
      <c r="AT472" s="140">
        <v>0</v>
      </c>
      <c r="AU472" s="140">
        <v>1</v>
      </c>
      <c r="AV472">
        <v>0.1</v>
      </c>
      <c r="AW472" s="140">
        <v>0.1</v>
      </c>
      <c r="AX472" s="141">
        <v>5.6081777769094343E-2</v>
      </c>
      <c r="AY472" s="205">
        <v>1E-8</v>
      </c>
      <c r="AZ472" s="209">
        <v>375.45865096334745</v>
      </c>
      <c r="BA472" s="140">
        <v>5.6081777769094343E-2</v>
      </c>
      <c r="BB472" s="253">
        <v>12.971917077069547</v>
      </c>
      <c r="BC472" s="245">
        <v>34.15200660906207</v>
      </c>
      <c r="BD472" s="210">
        <v>14111.629638764241</v>
      </c>
      <c r="BE472" s="245">
        <v>16.319628473906125</v>
      </c>
      <c r="BF472" s="140">
        <v>605894.88390483276</v>
      </c>
      <c r="BG472" t="s">
        <v>389</v>
      </c>
      <c r="BH472" s="140">
        <v>1.8187964192665351E-6</v>
      </c>
      <c r="BI472" s="140">
        <v>1341116.2963876424</v>
      </c>
      <c r="BJ472">
        <f t="shared" si="29"/>
        <v>0.45178399929733026</v>
      </c>
    </row>
    <row r="473" spans="1:62" x14ac:dyDescent="0.3">
      <c r="A473">
        <v>-0.1</v>
      </c>
      <c r="B473" s="146">
        <v>1000</v>
      </c>
      <c r="C473" s="146">
        <v>25</v>
      </c>
      <c r="D473" s="146">
        <v>400</v>
      </c>
      <c r="E473" s="252">
        <v>18.016178305379242</v>
      </c>
      <c r="F473" s="146">
        <v>6.3569454893125572</v>
      </c>
      <c r="G473" s="146">
        <v>21.928593248850287</v>
      </c>
      <c r="H473" s="146">
        <v>0</v>
      </c>
      <c r="I473" s="146"/>
      <c r="J473" s="146">
        <v>6.4209306791848553E-2</v>
      </c>
      <c r="K473" s="146">
        <v>1E-8</v>
      </c>
      <c r="L473" s="146">
        <v>106.92924987597814</v>
      </c>
      <c r="M473" s="146">
        <v>64.157549426583714</v>
      </c>
      <c r="N473" s="146">
        <v>0.95693116041386928</v>
      </c>
      <c r="O473" s="146"/>
      <c r="P473" s="146"/>
      <c r="Q473" s="146"/>
      <c r="R473" s="146"/>
      <c r="S473" s="146"/>
      <c r="T473" s="146"/>
      <c r="U473" s="146"/>
      <c r="V473" s="146"/>
      <c r="W473" s="146"/>
      <c r="X473" s="146"/>
      <c r="Y473" s="146"/>
      <c r="Z473" s="146" t="s">
        <v>35</v>
      </c>
      <c r="AA473" s="146"/>
      <c r="AB473" s="146"/>
      <c r="AC473" s="146"/>
      <c r="AD473" s="146"/>
      <c r="AE473" s="146"/>
      <c r="AF473" s="146"/>
      <c r="AG473" s="146"/>
      <c r="AH473" s="146"/>
      <c r="AI473" s="146"/>
      <c r="AJ473" s="146"/>
      <c r="AK473" s="146"/>
      <c r="AL473" s="146">
        <v>769.50529013526898</v>
      </c>
      <c r="AM473" s="146">
        <v>0.28989299118154105</v>
      </c>
      <c r="AN473" s="146">
        <v>0.28093392731971367</v>
      </c>
      <c r="AO473" s="146">
        <v>335.87040740410066</v>
      </c>
      <c r="AP473" s="146">
        <v>291.03970992833445</v>
      </c>
      <c r="AQ473" t="s">
        <v>308</v>
      </c>
      <c r="AR473">
        <v>0</v>
      </c>
      <c r="AS473">
        <v>0</v>
      </c>
      <c r="AT473">
        <v>0</v>
      </c>
      <c r="AU473">
        <v>1</v>
      </c>
      <c r="AV473">
        <v>0.1</v>
      </c>
      <c r="AW473" s="146">
        <v>3</v>
      </c>
      <c r="AX473" s="141">
        <v>6.0179958338908768E-2</v>
      </c>
      <c r="AY473" s="141">
        <v>1E-8</v>
      </c>
      <c r="AZ473" s="209">
        <v>291.03970992833445</v>
      </c>
      <c r="BA473">
        <v>6.0179958338908768E-2</v>
      </c>
      <c r="BB473" s="249">
        <v>66.070097678842842</v>
      </c>
      <c r="BC473" s="243">
        <v>204.19346998988405</v>
      </c>
      <c r="BD473" s="209">
        <v>115583.69772087588</v>
      </c>
      <c r="BE473" s="243">
        <v>89.383409536022</v>
      </c>
      <c r="BF473">
        <v>351203.49881716497</v>
      </c>
      <c r="BG473" t="s">
        <v>390</v>
      </c>
      <c r="BH473">
        <v>6.3947604025014963E-6</v>
      </c>
      <c r="BI473">
        <v>2355836.9772087587</v>
      </c>
      <c r="BJ473">
        <f t="shared" si="29"/>
        <v>0.14907801440203119</v>
      </c>
    </row>
    <row r="474" spans="1:62" x14ac:dyDescent="0.3">
      <c r="A474">
        <v>-0.2</v>
      </c>
      <c r="B474" s="146">
        <v>1000</v>
      </c>
      <c r="C474" s="146">
        <v>25</v>
      </c>
      <c r="D474" s="146">
        <v>400</v>
      </c>
      <c r="E474" s="252">
        <v>17.87194884130896</v>
      </c>
      <c r="F474" s="146">
        <v>6.4733965023327711</v>
      </c>
      <c r="G474" s="146">
        <v>21.846075756865147</v>
      </c>
      <c r="H474" s="146">
        <v>0</v>
      </c>
      <c r="I474" s="146"/>
      <c r="J474" s="146">
        <v>6.5207559360111134E-2</v>
      </c>
      <c r="K474" s="146">
        <v>1E-8</v>
      </c>
      <c r="L474" s="146">
        <v>107.09226913302133</v>
      </c>
      <c r="M474" s="146">
        <v>64.255360980048877</v>
      </c>
      <c r="N474" s="146">
        <v>0.96186355909812749</v>
      </c>
      <c r="O474" s="146"/>
      <c r="P474" s="146"/>
      <c r="Q474" s="146"/>
      <c r="R474" s="146"/>
      <c r="S474" s="146"/>
      <c r="T474" s="146"/>
      <c r="U474" s="146"/>
      <c r="V474" s="146"/>
      <c r="W474" s="146"/>
      <c r="X474" s="146"/>
      <c r="Y474" s="146"/>
      <c r="Z474" s="146" t="s">
        <v>35</v>
      </c>
      <c r="AA474" s="146"/>
      <c r="AB474" s="146"/>
      <c r="AC474" s="146"/>
      <c r="AD474" s="146"/>
      <c r="AE474" s="146"/>
      <c r="AF474" s="146"/>
      <c r="AG474" s="146"/>
      <c r="AH474" s="146"/>
      <c r="AI474" s="146"/>
      <c r="AJ474" s="146"/>
      <c r="AK474" s="146"/>
      <c r="AL474" s="146">
        <v>764.93726476357506</v>
      </c>
      <c r="AM474" s="146">
        <v>0.29631850472268462</v>
      </c>
      <c r="AN474" s="146">
        <v>0.24987854184756683</v>
      </c>
      <c r="AO474" s="146">
        <v>328.47745665087416</v>
      </c>
      <c r="AP474" s="146">
        <v>284.00548521451111</v>
      </c>
      <c r="AQ474" t="s">
        <v>308</v>
      </c>
      <c r="AR474">
        <v>0</v>
      </c>
      <c r="AS474">
        <v>0</v>
      </c>
      <c r="AT474">
        <v>0</v>
      </c>
      <c r="AU474">
        <v>1</v>
      </c>
      <c r="AV474">
        <v>0.1</v>
      </c>
      <c r="AW474" s="146">
        <v>3</v>
      </c>
      <c r="AX474" s="141">
        <v>6.1090637863706131E-2</v>
      </c>
      <c r="AY474" s="141">
        <v>1E-8</v>
      </c>
      <c r="AZ474" s="209">
        <v>284.00548521451111</v>
      </c>
      <c r="BA474">
        <v>6.1090637863706131E-2</v>
      </c>
      <c r="BB474" s="249">
        <v>66.792175262229563</v>
      </c>
      <c r="BC474" s="243">
        <v>204.69136422756407</v>
      </c>
      <c r="BD474" s="209">
        <v>116391.9315249332</v>
      </c>
      <c r="BE474" s="243">
        <v>90.28010152835688</v>
      </c>
      <c r="BF474">
        <v>349333.76068116538</v>
      </c>
      <c r="BG474" t="s">
        <v>390</v>
      </c>
      <c r="BH474">
        <v>6.3268244148528453E-6</v>
      </c>
      <c r="BI474">
        <v>2363919.3152493322</v>
      </c>
      <c r="BJ474">
        <f t="shared" si="29"/>
        <v>0.14777736212385054</v>
      </c>
    </row>
    <row r="475" spans="1:62" x14ac:dyDescent="0.3">
      <c r="A475">
        <v>-0.3</v>
      </c>
      <c r="B475" s="146">
        <v>1000</v>
      </c>
      <c r="C475" s="146">
        <v>25</v>
      </c>
      <c r="D475" s="146">
        <v>400</v>
      </c>
      <c r="E475" s="252">
        <v>17.67844715062601</v>
      </c>
      <c r="F475" s="146">
        <v>6.6216517737190479</v>
      </c>
      <c r="G475" s="146">
        <v>21.730900631787808</v>
      </c>
      <c r="H475" s="146">
        <v>0</v>
      </c>
      <c r="I475" s="146"/>
      <c r="J475" s="146">
        <v>6.6392150821140708E-2</v>
      </c>
      <c r="K475" s="146">
        <v>1E-8</v>
      </c>
      <c r="L475" s="146">
        <v>107.28876973369782</v>
      </c>
      <c r="M475" s="146">
        <v>64.373261339537763</v>
      </c>
      <c r="N475" s="146">
        <v>0.96966877665029605</v>
      </c>
      <c r="O475" s="146"/>
      <c r="P475" s="146"/>
      <c r="Q475" s="146"/>
      <c r="R475" s="146"/>
      <c r="S475" s="146"/>
      <c r="T475" s="146"/>
      <c r="U475" s="146"/>
      <c r="V475" s="146"/>
      <c r="W475" s="146"/>
      <c r="X475" s="146"/>
      <c r="Y475" s="146"/>
      <c r="Z475" s="146" t="s">
        <v>35</v>
      </c>
      <c r="AA475" s="146"/>
      <c r="AB475" s="146"/>
      <c r="AC475" s="146"/>
      <c r="AD475" s="146"/>
      <c r="AE475" s="146"/>
      <c r="AF475" s="146"/>
      <c r="AG475" s="146"/>
      <c r="AH475" s="146"/>
      <c r="AI475" s="146"/>
      <c r="AJ475" s="146"/>
      <c r="AK475" s="146"/>
      <c r="AL475" s="146">
        <v>760.08975041442454</v>
      </c>
      <c r="AM475" s="146">
        <v>0.30471133644746146</v>
      </c>
      <c r="AN475" s="146">
        <v>0.21891636995999228</v>
      </c>
      <c r="AO475" s="146">
        <v>319.24565918091548</v>
      </c>
      <c r="AP475" s="146">
        <v>275.25536208927656</v>
      </c>
      <c r="AQ475" t="s">
        <v>308</v>
      </c>
      <c r="AR475">
        <v>0</v>
      </c>
      <c r="AS475">
        <v>0</v>
      </c>
      <c r="AT475">
        <v>0</v>
      </c>
      <c r="AU475">
        <v>1</v>
      </c>
      <c r="AV475">
        <v>0.1</v>
      </c>
      <c r="AW475" s="146">
        <v>3</v>
      </c>
      <c r="AX475" s="141">
        <v>6.2174624493206508E-2</v>
      </c>
      <c r="AY475" s="141">
        <v>1E-8</v>
      </c>
      <c r="AZ475" s="209">
        <v>275.25536208927656</v>
      </c>
      <c r="BA475">
        <v>6.2174624493206508E-2</v>
      </c>
      <c r="BB475" s="249">
        <v>67.70137325635298</v>
      </c>
      <c r="BC475" s="243">
        <v>205.29306111752663</v>
      </c>
      <c r="BD475" s="209">
        <v>117365.64169694931</v>
      </c>
      <c r="BE475" s="243">
        <v>91.357976603383648</v>
      </c>
      <c r="BF475">
        <v>346568.20936960034</v>
      </c>
      <c r="BG475" t="s">
        <v>390</v>
      </c>
      <c r="BH475">
        <v>6.2394370780919818E-6</v>
      </c>
      <c r="BI475">
        <v>2373656.416969493</v>
      </c>
      <c r="BJ475">
        <f t="shared" si="29"/>
        <v>0.146006055001032</v>
      </c>
    </row>
    <row r="476" spans="1:62" x14ac:dyDescent="0.3">
      <c r="A476">
        <v>-0.4</v>
      </c>
      <c r="B476" s="146">
        <v>1000</v>
      </c>
      <c r="C476" s="146">
        <v>25</v>
      </c>
      <c r="D476" s="146">
        <v>400</v>
      </c>
      <c r="E476" s="252">
        <v>17.427634613913092</v>
      </c>
      <c r="F476" s="146">
        <v>6.8315357542343014</v>
      </c>
      <c r="G476" s="146">
        <v>21.59153639449908</v>
      </c>
      <c r="H476" s="146">
        <v>0</v>
      </c>
      <c r="I476" s="146"/>
      <c r="J476" s="146">
        <v>6.8202502491924805E-2</v>
      </c>
      <c r="K476" s="146">
        <v>1E-8</v>
      </c>
      <c r="L476" s="146">
        <v>107.59362422019336</v>
      </c>
      <c r="M476" s="146">
        <v>64.556174030012443</v>
      </c>
      <c r="N476" s="146">
        <v>0.97618219142951235</v>
      </c>
      <c r="O476" s="146"/>
      <c r="P476" s="146"/>
      <c r="Q476" s="146"/>
      <c r="R476" s="146"/>
      <c r="S476" s="146"/>
      <c r="T476" s="146"/>
      <c r="U476" s="146"/>
      <c r="V476" s="146"/>
      <c r="W476" s="146"/>
      <c r="X476" s="146"/>
      <c r="Y476" s="146"/>
      <c r="Z476" s="146" t="s">
        <v>35</v>
      </c>
      <c r="AA476" s="146"/>
      <c r="AB476" s="146"/>
      <c r="AC476" s="146"/>
      <c r="AD476" s="146"/>
      <c r="AE476" s="146"/>
      <c r="AF476" s="146"/>
      <c r="AG476" s="146"/>
      <c r="AH476" s="146"/>
      <c r="AI476" s="146"/>
      <c r="AJ476" s="146"/>
      <c r="AK476" s="146"/>
      <c r="AL476" s="146">
        <v>751.91696192774259</v>
      </c>
      <c r="AM476" s="146">
        <v>0.31639877910563075</v>
      </c>
      <c r="AN476" s="146">
        <v>0.18778171201432969</v>
      </c>
      <c r="AO476" s="146">
        <v>307.19205599433889</v>
      </c>
      <c r="AP476" s="146">
        <v>263.82586621298623</v>
      </c>
      <c r="AQ476" t="s">
        <v>308</v>
      </c>
      <c r="AR476">
        <v>0</v>
      </c>
      <c r="AS476">
        <v>0</v>
      </c>
      <c r="AT476">
        <v>0</v>
      </c>
      <c r="AU476">
        <v>1</v>
      </c>
      <c r="AV476">
        <v>0.1</v>
      </c>
      <c r="AW476" s="146">
        <v>3</v>
      </c>
      <c r="AX476" s="141">
        <v>6.3827428282644344E-2</v>
      </c>
      <c r="AY476" s="141">
        <v>1E-8</v>
      </c>
      <c r="AZ476" s="209">
        <v>263.82586621298623</v>
      </c>
      <c r="BA476">
        <v>6.3827428282644344E-2</v>
      </c>
      <c r="BB476" s="249">
        <v>69.010970379818616</v>
      </c>
      <c r="BC476" s="243">
        <v>206.22990580781996</v>
      </c>
      <c r="BD476" s="209">
        <v>118875.03351363573</v>
      </c>
      <c r="BE476" s="243">
        <v>93.023655579714486</v>
      </c>
      <c r="BF476">
        <v>343357.51012544625</v>
      </c>
      <c r="BG476" t="s">
        <v>390</v>
      </c>
      <c r="BH476">
        <v>6.1201755154483079E-6</v>
      </c>
      <c r="BI476">
        <v>2388750.3351363572</v>
      </c>
      <c r="BJ476">
        <f t="shared" si="29"/>
        <v>0.14373938752617541</v>
      </c>
    </row>
    <row r="477" spans="1:62" x14ac:dyDescent="0.3">
      <c r="A477">
        <v>-0.5</v>
      </c>
      <c r="B477" s="146">
        <v>1000</v>
      </c>
      <c r="C477" s="146">
        <v>25</v>
      </c>
      <c r="D477" s="146">
        <v>400</v>
      </c>
      <c r="E477" s="252">
        <v>17.063204295755011</v>
      </c>
      <c r="F477" s="146">
        <v>7.1279858721107896</v>
      </c>
      <c r="G477" s="146">
        <v>21.3842755521725</v>
      </c>
      <c r="H477" s="146">
        <v>0</v>
      </c>
      <c r="I477" s="146"/>
      <c r="J477" s="146">
        <v>7.063041743760716E-2</v>
      </c>
      <c r="K477" s="146">
        <v>1E-8</v>
      </c>
      <c r="L477" s="146">
        <v>108.01311164881687</v>
      </c>
      <c r="M477" s="146">
        <v>64.807866485228942</v>
      </c>
      <c r="N477" s="146">
        <v>0.98637244219843812</v>
      </c>
      <c r="O477" s="146"/>
      <c r="P477" s="146"/>
      <c r="Q477" s="146"/>
      <c r="R477" s="146"/>
      <c r="S477" s="146"/>
      <c r="T477" s="146"/>
      <c r="U477" s="146"/>
      <c r="V477" s="146"/>
      <c r="W477" s="146"/>
      <c r="X477" s="146"/>
      <c r="Y477" s="146"/>
      <c r="Z477" s="146" t="s">
        <v>35</v>
      </c>
      <c r="AA477" s="146"/>
      <c r="AB477" s="146"/>
      <c r="AC477" s="146"/>
      <c r="AD477" s="146"/>
      <c r="AE477" s="146"/>
      <c r="AF477" s="146"/>
      <c r="AG477" s="146"/>
      <c r="AH477" s="146"/>
      <c r="AI477" s="146"/>
      <c r="AJ477" s="146"/>
      <c r="AK477" s="146"/>
      <c r="AL477" s="146">
        <v>741.84781004259639</v>
      </c>
      <c r="AM477" s="146">
        <v>0.33332837742013821</v>
      </c>
      <c r="AN477" s="146">
        <v>0.15671723393425138</v>
      </c>
      <c r="AO477" s="146">
        <v>291.12107285588229</v>
      </c>
      <c r="AP477" s="146">
        <v>248.66158894337732</v>
      </c>
      <c r="AQ477" t="s">
        <v>308</v>
      </c>
      <c r="AR477">
        <v>0</v>
      </c>
      <c r="AS477">
        <v>0</v>
      </c>
      <c r="AT477">
        <v>0</v>
      </c>
      <c r="AU477">
        <v>1</v>
      </c>
      <c r="AV477">
        <v>0.1</v>
      </c>
      <c r="AW477" s="146">
        <v>3</v>
      </c>
      <c r="AX477" s="141">
        <v>6.6050563095246845E-2</v>
      </c>
      <c r="AY477" s="141">
        <v>1E-8</v>
      </c>
      <c r="AZ477" s="209">
        <v>248.66158894337732</v>
      </c>
      <c r="BA477">
        <v>6.6050563095246845E-2</v>
      </c>
      <c r="BB477" s="249">
        <v>70.849521491324666</v>
      </c>
      <c r="BC477" s="243">
        <v>207.52577086790669</v>
      </c>
      <c r="BD477" s="209">
        <v>120951.4313405249</v>
      </c>
      <c r="BE477" s="243">
        <v>95.305557276931552</v>
      </c>
      <c r="BF477">
        <v>338302.78841850278</v>
      </c>
      <c r="BG477" t="s">
        <v>390</v>
      </c>
      <c r="BH477">
        <v>5.952276164938156E-6</v>
      </c>
      <c r="BI477">
        <v>2409514.3134052493</v>
      </c>
      <c r="BJ477">
        <f t="shared" si="29"/>
        <v>0.14040289635814443</v>
      </c>
    </row>
    <row r="478" spans="1:62" x14ac:dyDescent="0.3">
      <c r="A478">
        <v>-0.6</v>
      </c>
      <c r="B478" s="146">
        <v>1000</v>
      </c>
      <c r="C478" s="146">
        <v>25</v>
      </c>
      <c r="D478" s="146">
        <v>400</v>
      </c>
      <c r="E478" s="252">
        <v>16.496322267857813</v>
      </c>
      <c r="F478" s="146">
        <v>7.5749766407810908</v>
      </c>
      <c r="G478" s="146">
        <v>21.053945678865905</v>
      </c>
      <c r="H478" s="146">
        <v>0</v>
      </c>
      <c r="I478" s="146"/>
      <c r="J478" s="146">
        <v>7.4056777582680755E-2</v>
      </c>
      <c r="K478" s="146">
        <v>1E-8</v>
      </c>
      <c r="L478" s="146">
        <v>108.62561774346418</v>
      </c>
      <c r="M478" s="146">
        <v>65.175370139158957</v>
      </c>
      <c r="N478" s="146">
        <v>1.0028762884031641</v>
      </c>
      <c r="O478" s="146"/>
      <c r="P478" s="146"/>
      <c r="Q478" s="146"/>
      <c r="R478" s="146"/>
      <c r="S478" s="146"/>
      <c r="T478" s="146"/>
      <c r="U478" s="146"/>
      <c r="V478" s="146"/>
      <c r="W478" s="146"/>
      <c r="X478" s="146"/>
      <c r="Y478" s="146"/>
      <c r="Z478" s="146" t="s">
        <v>35</v>
      </c>
      <c r="AA478" s="146"/>
      <c r="AB478" s="146"/>
      <c r="AC478" s="146"/>
      <c r="AD478" s="146"/>
      <c r="AE478" s="146"/>
      <c r="AF478" s="146"/>
      <c r="AG478" s="146"/>
      <c r="AH478" s="146"/>
      <c r="AI478" s="146"/>
      <c r="AJ478" s="146"/>
      <c r="AK478" s="146"/>
      <c r="AL478" s="146">
        <v>729.197920463081</v>
      </c>
      <c r="AM478" s="146">
        <v>0.35978893250327443</v>
      </c>
      <c r="AN478" s="146">
        <v>0.1257423160699081</v>
      </c>
      <c r="AO478" s="146">
        <v>268.80850628927124</v>
      </c>
      <c r="AP478" s="146">
        <v>227.75977626149904</v>
      </c>
      <c r="AQ478" t="s">
        <v>308</v>
      </c>
      <c r="AR478">
        <v>0</v>
      </c>
      <c r="AS478">
        <v>0</v>
      </c>
      <c r="AT478">
        <v>0</v>
      </c>
      <c r="AU478">
        <v>1</v>
      </c>
      <c r="AV478">
        <v>0.1</v>
      </c>
      <c r="AW478" s="146">
        <v>3</v>
      </c>
      <c r="AX478" s="141">
        <v>6.9203972226902416E-2</v>
      </c>
      <c r="AY478" s="141">
        <v>1E-8</v>
      </c>
      <c r="AZ478" s="209">
        <v>227.75977626149904</v>
      </c>
      <c r="BA478">
        <v>6.9203972226902416E-2</v>
      </c>
      <c r="BB478" s="249">
        <v>73.602094429117912</v>
      </c>
      <c r="BC478" s="243">
        <v>209.43211497398647</v>
      </c>
      <c r="BD478" s="209">
        <v>123985.60228225439</v>
      </c>
      <c r="BE478" s="243">
        <v>98.621921273032683</v>
      </c>
      <c r="BF478">
        <v>329733.54873276013</v>
      </c>
      <c r="BG478" t="s">
        <v>390</v>
      </c>
      <c r="BH478">
        <v>5.7006745185732266E-6</v>
      </c>
      <c r="BI478">
        <v>2439856.022822544</v>
      </c>
      <c r="BJ478">
        <f t="shared" si="29"/>
        <v>0.13514467478753453</v>
      </c>
    </row>
    <row r="479" spans="1:62" x14ac:dyDescent="0.3">
      <c r="A479">
        <v>-0.7</v>
      </c>
      <c r="B479" s="146">
        <v>1000</v>
      </c>
      <c r="C479" s="146">
        <v>25</v>
      </c>
      <c r="D479" s="146">
        <v>400</v>
      </c>
      <c r="E479" s="252">
        <v>15.544703704115282</v>
      </c>
      <c r="F479" s="146">
        <v>8.3476002246602956</v>
      </c>
      <c r="G479" s="146">
        <v>20.511903224282506</v>
      </c>
      <c r="H479" s="146">
        <v>0</v>
      </c>
      <c r="I479" s="146"/>
      <c r="J479" s="146">
        <v>7.9898335271892204E-2</v>
      </c>
      <c r="K479" s="146">
        <v>1E-8</v>
      </c>
      <c r="L479" s="146">
        <v>109.7143078940672</v>
      </c>
      <c r="M479" s="146">
        <v>65.828584224440206</v>
      </c>
      <c r="N479" s="146">
        <v>1.0218205532164508</v>
      </c>
      <c r="O479" s="146"/>
      <c r="P479" s="146"/>
      <c r="Q479" s="146"/>
      <c r="R479" s="146"/>
      <c r="S479" s="146"/>
      <c r="T479" s="146"/>
      <c r="U479" s="146"/>
      <c r="V479" s="146"/>
      <c r="W479" s="146"/>
      <c r="X479" s="146"/>
      <c r="Y479" s="146"/>
      <c r="Z479" s="146" t="s">
        <v>35</v>
      </c>
      <c r="AA479" s="146"/>
      <c r="AB479" s="146"/>
      <c r="AC479" s="146"/>
      <c r="AD479" s="146"/>
      <c r="AE479" s="146"/>
      <c r="AF479" s="146"/>
      <c r="AG479" s="146"/>
      <c r="AH479" s="146"/>
      <c r="AI479" s="146"/>
      <c r="AJ479" s="146"/>
      <c r="AK479" s="146"/>
      <c r="AL479" s="146">
        <v>708.00907501202528</v>
      </c>
      <c r="AM479" s="146">
        <v>0.40696370948056138</v>
      </c>
      <c r="AN479" s="146">
        <v>9.4657549191101018E-2</v>
      </c>
      <c r="AO479" s="146">
        <v>235.77956711373764</v>
      </c>
      <c r="AP479" s="146">
        <v>197.09879840379935</v>
      </c>
      <c r="AQ479" t="s">
        <v>308</v>
      </c>
      <c r="AR479">
        <v>0</v>
      </c>
      <c r="AS479">
        <v>0</v>
      </c>
      <c r="AT479">
        <v>0</v>
      </c>
      <c r="AU479">
        <v>1</v>
      </c>
      <c r="AV479">
        <v>0.1</v>
      </c>
      <c r="AW479" s="146">
        <v>3</v>
      </c>
      <c r="AX479" s="141">
        <v>7.4599922492965501E-2</v>
      </c>
      <c r="AY479" s="141">
        <v>1E-8</v>
      </c>
      <c r="AZ479" s="209">
        <v>197.09879840379935</v>
      </c>
      <c r="BA479">
        <v>7.4599922492965501E-2</v>
      </c>
      <c r="BB479" s="249">
        <v>78.3805338649763</v>
      </c>
      <c r="BC479" s="243">
        <v>212.8630437213483</v>
      </c>
      <c r="BD479" s="209">
        <v>129402.19064459288</v>
      </c>
      <c r="BE479" s="243">
        <v>104.49671941348142</v>
      </c>
      <c r="BF479">
        <v>314913.46273790917</v>
      </c>
      <c r="BG479" t="s">
        <v>390</v>
      </c>
      <c r="BH479">
        <v>5.2817010946908618E-6</v>
      </c>
      <c r="BI479">
        <v>2494021.9064459288</v>
      </c>
      <c r="BJ479">
        <f t="shared" si="29"/>
        <v>0.1262673202364418</v>
      </c>
    </row>
    <row r="480" spans="1:62" x14ac:dyDescent="0.3">
      <c r="A480">
        <v>-0.8</v>
      </c>
      <c r="B480" s="146">
        <v>1000</v>
      </c>
      <c r="C480" s="146">
        <v>25</v>
      </c>
      <c r="D480" s="146">
        <v>400</v>
      </c>
      <c r="E480" s="252">
        <v>13.659159474400608</v>
      </c>
      <c r="F480" s="146">
        <v>9.8066100534948895</v>
      </c>
      <c r="G480" s="146">
        <v>19.396871696718577</v>
      </c>
      <c r="H480" s="146">
        <v>0</v>
      </c>
      <c r="I480" s="146"/>
      <c r="J480" s="146">
        <v>9.0410461811502571E-2</v>
      </c>
      <c r="K480" s="146">
        <v>1E-8</v>
      </c>
      <c r="L480" s="146">
        <v>111.47223145716822</v>
      </c>
      <c r="M480" s="146">
        <v>66.883338354097191</v>
      </c>
      <c r="N480" s="146">
        <v>1.0420894906331228</v>
      </c>
      <c r="O480" s="146"/>
      <c r="P480" s="146"/>
      <c r="Q480" s="146"/>
      <c r="R480" s="146"/>
      <c r="S480" s="146"/>
      <c r="T480" s="146"/>
      <c r="U480" s="146"/>
      <c r="V480" s="146"/>
      <c r="W480" s="146"/>
      <c r="X480" s="146"/>
      <c r="Y480" s="146"/>
      <c r="Z480" s="146" t="s">
        <v>35</v>
      </c>
      <c r="AA480" s="146"/>
      <c r="AB480" s="146"/>
      <c r="AC480" s="146"/>
      <c r="AD480" s="146"/>
      <c r="AE480" s="146"/>
      <c r="AF480" s="146"/>
      <c r="AG480" s="146"/>
      <c r="AH480" s="146"/>
      <c r="AI480" s="146"/>
      <c r="AJ480" s="146"/>
      <c r="AK480" s="146"/>
      <c r="AL480" s="146">
        <v>672.19792456527432</v>
      </c>
      <c r="AM480" s="146">
        <v>0.50557688924415067</v>
      </c>
      <c r="AN480" s="146">
        <v>6.3572973763632773E-2</v>
      </c>
      <c r="AO480" s="146">
        <v>185.14203967890523</v>
      </c>
      <c r="AP480" s="146">
        <v>151.15317924871306</v>
      </c>
      <c r="AQ480" t="s">
        <v>308</v>
      </c>
      <c r="AR480">
        <v>0</v>
      </c>
      <c r="AS480">
        <v>0</v>
      </c>
      <c r="AT480">
        <v>0</v>
      </c>
      <c r="AU480">
        <v>1</v>
      </c>
      <c r="AV480">
        <v>0.1</v>
      </c>
      <c r="AW480" s="146">
        <v>3</v>
      </c>
      <c r="AX480" s="141">
        <v>8.4429021288293507E-2</v>
      </c>
      <c r="AY480" s="141">
        <v>1E-8</v>
      </c>
      <c r="AZ480" s="209">
        <v>151.15317924871306</v>
      </c>
      <c r="BA480">
        <v>8.4429021288293507E-2</v>
      </c>
      <c r="BB480" s="249">
        <v>87.284187703220553</v>
      </c>
      <c r="BC480" s="243">
        <v>218.52194528119227</v>
      </c>
      <c r="BD480" s="209">
        <v>139124.85973675671</v>
      </c>
      <c r="BE480" s="243">
        <v>115.24093294701731</v>
      </c>
      <c r="BF480">
        <v>288102.27276439976</v>
      </c>
      <c r="BG480" t="s">
        <v>390</v>
      </c>
      <c r="BH480">
        <v>4.4971391668187663E-6</v>
      </c>
      <c r="BI480">
        <v>2591248.597367567</v>
      </c>
      <c r="BJ480">
        <f t="shared" si="29"/>
        <v>0.11118279931037146</v>
      </c>
    </row>
    <row r="481" spans="1:62" x14ac:dyDescent="0.3">
      <c r="A481">
        <v>-0.85</v>
      </c>
      <c r="B481" s="146">
        <v>1000</v>
      </c>
      <c r="C481" s="146">
        <v>25</v>
      </c>
      <c r="D481" s="146">
        <v>400</v>
      </c>
      <c r="E481" s="252">
        <v>9.3215154693075988</v>
      </c>
      <c r="F481" s="146">
        <v>5.3163742942804388</v>
      </c>
      <c r="G481" s="146">
        <v>12.417248152787145</v>
      </c>
      <c r="H481" s="146">
        <v>0</v>
      </c>
      <c r="I481" s="146"/>
      <c r="J481" s="146">
        <v>8.7630997849657957E-2</v>
      </c>
      <c r="K481" s="146">
        <v>1E-8</v>
      </c>
      <c r="L481" s="146">
        <v>69.694752452133258</v>
      </c>
      <c r="M481" s="146">
        <v>41.816851146037777</v>
      </c>
      <c r="N481" s="146">
        <v>0.72079841285511215</v>
      </c>
      <c r="O481" s="146"/>
      <c r="P481" s="146"/>
      <c r="Q481" s="146"/>
      <c r="R481" s="146"/>
      <c r="S481" s="146"/>
      <c r="T481" s="146"/>
      <c r="U481" s="146"/>
      <c r="V481" s="146"/>
      <c r="W481" s="146"/>
      <c r="X481" s="146"/>
      <c r="Y481" s="146"/>
      <c r="Z481" s="146" t="s">
        <v>35</v>
      </c>
      <c r="AA481" s="146"/>
      <c r="AB481" s="146"/>
      <c r="AC481" s="146"/>
      <c r="AD481" s="146"/>
      <c r="AE481" s="146"/>
      <c r="AF481" s="146"/>
      <c r="AG481" s="146"/>
      <c r="AH481" s="146"/>
      <c r="AI481" s="146"/>
      <c r="AJ481" s="146"/>
      <c r="AK481" s="146"/>
      <c r="AL481" s="146">
        <v>549.30316163394752</v>
      </c>
      <c r="AM481" s="146">
        <v>0.42814432222546334</v>
      </c>
      <c r="AN481" s="146">
        <v>4.96087100361799E-2</v>
      </c>
      <c r="AO481" s="146">
        <v>212.09921680065119</v>
      </c>
      <c r="AP481" s="146">
        <v>188.90395520639166</v>
      </c>
      <c r="AQ481" t="s">
        <v>308</v>
      </c>
      <c r="AR481">
        <v>0</v>
      </c>
      <c r="AS481">
        <v>0</v>
      </c>
      <c r="AT481">
        <v>0</v>
      </c>
      <c r="AU481">
        <v>1</v>
      </c>
      <c r="AV481">
        <v>0.1</v>
      </c>
      <c r="AW481" s="146">
        <v>3</v>
      </c>
      <c r="AX481" s="141">
        <v>8.25224284098688E-2</v>
      </c>
      <c r="AY481" s="141">
        <v>1E-8</v>
      </c>
      <c r="AZ481" s="209">
        <v>188.90395520639166</v>
      </c>
      <c r="BA481">
        <v>8.25224284098688E-2</v>
      </c>
      <c r="BB481" s="249">
        <v>49.311484952315055</v>
      </c>
      <c r="BC481" s="243">
        <v>112.7471204475986</v>
      </c>
      <c r="BD481" s="209">
        <v>63644.169299326975</v>
      </c>
      <c r="BE481" s="243">
        <v>62.271094088131768</v>
      </c>
      <c r="BF481">
        <v>661615.17250621459</v>
      </c>
      <c r="BG481" t="s">
        <v>390</v>
      </c>
      <c r="BH481">
        <v>3.4079089497972416E-6</v>
      </c>
      <c r="BI481">
        <v>1836441.6929932698</v>
      </c>
      <c r="BJ481">
        <f t="shared" si="29"/>
        <v>0.36027017630373481</v>
      </c>
    </row>
    <row r="482" spans="1:62" s="160" customFormat="1" ht="15" thickBot="1" x14ac:dyDescent="0.35">
      <c r="A482" s="160">
        <v>-0.87</v>
      </c>
      <c r="B482" s="160">
        <v>1000</v>
      </c>
      <c r="C482" s="160">
        <v>25</v>
      </c>
      <c r="D482" s="160">
        <v>400</v>
      </c>
      <c r="E482" s="250">
        <v>3.3441132054636276</v>
      </c>
      <c r="F482" s="160">
        <v>1.1190679638588585</v>
      </c>
      <c r="G482" s="160">
        <v>4.0124340453436105</v>
      </c>
      <c r="H482" s="160">
        <v>0</v>
      </c>
      <c r="J482" s="160">
        <v>6.7701884382524627E-2</v>
      </c>
      <c r="K482" s="160">
        <v>1E-8</v>
      </c>
      <c r="L482" s="160">
        <v>20.464114393519282</v>
      </c>
      <c r="M482" s="160">
        <v>12.278468540612367</v>
      </c>
      <c r="N482" s="160">
        <v>0.24315029355185852</v>
      </c>
      <c r="Z482" s="160" t="s">
        <v>35</v>
      </c>
      <c r="AL482" s="160">
        <v>436.6650446804465</v>
      </c>
      <c r="AM482" s="160">
        <v>0.27890002706898714</v>
      </c>
      <c r="AN482" s="160">
        <v>4.3663249830973305E-2</v>
      </c>
      <c r="AO482" s="160">
        <v>323.41126190997761</v>
      </c>
      <c r="AP482" s="160">
        <v>315.08989790451722</v>
      </c>
      <c r="AQ482" s="160" t="s">
        <v>308</v>
      </c>
      <c r="AR482" s="160">
        <v>0</v>
      </c>
      <c r="AS482" s="160">
        <v>0</v>
      </c>
      <c r="AT482" s="160">
        <v>0</v>
      </c>
      <c r="AU482" s="160">
        <v>1</v>
      </c>
      <c r="AV482" s="160">
        <v>0.1</v>
      </c>
      <c r="AW482" s="160">
        <v>3</v>
      </c>
      <c r="AX482" s="238">
        <v>6.552749365883466E-2</v>
      </c>
      <c r="AY482" s="238">
        <v>1E-8</v>
      </c>
      <c r="AZ482" s="248">
        <v>315.08989790451722</v>
      </c>
      <c r="BA482" s="160">
        <v>6.552749365883466E-2</v>
      </c>
      <c r="BB482" s="250">
        <v>11.799200907127553</v>
      </c>
      <c r="BC482" s="246">
        <v>28.810598909125826</v>
      </c>
      <c r="BD482" s="248">
        <v>12051.119201449208</v>
      </c>
      <c r="BE482" s="246">
        <v>14.704144271095632</v>
      </c>
      <c r="BF482" s="160">
        <v>814536.10945522122</v>
      </c>
      <c r="BG482" s="254" t="s">
        <v>390</v>
      </c>
      <c r="BH482" s="160">
        <v>1.1882579333695242E-6</v>
      </c>
      <c r="BI482" s="160">
        <v>1320511.1920144921</v>
      </c>
      <c r="BJ482">
        <f t="shared" si="29"/>
        <v>0.61683393096624506</v>
      </c>
    </row>
    <row r="483" spans="1:62" x14ac:dyDescent="0.3">
      <c r="A483">
        <v>-0.1</v>
      </c>
      <c r="B483" s="146">
        <v>100</v>
      </c>
      <c r="C483" s="146">
        <v>25</v>
      </c>
      <c r="D483" s="146">
        <v>400</v>
      </c>
      <c r="E483" s="249">
        <v>3.2971014929798583</v>
      </c>
      <c r="F483">
        <v>0.86788715656295123</v>
      </c>
      <c r="G483">
        <v>3.9541316513037024</v>
      </c>
      <c r="H483">
        <v>0.89188430735643875</v>
      </c>
      <c r="J483">
        <v>0.18590232195714393</v>
      </c>
      <c r="K483">
        <v>0.08</v>
      </c>
      <c r="L483">
        <v>17.941118859188524</v>
      </c>
      <c r="M483">
        <v>10.021605902271521</v>
      </c>
      <c r="N483">
        <v>0.46420408763757792</v>
      </c>
      <c r="Z483">
        <v>0.52047567583455667</v>
      </c>
      <c r="AL483">
        <v>607.94183029196574</v>
      </c>
      <c r="AM483">
        <v>0.21948868502564989</v>
      </c>
      <c r="AN483">
        <v>0.20663933752125094</v>
      </c>
      <c r="AO483">
        <v>384.04417313503637</v>
      </c>
      <c r="AP483">
        <v>375.83978647317679</v>
      </c>
      <c r="AQ483" t="s">
        <v>325</v>
      </c>
      <c r="AR483">
        <f t="shared" ref="AR483:AR522" si="30">0.15*Jsat_t</f>
        <v>4.8813386259591285</v>
      </c>
      <c r="AS483">
        <f t="shared" ref="AS483:AS522" si="31">0.05*Jatp</f>
        <v>1.3321822791215501</v>
      </c>
      <c r="AT483">
        <v>0.1</v>
      </c>
      <c r="AU483">
        <v>1</v>
      </c>
      <c r="AV483">
        <v>0.2</v>
      </c>
      <c r="AW483">
        <v>3</v>
      </c>
      <c r="AX483">
        <v>0.1143516383763553</v>
      </c>
      <c r="AY483">
        <v>0.08</v>
      </c>
      <c r="AZ483" s="209">
        <v>375.83978647317679</v>
      </c>
      <c r="BA483">
        <v>0.1143516383763553</v>
      </c>
      <c r="BB483" s="249">
        <v>9.9743911923115274</v>
      </c>
      <c r="BC483" s="243">
        <v>70.240620095740027</v>
      </c>
      <c r="BD483" s="209">
        <v>25985.95942236056</v>
      </c>
      <c r="BE483" s="243">
        <v>18.994011921207278</v>
      </c>
      <c r="BF483">
        <v>18878.354900328806</v>
      </c>
      <c r="BG483" t="s">
        <v>387</v>
      </c>
      <c r="BH483">
        <v>2.023714888749891E-6</v>
      </c>
      <c r="BI483">
        <v>1459859.5942236055</v>
      </c>
      <c r="BJ483">
        <f t="shared" si="29"/>
        <v>1.2931623681501267E-2</v>
      </c>
    </row>
    <row r="484" spans="1:62" x14ac:dyDescent="0.3">
      <c r="A484">
        <v>-0.1</v>
      </c>
      <c r="B484" s="146">
        <v>200</v>
      </c>
      <c r="C484" s="146">
        <v>25</v>
      </c>
      <c r="D484" s="146">
        <v>400</v>
      </c>
      <c r="E484" s="252">
        <v>6.0473259893000071</v>
      </c>
      <c r="F484" s="146">
        <v>1.5890093213256864</v>
      </c>
      <c r="G484" s="146">
        <v>7.1717252015475479</v>
      </c>
      <c r="H484" s="146">
        <v>1.6483102096815911</v>
      </c>
      <c r="I484" s="146"/>
      <c r="J484" s="146">
        <v>0.18468705057565596</v>
      </c>
      <c r="K484" s="146">
        <v>0.08</v>
      </c>
      <c r="L484" s="146">
        <v>33.219396168415521</v>
      </c>
      <c r="M484" s="146">
        <v>18.555793500068617</v>
      </c>
      <c r="N484" s="146">
        <v>0.73452758918872774</v>
      </c>
      <c r="O484" s="146"/>
      <c r="P484" s="146"/>
      <c r="Q484" s="146"/>
      <c r="R484" s="146"/>
      <c r="S484" s="146"/>
      <c r="T484" s="146"/>
      <c r="U484" s="146"/>
      <c r="V484" s="146"/>
      <c r="W484" s="146"/>
      <c r="X484" s="146"/>
      <c r="Y484" s="146"/>
      <c r="Z484" s="146">
        <v>0.44562460686973393</v>
      </c>
      <c r="AA484" s="146"/>
      <c r="AB484" s="146"/>
      <c r="AC484" s="146"/>
      <c r="AD484" s="146"/>
      <c r="AE484" s="146"/>
      <c r="AF484" s="146"/>
      <c r="AG484" s="146"/>
      <c r="AH484" s="146"/>
      <c r="AI484" s="146"/>
      <c r="AJ484" s="146"/>
      <c r="AK484" s="146"/>
      <c r="AL484" s="146">
        <v>725.99957075030261</v>
      </c>
      <c r="AM484" s="146">
        <v>0.22156584038981342</v>
      </c>
      <c r="AN484" s="146">
        <v>0.23067027703599916</v>
      </c>
      <c r="AO484" s="146">
        <v>373.78367916748874</v>
      </c>
      <c r="AP484" s="146">
        <v>358.73577615593842</v>
      </c>
      <c r="AQ484" t="s">
        <v>325</v>
      </c>
      <c r="AR484">
        <f t="shared" si="30"/>
        <v>4.8813386259591285</v>
      </c>
      <c r="AS484">
        <f t="shared" si="31"/>
        <v>1.3321822791215501</v>
      </c>
      <c r="AT484">
        <v>0.1</v>
      </c>
      <c r="AU484">
        <v>1</v>
      </c>
      <c r="AV484">
        <v>0.2</v>
      </c>
      <c r="AW484">
        <v>3</v>
      </c>
      <c r="AX484">
        <v>0.11817565075927838</v>
      </c>
      <c r="AY484">
        <v>0.08</v>
      </c>
      <c r="AZ484" s="209">
        <v>358.73577615593842</v>
      </c>
      <c r="BA484">
        <v>0.11817565075927838</v>
      </c>
      <c r="BB484" s="249">
        <v>18.162433355835031</v>
      </c>
      <c r="BC484" s="243">
        <v>102.16003222007751</v>
      </c>
      <c r="BD484" s="209">
        <v>42004.312071715962</v>
      </c>
      <c r="BE484" s="243">
        <v>29.797788413801317</v>
      </c>
      <c r="BF484">
        <v>52273.945334657619</v>
      </c>
      <c r="BG484" t="s">
        <v>387</v>
      </c>
      <c r="BH484">
        <v>3.4015487754943148E-6</v>
      </c>
      <c r="BI484">
        <v>1620043.1207171595</v>
      </c>
      <c r="BJ484">
        <f t="shared" si="29"/>
        <v>3.2267008616114506E-2</v>
      </c>
    </row>
    <row r="485" spans="1:62" x14ac:dyDescent="0.3">
      <c r="A485">
        <v>-0.1</v>
      </c>
      <c r="B485" s="146">
        <v>300</v>
      </c>
      <c r="C485" s="146">
        <v>25</v>
      </c>
      <c r="D485" s="146">
        <v>400</v>
      </c>
      <c r="E485" s="252">
        <v>8.3911792502472533</v>
      </c>
      <c r="F485" s="146">
        <v>2.2319779359707614</v>
      </c>
      <c r="G485" s="146">
        <v>9.9162580046073678</v>
      </c>
      <c r="H485" s="146">
        <v>2.3141564240835208</v>
      </c>
      <c r="I485" s="146"/>
      <c r="J485" s="146">
        <v>0.18462496962704053</v>
      </c>
      <c r="K485" s="146">
        <v>0.08</v>
      </c>
      <c r="L485" s="146">
        <v>46.703791050516081</v>
      </c>
      <c r="M485" s="146">
        <v>26.087948679443592</v>
      </c>
      <c r="N485" s="146">
        <v>0.9303718000533121</v>
      </c>
      <c r="O485" s="146"/>
      <c r="P485" s="146"/>
      <c r="Q485" s="146"/>
      <c r="R485" s="146"/>
      <c r="S485" s="146"/>
      <c r="T485" s="146"/>
      <c r="U485" s="146"/>
      <c r="V485" s="146"/>
      <c r="W485" s="146"/>
      <c r="X485" s="146"/>
      <c r="Y485" s="146"/>
      <c r="Z485" s="146">
        <v>0.40203496633628333</v>
      </c>
      <c r="AA485" s="146"/>
      <c r="AB485" s="146"/>
      <c r="AC485" s="146"/>
      <c r="AD485" s="146"/>
      <c r="AE485" s="146"/>
      <c r="AF485" s="146"/>
      <c r="AG485" s="146"/>
      <c r="AH485" s="146"/>
      <c r="AI485" s="146"/>
      <c r="AJ485" s="146"/>
      <c r="AK485" s="146"/>
      <c r="AL485" s="146">
        <v>809.89734972450583</v>
      </c>
      <c r="AM485" s="146">
        <v>0.22508268087959418</v>
      </c>
      <c r="AN485" s="146">
        <v>0.24387132842628922</v>
      </c>
      <c r="AO485" s="146">
        <v>365.59177618625426</v>
      </c>
      <c r="AP485" s="146">
        <v>344.7114496978499</v>
      </c>
      <c r="AQ485" t="s">
        <v>325</v>
      </c>
      <c r="AR485">
        <f t="shared" si="30"/>
        <v>4.8813386259591285</v>
      </c>
      <c r="AS485">
        <f t="shared" si="31"/>
        <v>1.3321822791215501</v>
      </c>
      <c r="AT485">
        <v>0.1</v>
      </c>
      <c r="AU485">
        <v>1</v>
      </c>
      <c r="AV485">
        <v>0.2</v>
      </c>
      <c r="AW485">
        <v>3</v>
      </c>
      <c r="AX485">
        <v>0.1212360930509794</v>
      </c>
      <c r="AY485">
        <v>0.08</v>
      </c>
      <c r="AZ485" s="209">
        <v>344.7114496978499</v>
      </c>
      <c r="BA485">
        <v>0.1212360930509794</v>
      </c>
      <c r="BB485" s="249">
        <v>25.317335046090093</v>
      </c>
      <c r="BC485" s="243">
        <v>125.08133563497746</v>
      </c>
      <c r="BD485" s="209">
        <v>55051.579644404083</v>
      </c>
      <c r="BE485" s="243">
        <v>38.554578914916142</v>
      </c>
      <c r="BF485">
        <v>90370.968832651299</v>
      </c>
      <c r="BG485" t="s">
        <v>387</v>
      </c>
      <c r="BH485">
        <v>4.3353175920104982E-6</v>
      </c>
      <c r="BI485">
        <v>1750515.7964440407</v>
      </c>
      <c r="BJ485">
        <f t="shared" si="29"/>
        <v>5.162533752407656E-2</v>
      </c>
    </row>
    <row r="486" spans="1:62" x14ac:dyDescent="0.3">
      <c r="A486">
        <v>-0.1</v>
      </c>
      <c r="B486" s="146">
        <v>400</v>
      </c>
      <c r="C486" s="146">
        <v>25</v>
      </c>
      <c r="D486" s="146">
        <v>400</v>
      </c>
      <c r="E486" s="252">
        <v>10.420913128149913</v>
      </c>
      <c r="F486" s="146">
        <v>2.816971630598577</v>
      </c>
      <c r="G486" s="146">
        <v>12.302784565196024</v>
      </c>
      <c r="H486" s="146">
        <v>2.9089162075253099</v>
      </c>
      <c r="I486" s="146"/>
      <c r="J486" s="146">
        <v>0.18482162063004809</v>
      </c>
      <c r="K486" s="146">
        <v>0.08</v>
      </c>
      <c r="L486" s="146">
        <v>58.773835211342572</v>
      </c>
      <c r="M486" s="146">
        <v>32.830071439578276</v>
      </c>
      <c r="N486" s="146">
        <v>1.0845153498531435</v>
      </c>
      <c r="O486" s="146"/>
      <c r="P486" s="146"/>
      <c r="Q486" s="146"/>
      <c r="R486" s="146"/>
      <c r="S486" s="146"/>
      <c r="T486" s="146"/>
      <c r="U486" s="146"/>
      <c r="V486" s="146"/>
      <c r="W486" s="146"/>
      <c r="X486" s="146"/>
      <c r="Y486" s="146"/>
      <c r="Z486" s="146">
        <v>0.37282454099142603</v>
      </c>
      <c r="AA486" s="146"/>
      <c r="AB486" s="146"/>
      <c r="AC486" s="146"/>
      <c r="AD486" s="146"/>
      <c r="AE486" s="146"/>
      <c r="AF486" s="146"/>
      <c r="AG486" s="146"/>
      <c r="AH486" s="146"/>
      <c r="AI486" s="146"/>
      <c r="AJ486" s="146"/>
      <c r="AK486" s="146"/>
      <c r="AL486" s="146">
        <v>875.08068610572616</v>
      </c>
      <c r="AM486" s="146">
        <v>0.22897024780614725</v>
      </c>
      <c r="AN486" s="146">
        <v>0.2526524366591873</v>
      </c>
      <c r="AO486" s="146">
        <v>358.75395754758904</v>
      </c>
      <c r="AP486" s="146">
        <v>332.82301117915489</v>
      </c>
      <c r="AQ486" t="s">
        <v>325</v>
      </c>
      <c r="AR486">
        <f t="shared" si="30"/>
        <v>4.8813386259591285</v>
      </c>
      <c r="AS486">
        <f t="shared" si="31"/>
        <v>1.3321822791215501</v>
      </c>
      <c r="AT486">
        <v>0.1</v>
      </c>
      <c r="AU486">
        <v>1</v>
      </c>
      <c r="AV486">
        <v>0.2</v>
      </c>
      <c r="AW486">
        <v>3</v>
      </c>
      <c r="AX486">
        <v>0.12355515928914607</v>
      </c>
      <c r="AY486">
        <v>0.08</v>
      </c>
      <c r="AZ486" s="209">
        <v>332.82301117915489</v>
      </c>
      <c r="BA486">
        <v>0.12355515928914607</v>
      </c>
      <c r="BB486" s="249">
        <v>31.701163729177551</v>
      </c>
      <c r="BC486" s="243">
        <v>143.27677659840427</v>
      </c>
      <c r="BD486" s="209">
        <v>66258.494068981672</v>
      </c>
      <c r="BE486" s="243">
        <v>46.077472100324755</v>
      </c>
      <c r="BF486">
        <v>130156.0894187283</v>
      </c>
      <c r="BG486" t="s">
        <v>387</v>
      </c>
      <c r="BH486">
        <v>4.9989563436600611E-6</v>
      </c>
      <c r="BI486">
        <v>1862584.9406898166</v>
      </c>
      <c r="BJ486">
        <f t="shared" si="29"/>
        <v>6.9879277221324684E-2</v>
      </c>
    </row>
    <row r="487" spans="1:62" x14ac:dyDescent="0.3">
      <c r="A487">
        <v>-0.1</v>
      </c>
      <c r="B487" s="146">
        <v>600</v>
      </c>
      <c r="C487" s="146">
        <v>25</v>
      </c>
      <c r="D487" s="146">
        <v>400</v>
      </c>
      <c r="E487" s="252">
        <v>13.750400655075087</v>
      </c>
      <c r="F487" s="146">
        <v>3.844236150324746</v>
      </c>
      <c r="G487" s="146">
        <v>16.246071307604101</v>
      </c>
      <c r="H487" s="146">
        <v>3.9259861622263048</v>
      </c>
      <c r="I487" s="146"/>
      <c r="J487" s="146">
        <v>0.18545744745133733</v>
      </c>
      <c r="K487" s="146">
        <v>0.08</v>
      </c>
      <c r="L487" s="146">
        <v>79.467926863644777</v>
      </c>
      <c r="M487" s="146">
        <v>44.389441436095858</v>
      </c>
      <c r="N487" s="146">
        <v>1.3166254907297787</v>
      </c>
      <c r="O487" s="146"/>
      <c r="P487" s="146"/>
      <c r="Q487" s="146"/>
      <c r="R487" s="146"/>
      <c r="S487" s="146"/>
      <c r="T487" s="146"/>
      <c r="U487" s="146"/>
      <c r="V487" s="146"/>
      <c r="W487" s="146"/>
      <c r="X487" s="146"/>
      <c r="Y487" s="146"/>
      <c r="Z487" s="146">
        <v>0.3353617247553316</v>
      </c>
      <c r="AA487" s="146"/>
      <c r="AB487" s="146"/>
      <c r="AC487" s="146"/>
      <c r="AD487" s="146"/>
      <c r="AE487" s="146"/>
      <c r="AF487" s="146"/>
      <c r="AG487" s="146"/>
      <c r="AH487" s="146"/>
      <c r="AI487" s="146"/>
      <c r="AJ487" s="146"/>
      <c r="AK487" s="146"/>
      <c r="AL487" s="146">
        <v>972.03969784600088</v>
      </c>
      <c r="AM487" s="146">
        <v>0.23662558642872761</v>
      </c>
      <c r="AN487" s="146">
        <v>0.26414057963290882</v>
      </c>
      <c r="AO487" s="146">
        <v>347.94286938347449</v>
      </c>
      <c r="AP487" s="146">
        <v>313.72695248111177</v>
      </c>
      <c r="AQ487" t="s">
        <v>325</v>
      </c>
      <c r="AR487">
        <f t="shared" si="30"/>
        <v>4.8813386259591285</v>
      </c>
      <c r="AS487">
        <f t="shared" si="31"/>
        <v>1.3321822791215501</v>
      </c>
      <c r="AT487">
        <v>0.1</v>
      </c>
      <c r="AU487">
        <v>1</v>
      </c>
      <c r="AV487">
        <v>0.2</v>
      </c>
      <c r="AW487">
        <v>3</v>
      </c>
      <c r="AX487">
        <v>0.12687947627776258</v>
      </c>
      <c r="AY487">
        <v>0.08</v>
      </c>
      <c r="AZ487" s="209">
        <v>313.72695248111177</v>
      </c>
      <c r="BA487">
        <v>0.12687947627776258</v>
      </c>
      <c r="BB487" s="249">
        <v>42.632650737629717</v>
      </c>
      <c r="BC487" s="243">
        <v>170.90695075844263</v>
      </c>
      <c r="BD487" s="209">
        <v>84648.483891969634</v>
      </c>
      <c r="BE487" s="243">
        <v>58.514080188213661</v>
      </c>
      <c r="BF487">
        <v>209137.9437838062</v>
      </c>
      <c r="BG487" t="s">
        <v>387</v>
      </c>
      <c r="BH487">
        <v>5.8527864200822854E-6</v>
      </c>
      <c r="BI487">
        <v>2046484.8389196964</v>
      </c>
      <c r="BJ487">
        <f t="shared" si="29"/>
        <v>0.10219374207248291</v>
      </c>
    </row>
    <row r="488" spans="1:62" x14ac:dyDescent="0.3">
      <c r="A488">
        <v>-0.1</v>
      </c>
      <c r="B488" s="146">
        <v>800</v>
      </c>
      <c r="C488" s="146">
        <v>25</v>
      </c>
      <c r="D488" s="146">
        <v>400</v>
      </c>
      <c r="E488" s="252">
        <v>16.319184217152955</v>
      </c>
      <c r="F488" s="146">
        <v>4.7016287370184582</v>
      </c>
      <c r="G488" s="146">
        <v>19.317049869189944</v>
      </c>
      <c r="H488" s="146">
        <v>4.7522884946003545</v>
      </c>
      <c r="I488" s="146"/>
      <c r="J488" s="146">
        <v>0.18619788930100031</v>
      </c>
      <c r="K488" s="146">
        <v>0.08</v>
      </c>
      <c r="L488" s="146">
        <v>96.333530585011744</v>
      </c>
      <c r="M488" s="146">
        <v>53.810282751845804</v>
      </c>
      <c r="N488" s="146">
        <v>1.4836575029912131</v>
      </c>
      <c r="O488" s="146"/>
      <c r="P488" s="146"/>
      <c r="Q488" s="146"/>
      <c r="R488" s="146"/>
      <c r="S488" s="146"/>
      <c r="T488" s="146"/>
      <c r="U488" s="146"/>
      <c r="V488" s="146"/>
      <c r="W488" s="146"/>
      <c r="X488" s="146"/>
      <c r="Y488" s="146"/>
      <c r="Z488" s="146">
        <v>0.31219853438548073</v>
      </c>
      <c r="AA488" s="146"/>
      <c r="AB488" s="146"/>
      <c r="AC488" s="146"/>
      <c r="AD488" s="146"/>
      <c r="AE488" s="146"/>
      <c r="AF488" s="146"/>
      <c r="AG488" s="146"/>
      <c r="AH488" s="146"/>
      <c r="AI488" s="146"/>
      <c r="AJ488" s="146"/>
      <c r="AK488" s="146"/>
      <c r="AL488" s="146">
        <v>1041.1742703991599</v>
      </c>
      <c r="AM488" s="146">
        <v>0.24339269033608493</v>
      </c>
      <c r="AN488" s="146">
        <v>0.27177571773800141</v>
      </c>
      <c r="AO488" s="146">
        <v>339.95348682002174</v>
      </c>
      <c r="AP488" s="146">
        <v>299.34551890355357</v>
      </c>
      <c r="AQ488" t="s">
        <v>325</v>
      </c>
      <c r="AR488">
        <f t="shared" si="30"/>
        <v>4.8813386259591285</v>
      </c>
      <c r="AS488">
        <f t="shared" si="31"/>
        <v>1.3321822791215501</v>
      </c>
      <c r="AT488">
        <v>0.1</v>
      </c>
      <c r="AU488">
        <v>1</v>
      </c>
      <c r="AV488">
        <v>0.2</v>
      </c>
      <c r="AW488">
        <v>3</v>
      </c>
      <c r="AX488">
        <v>0.12922363488540881</v>
      </c>
      <c r="AY488">
        <v>0.08</v>
      </c>
      <c r="AZ488" s="209">
        <v>299.34551890355357</v>
      </c>
      <c r="BA488">
        <v>0.12922363488540881</v>
      </c>
      <c r="BB488" s="249">
        <v>51.509015471943208</v>
      </c>
      <c r="BC488" s="243">
        <v>190.60624480294524</v>
      </c>
      <c r="BD488" s="209">
        <v>98763.06055724711</v>
      </c>
      <c r="BE488" s="243">
        <v>68.214268608158193</v>
      </c>
      <c r="BF488">
        <v>282060.03421798057</v>
      </c>
      <c r="BG488" t="s">
        <v>387</v>
      </c>
      <c r="BH488">
        <v>6.3544874084140525E-6</v>
      </c>
      <c r="BI488">
        <v>2187630.6055724714</v>
      </c>
      <c r="BJ488">
        <f t="shared" si="29"/>
        <v>0.12893403186968558</v>
      </c>
    </row>
    <row r="489" spans="1:62" x14ac:dyDescent="0.3">
      <c r="A489">
        <v>-0.1</v>
      </c>
      <c r="B489" s="146">
        <v>1000</v>
      </c>
      <c r="C489" s="146">
        <v>25</v>
      </c>
      <c r="D489" s="146">
        <v>400</v>
      </c>
      <c r="E489" s="252">
        <v>18.325018452571641</v>
      </c>
      <c r="F489" s="146">
        <v>5.4180514964191069</v>
      </c>
      <c r="G489" s="146">
        <v>21.736575309560699</v>
      </c>
      <c r="H489" s="146">
        <v>5.4236804459644716</v>
      </c>
      <c r="I489" s="146"/>
      <c r="J489" s="146">
        <v>0.18715100502518692</v>
      </c>
      <c r="K489" s="146">
        <v>0.08</v>
      </c>
      <c r="L489" s="146">
        <v>110.07647149214091</v>
      </c>
      <c r="M489" s="146">
        <v>61.486857372994237</v>
      </c>
      <c r="N489" s="146">
        <v>1.6036627617916022</v>
      </c>
      <c r="O489" s="146"/>
      <c r="P489" s="146"/>
      <c r="Q489" s="146"/>
      <c r="R489" s="146"/>
      <c r="S489" s="146"/>
      <c r="T489" s="146"/>
      <c r="U489" s="146"/>
      <c r="V489" s="146"/>
      <c r="W489" s="146"/>
      <c r="X489" s="146"/>
      <c r="Y489" s="146"/>
      <c r="Z489" s="146">
        <v>0.29567795849492184</v>
      </c>
      <c r="AA489" s="146"/>
      <c r="AB489" s="146"/>
      <c r="AC489" s="146"/>
      <c r="AD489" s="146"/>
      <c r="AE489" s="146"/>
      <c r="AF489" s="146"/>
      <c r="AG489" s="146"/>
      <c r="AH489" s="146"/>
      <c r="AI489" s="146"/>
      <c r="AJ489" s="146"/>
      <c r="AK489" s="146"/>
      <c r="AL489" s="146">
        <v>1090.0563861642297</v>
      </c>
      <c r="AM489" s="146">
        <v>0.24925966575958311</v>
      </c>
      <c r="AN489" s="146">
        <v>0.27691412754041078</v>
      </c>
      <c r="AO489" s="146">
        <v>333.82418363650504</v>
      </c>
      <c r="AP489" s="146">
        <v>288.22500526842958</v>
      </c>
      <c r="AQ489" t="s">
        <v>325</v>
      </c>
      <c r="AR489">
        <f t="shared" si="30"/>
        <v>4.8813386259591285</v>
      </c>
      <c r="AS489">
        <f t="shared" si="31"/>
        <v>1.3321822791215501</v>
      </c>
      <c r="AT489">
        <v>0.1</v>
      </c>
      <c r="AU489">
        <v>1</v>
      </c>
      <c r="AV489">
        <v>0.2</v>
      </c>
      <c r="AW489">
        <v>3</v>
      </c>
      <c r="AX489">
        <v>0.13106747899833593</v>
      </c>
      <c r="AY489">
        <v>0.08</v>
      </c>
      <c r="AZ489" s="209">
        <v>288.22500526842958</v>
      </c>
      <c r="BA489">
        <v>0.13106747899833593</v>
      </c>
      <c r="BB489" s="249">
        <v>58.760418734148061</v>
      </c>
      <c r="BC489" s="243">
        <v>204.96889357596106</v>
      </c>
      <c r="BD489" s="209">
        <v>109767.44132592893</v>
      </c>
      <c r="BE489" s="243">
        <v>76.043549935840389</v>
      </c>
      <c r="BF489">
        <v>346838.48351831763</v>
      </c>
      <c r="BG489" t="s">
        <v>387</v>
      </c>
      <c r="BH489">
        <v>6.6682442485830208E-6</v>
      </c>
      <c r="BI489">
        <v>2297674.4132592892</v>
      </c>
      <c r="BJ489">
        <f t="shared" si="29"/>
        <v>0.15095197192291554</v>
      </c>
    </row>
    <row r="490" spans="1:62" x14ac:dyDescent="0.3">
      <c r="A490">
        <v>-0.1</v>
      </c>
      <c r="B490" s="146">
        <v>1300</v>
      </c>
      <c r="C490" s="146">
        <v>25</v>
      </c>
      <c r="D490" s="146">
        <v>400</v>
      </c>
      <c r="E490" s="252">
        <v>20.524687780504465</v>
      </c>
      <c r="F490" s="146">
        <v>6.2514193816889625</v>
      </c>
      <c r="G490" s="146">
        <v>24.410627077221505</v>
      </c>
      <c r="H490" s="146">
        <v>6.1949985639105245</v>
      </c>
      <c r="I490" s="146"/>
      <c r="J490" s="146">
        <v>0.18852218134620585</v>
      </c>
      <c r="K490" s="146">
        <v>0.08</v>
      </c>
      <c r="L490" s="146">
        <v>125.91758734551522</v>
      </c>
      <c r="M490" s="146">
        <v>70.335437073107968</v>
      </c>
      <c r="N490" s="146">
        <v>1.7285325210708384</v>
      </c>
      <c r="O490" s="146"/>
      <c r="P490" s="146"/>
      <c r="Q490" s="146"/>
      <c r="R490" s="146"/>
      <c r="S490" s="146"/>
      <c r="T490" s="146"/>
      <c r="U490" s="146"/>
      <c r="V490" s="146"/>
      <c r="W490" s="146"/>
      <c r="X490" s="146"/>
      <c r="Y490" s="146"/>
      <c r="Z490" s="146">
        <v>0.27902064919603814</v>
      </c>
      <c r="AA490" s="146"/>
      <c r="AB490" s="146"/>
      <c r="AC490" s="146"/>
      <c r="AD490" s="146"/>
      <c r="AE490" s="146"/>
      <c r="AF490" s="146"/>
      <c r="AG490" s="146"/>
      <c r="AH490" s="146"/>
      <c r="AI490" s="146"/>
      <c r="AJ490" s="146"/>
      <c r="AK490" s="146"/>
      <c r="AL490" s="146">
        <v>1140.5515240579314</v>
      </c>
      <c r="AM490" s="146">
        <v>0.25609417414444063</v>
      </c>
      <c r="AN490" s="146">
        <v>0.28254680401059412</v>
      </c>
      <c r="AO490" s="146">
        <v>327.35827307487477</v>
      </c>
      <c r="AP490" s="146">
        <v>276.28526352251214</v>
      </c>
      <c r="AQ490" t="s">
        <v>325</v>
      </c>
      <c r="AR490">
        <f t="shared" si="30"/>
        <v>4.8813386259591285</v>
      </c>
      <c r="AS490">
        <f t="shared" si="31"/>
        <v>1.3321822791215501</v>
      </c>
      <c r="AT490">
        <v>0.1</v>
      </c>
      <c r="AU490">
        <v>1</v>
      </c>
      <c r="AV490">
        <v>0.2</v>
      </c>
      <c r="AW490" s="146">
        <v>3</v>
      </c>
      <c r="AX490">
        <v>0.13318644542786812</v>
      </c>
      <c r="AY490">
        <v>0.08</v>
      </c>
      <c r="AZ490" s="209">
        <v>276.28526352251214</v>
      </c>
      <c r="BA490">
        <v>0.13318644542786812</v>
      </c>
      <c r="BB490" s="249">
        <v>67.033802382592015</v>
      </c>
      <c r="BC490" s="243">
        <v>219.42751547447216</v>
      </c>
      <c r="BD490" s="209">
        <v>121505.61296487058</v>
      </c>
      <c r="BE490" s="243">
        <v>84.664326874551463</v>
      </c>
      <c r="BF490">
        <v>425730.59517872508</v>
      </c>
      <c r="BG490" t="s">
        <v>387</v>
      </c>
      <c r="BH490">
        <v>6.9550649420854129E-6</v>
      </c>
      <c r="BI490">
        <v>2415056.1296487059</v>
      </c>
      <c r="BJ490">
        <f t="shared" si="29"/>
        <v>0.17628186357749451</v>
      </c>
    </row>
    <row r="491" spans="1:62" x14ac:dyDescent="0.3">
      <c r="A491">
        <v>-0.1</v>
      </c>
      <c r="B491" s="227">
        <v>1600</v>
      </c>
      <c r="C491" s="146">
        <v>25</v>
      </c>
      <c r="D491" s="146">
        <v>400</v>
      </c>
      <c r="E491" s="252">
        <v>22.03197343052453</v>
      </c>
      <c r="F491" s="146">
        <v>6.8503745178444717</v>
      </c>
      <c r="G491" s="146">
        <v>26.254077991119473</v>
      </c>
      <c r="H491" s="146">
        <v>6.7504598592820653</v>
      </c>
      <c r="I491" s="146"/>
      <c r="J491" s="146">
        <v>0.18969933913676437</v>
      </c>
      <c r="K491" s="146">
        <v>0.08</v>
      </c>
      <c r="L491" s="146">
        <v>137.36919545020882</v>
      </c>
      <c r="M491" s="146">
        <v>76.732111899980396</v>
      </c>
      <c r="N491" s="146">
        <v>1.8112735425950373</v>
      </c>
      <c r="O491" s="146"/>
      <c r="P491" s="146"/>
      <c r="Q491" s="146"/>
      <c r="R491" s="146"/>
      <c r="S491" s="146"/>
      <c r="T491" s="146"/>
      <c r="U491" s="146"/>
      <c r="V491" s="146"/>
      <c r="W491" s="146"/>
      <c r="X491" s="146"/>
      <c r="Y491" s="146"/>
      <c r="Z491" s="146">
        <v>0.26831854130715066</v>
      </c>
      <c r="AA491" s="146"/>
      <c r="AB491" s="146"/>
      <c r="AC491" s="146"/>
      <c r="AD491" s="146"/>
      <c r="AE491" s="146"/>
      <c r="AF491" s="146"/>
      <c r="AG491" s="146"/>
      <c r="AH491" s="146"/>
      <c r="AI491" s="146"/>
      <c r="AJ491" s="146"/>
      <c r="AK491" s="146"/>
      <c r="AL491" s="146">
        <v>1173.9572118281744</v>
      </c>
      <c r="AM491" s="146">
        <v>0.26092611289421908</v>
      </c>
      <c r="AN491" s="146">
        <v>0.2866653071501653</v>
      </c>
      <c r="AO491" s="146">
        <v>323.14391424078599</v>
      </c>
      <c r="AP491" s="146">
        <v>268.3204405306555</v>
      </c>
      <c r="AQ491" t="s">
        <v>325</v>
      </c>
      <c r="AR491">
        <f t="shared" si="30"/>
        <v>4.8813386259591285</v>
      </c>
      <c r="AS491">
        <f t="shared" si="31"/>
        <v>1.3321822791215501</v>
      </c>
      <c r="AT491">
        <v>0.1</v>
      </c>
      <c r="AU491">
        <v>1</v>
      </c>
      <c r="AV491">
        <v>0.2</v>
      </c>
      <c r="AW491" s="146">
        <v>3</v>
      </c>
      <c r="AX491">
        <v>0.13477529140639652</v>
      </c>
      <c r="AY491">
        <v>0.08</v>
      </c>
      <c r="AZ491" s="209">
        <v>268.3204405306555</v>
      </c>
      <c r="BA491">
        <v>0.13477529140639652</v>
      </c>
      <c r="BB491" s="249">
        <v>72.886975764345124</v>
      </c>
      <c r="BC491" s="243">
        <v>228.27266806196067</v>
      </c>
      <c r="BD491" s="209">
        <v>129140.45367176783</v>
      </c>
      <c r="BE491" s="243">
        <v>90.494252607121723</v>
      </c>
      <c r="BF491">
        <v>484313.46291382337</v>
      </c>
      <c r="BG491" t="s">
        <v>387</v>
      </c>
      <c r="BH491">
        <v>7.1279660518453329E-6</v>
      </c>
      <c r="BI491">
        <v>2491404.5367176784</v>
      </c>
      <c r="BJ491">
        <f t="shared" si="29"/>
        <v>0.19439374689101521</v>
      </c>
    </row>
    <row r="492" spans="1:62" s="140" customFormat="1" x14ac:dyDescent="0.3">
      <c r="A492" s="140">
        <v>-0.1</v>
      </c>
      <c r="B492" s="140">
        <v>1900</v>
      </c>
      <c r="C492" s="140">
        <v>25</v>
      </c>
      <c r="D492" s="140">
        <v>400</v>
      </c>
      <c r="E492" s="253">
        <v>23.097210155701223</v>
      </c>
      <c r="F492" s="140">
        <v>7.2887836021924901</v>
      </c>
      <c r="G492" s="140">
        <v>27.56285189924877</v>
      </c>
      <c r="H492" s="140">
        <v>7.1570754314157252</v>
      </c>
      <c r="J492" s="140">
        <v>0.1907432606262757</v>
      </c>
      <c r="K492" s="140">
        <v>0.08</v>
      </c>
      <c r="L492" s="140">
        <v>145.78000444714098</v>
      </c>
      <c r="M492" s="140">
        <v>81.430247715705448</v>
      </c>
      <c r="N492" s="140">
        <v>1.8664111325910824</v>
      </c>
      <c r="Z492" s="140">
        <v>0.26077846328104043</v>
      </c>
      <c r="AL492" s="140">
        <v>1195.9797143555916</v>
      </c>
      <c r="AM492" s="140">
        <v>0.26444228735238923</v>
      </c>
      <c r="AN492" s="140">
        <v>0.28961395101676107</v>
      </c>
      <c r="AO492" s="140">
        <v>320.24828198153858</v>
      </c>
      <c r="AP492" s="140">
        <v>262.7741480600497</v>
      </c>
      <c r="AQ492" t="s">
        <v>325</v>
      </c>
      <c r="AR492">
        <f t="shared" si="30"/>
        <v>4.8813386259591285</v>
      </c>
      <c r="AS492">
        <f t="shared" si="31"/>
        <v>1.3321822791215501</v>
      </c>
      <c r="AT492">
        <v>0.1</v>
      </c>
      <c r="AU492" s="140">
        <v>1</v>
      </c>
      <c r="AV492">
        <v>0.2</v>
      </c>
      <c r="AW492" s="140">
        <v>3</v>
      </c>
      <c r="AX492">
        <v>0.13601307304685004</v>
      </c>
      <c r="AY492">
        <v>0.08</v>
      </c>
      <c r="AZ492" s="209">
        <v>262.7741480600497</v>
      </c>
      <c r="BA492" s="140">
        <v>0.13601307304685004</v>
      </c>
      <c r="BB492" s="253">
        <v>77.121606218998565</v>
      </c>
      <c r="BC492" s="245">
        <v>233.88436790685435</v>
      </c>
      <c r="BD492" s="210">
        <v>134304.24772084827</v>
      </c>
      <c r="BE492" s="245">
        <v>94.615609073666249</v>
      </c>
      <c r="BF492" s="140">
        <v>527927.472201247</v>
      </c>
      <c r="BG492" t="s">
        <v>387</v>
      </c>
      <c r="BH492" s="140">
        <v>7.2409207444050252E-6</v>
      </c>
      <c r="BI492" s="140">
        <v>2543042.477208483</v>
      </c>
      <c r="BJ492">
        <f t="shared" si="29"/>
        <v>0.20759679672388209</v>
      </c>
    </row>
    <row r="493" spans="1:62" x14ac:dyDescent="0.3">
      <c r="A493">
        <v>-0.1</v>
      </c>
      <c r="B493" s="146">
        <v>1000</v>
      </c>
      <c r="C493" s="146">
        <v>25</v>
      </c>
      <c r="D493" s="146">
        <v>200</v>
      </c>
      <c r="E493" s="252">
        <v>13.541736431948989</v>
      </c>
      <c r="F493" s="146">
        <v>8.8727621079655155</v>
      </c>
      <c r="G493" s="146">
        <v>18.775537296296097</v>
      </c>
      <c r="H493" s="146">
        <v>5.6896202702648262</v>
      </c>
      <c r="I493" s="146"/>
      <c r="J493" s="146">
        <v>0.2204166720590128</v>
      </c>
      <c r="K493" s="146">
        <v>0.08</v>
      </c>
      <c r="L493" s="146">
        <v>116.08476647788089</v>
      </c>
      <c r="M493" s="146">
        <v>64.842989449497509</v>
      </c>
      <c r="N493" s="146">
        <v>1.3229405895223554</v>
      </c>
      <c r="O493" s="146"/>
      <c r="P493" s="146"/>
      <c r="Q493" s="146"/>
      <c r="R493" s="146"/>
      <c r="S493" s="146"/>
      <c r="T493" s="146"/>
      <c r="U493" s="146"/>
      <c r="V493" s="146"/>
      <c r="W493" s="146"/>
      <c r="X493" s="146"/>
      <c r="Y493" s="146"/>
      <c r="Z493" s="146">
        <v>0.23251825722646663</v>
      </c>
      <c r="AA493" s="146"/>
      <c r="AB493" s="146"/>
      <c r="AC493" s="146"/>
      <c r="AD493" s="146"/>
      <c r="AE493" s="146"/>
      <c r="AF493" s="146"/>
      <c r="AG493" s="146"/>
      <c r="AH493" s="146"/>
      <c r="AI493" s="146"/>
      <c r="AJ493" s="146"/>
      <c r="AK493" s="146"/>
      <c r="AL493" s="146">
        <v>780.30996392610473</v>
      </c>
      <c r="AM493" s="146">
        <v>0.47257034341786164</v>
      </c>
      <c r="AN493" s="146">
        <v>0.28530746110140093</v>
      </c>
      <c r="AO493" s="146">
        <v>152.53633963979607</v>
      </c>
      <c r="AP493" s="146">
        <v>118.83966916492739</v>
      </c>
      <c r="AQ493" t="s">
        <v>325</v>
      </c>
      <c r="AR493">
        <f t="shared" si="30"/>
        <v>4.8813386259591285</v>
      </c>
      <c r="AS493">
        <f t="shared" si="31"/>
        <v>1.3321822791215501</v>
      </c>
      <c r="AT493">
        <v>0.1</v>
      </c>
      <c r="AU493">
        <v>1</v>
      </c>
      <c r="AV493">
        <v>0.2</v>
      </c>
      <c r="AW493" s="146">
        <v>3</v>
      </c>
      <c r="AX493">
        <v>0.14007654433192307</v>
      </c>
      <c r="AY493">
        <v>0.08</v>
      </c>
      <c r="AZ493" s="209">
        <v>118.83966916492739</v>
      </c>
      <c r="BA493">
        <v>0.14007654433192307</v>
      </c>
      <c r="BB493" s="249">
        <v>78.836665817433556</v>
      </c>
      <c r="BC493" s="243">
        <v>223.67599804078495</v>
      </c>
      <c r="BD493" s="209">
        <v>130592.18966863852</v>
      </c>
      <c r="BE493" s="243">
        <v>95.291926104955579</v>
      </c>
      <c r="BF493">
        <v>268533.39728274103</v>
      </c>
      <c r="BG493" t="s">
        <v>388</v>
      </c>
      <c r="BH493">
        <v>4.6356954519014396E-6</v>
      </c>
      <c r="BI493">
        <v>2505921.8966863854</v>
      </c>
      <c r="BJ493">
        <f t="shared" si="29"/>
        <v>0.10715952386138866</v>
      </c>
    </row>
    <row r="494" spans="1:62" x14ac:dyDescent="0.3">
      <c r="A494">
        <v>-0.1</v>
      </c>
      <c r="B494" s="146">
        <v>1000</v>
      </c>
      <c r="C494" s="146">
        <v>25</v>
      </c>
      <c r="D494" s="146">
        <v>300</v>
      </c>
      <c r="E494" s="252">
        <v>16.443094488779693</v>
      </c>
      <c r="F494" s="146">
        <v>6.7918410118798871</v>
      </c>
      <c r="G494" s="146">
        <v>20.579504828470444</v>
      </c>
      <c r="H494" s="146">
        <v>5.5271501983662352</v>
      </c>
      <c r="I494" s="146"/>
      <c r="J494" s="146">
        <v>0.19665143253165079</v>
      </c>
      <c r="K494" s="146">
        <v>0.08</v>
      </c>
      <c r="L494" s="146">
        <v>112.34929321074334</v>
      </c>
      <c r="M494" s="146">
        <v>62.756417188562359</v>
      </c>
      <c r="N494" s="146">
        <v>1.5287816441597526</v>
      </c>
      <c r="O494" s="146"/>
      <c r="P494" s="146"/>
      <c r="Q494" s="146"/>
      <c r="R494" s="146"/>
      <c r="S494" s="146"/>
      <c r="T494" s="146"/>
      <c r="U494" s="146"/>
      <c r="V494" s="146"/>
      <c r="W494" s="146"/>
      <c r="X494" s="146"/>
      <c r="Y494" s="146"/>
      <c r="Z494" s="146">
        <v>0.27659491587756085</v>
      </c>
      <c r="AA494" s="146"/>
      <c r="AB494" s="146"/>
      <c r="AC494" s="146"/>
      <c r="AD494" s="146"/>
      <c r="AE494" s="146"/>
      <c r="AF494" s="146"/>
      <c r="AG494" s="146"/>
      <c r="AH494" s="146"/>
      <c r="AI494" s="146"/>
      <c r="AJ494" s="146"/>
      <c r="AK494" s="146"/>
      <c r="AL494" s="146">
        <v>964.84156155809137</v>
      </c>
      <c r="AM494" s="146">
        <v>0.33002936992360499</v>
      </c>
      <c r="AN494" s="146">
        <v>0.28044130325811495</v>
      </c>
      <c r="AO494" s="146">
        <v>241.3670729035029</v>
      </c>
      <c r="AP494" s="146">
        <v>200.45073947821541</v>
      </c>
      <c r="AQ494" t="s">
        <v>325</v>
      </c>
      <c r="AR494">
        <f t="shared" si="30"/>
        <v>4.8813386259591285</v>
      </c>
      <c r="AS494">
        <f t="shared" si="31"/>
        <v>1.3321822791215501</v>
      </c>
      <c r="AT494">
        <v>0.1</v>
      </c>
      <c r="AU494">
        <v>1</v>
      </c>
      <c r="AV494">
        <v>0.2</v>
      </c>
      <c r="AW494" s="146">
        <v>3</v>
      </c>
      <c r="AX494">
        <v>0.1327771293115475</v>
      </c>
      <c r="AY494">
        <v>0.08</v>
      </c>
      <c r="AZ494" s="209">
        <v>200.45073947821541</v>
      </c>
      <c r="BA494">
        <v>0.1327771293115475</v>
      </c>
      <c r="BB494" s="249">
        <v>66.866048003308762</v>
      </c>
      <c r="BC494" s="243">
        <v>211.8543706343138</v>
      </c>
      <c r="BD494" s="209">
        <v>118214.70036766856</v>
      </c>
      <c r="BE494" s="243">
        <v>84.34156286600863</v>
      </c>
      <c r="BF494">
        <v>318987.91066307412</v>
      </c>
      <c r="BG494" t="s">
        <v>388</v>
      </c>
      <c r="BH494">
        <v>5.8323656464921164E-6</v>
      </c>
      <c r="BI494">
        <v>2382147.0036766855</v>
      </c>
      <c r="BJ494">
        <f t="shared" si="29"/>
        <v>0.13390773540454787</v>
      </c>
    </row>
    <row r="495" spans="1:62" x14ac:dyDescent="0.3">
      <c r="A495">
        <v>-0.1</v>
      </c>
      <c r="B495" s="146">
        <v>1000</v>
      </c>
      <c r="C495" s="146">
        <v>25</v>
      </c>
      <c r="D495" s="146">
        <v>400</v>
      </c>
      <c r="E495" s="252">
        <v>18.328777517969353</v>
      </c>
      <c r="F495" s="146">
        <v>5.4200945580113178</v>
      </c>
      <c r="G495" s="146">
        <v>21.741567061786085</v>
      </c>
      <c r="H495" s="146">
        <v>5.4242811969245794</v>
      </c>
      <c r="I495" s="146"/>
      <c r="J495" s="146">
        <v>0.18717929725652047</v>
      </c>
      <c r="K495" s="146">
        <v>0.08</v>
      </c>
      <c r="L495" s="146">
        <v>110.0885924825112</v>
      </c>
      <c r="M495" s="146">
        <v>61.493627953446321</v>
      </c>
      <c r="N495" s="146">
        <v>1.6030932568860745</v>
      </c>
      <c r="O495" s="146"/>
      <c r="P495" s="146"/>
      <c r="Q495" s="146"/>
      <c r="R495" s="146"/>
      <c r="S495" s="146"/>
      <c r="T495" s="146"/>
      <c r="U495" s="146"/>
      <c r="V495" s="146"/>
      <c r="W495" s="146"/>
      <c r="X495" s="146"/>
      <c r="Y495" s="146"/>
      <c r="Z495" s="146">
        <v>0.29554021974284539</v>
      </c>
      <c r="AA495" s="146"/>
      <c r="AB495" s="146"/>
      <c r="AC495" s="146"/>
      <c r="AD495" s="146"/>
      <c r="AE495" s="146"/>
      <c r="AF495" s="146"/>
      <c r="AG495" s="146"/>
      <c r="AH495" s="146"/>
      <c r="AI495" s="146"/>
      <c r="AJ495" s="146"/>
      <c r="AK495" s="146"/>
      <c r="AL495" s="146">
        <v>1089.7304108182925</v>
      </c>
      <c r="AM495" s="146">
        <v>0.24929640732005512</v>
      </c>
      <c r="AN495" s="146">
        <v>0.27683847449301685</v>
      </c>
      <c r="AO495" s="146">
        <v>333.79252088592301</v>
      </c>
      <c r="AP495" s="146">
        <v>288.18378237525542</v>
      </c>
      <c r="AQ495" t="s">
        <v>325</v>
      </c>
      <c r="AR495">
        <f t="shared" si="30"/>
        <v>4.8813386259591285</v>
      </c>
      <c r="AS495">
        <f t="shared" si="31"/>
        <v>1.3321822791215501</v>
      </c>
      <c r="AT495">
        <v>0.1</v>
      </c>
      <c r="AU495">
        <v>1</v>
      </c>
      <c r="AV495">
        <v>0.2</v>
      </c>
      <c r="AW495" s="146">
        <v>3</v>
      </c>
      <c r="AX495">
        <v>0.13107484161348848</v>
      </c>
      <c r="AY495">
        <v>0.08</v>
      </c>
      <c r="AZ495" s="209">
        <v>288.18378237525542</v>
      </c>
      <c r="BA495">
        <v>0.13107484161348848</v>
      </c>
      <c r="BB495" s="249">
        <v>58.778974490092025</v>
      </c>
      <c r="BC495" s="243">
        <v>205.00503229637292</v>
      </c>
      <c r="BD495" s="209">
        <v>109814.81091911269</v>
      </c>
      <c r="BE495" s="243">
        <v>76.091873628057471</v>
      </c>
      <c r="BF495">
        <v>347021.39313563239</v>
      </c>
      <c r="BG495" t="s">
        <v>388</v>
      </c>
      <c r="BH495">
        <v>6.6679281933323014E-6</v>
      </c>
      <c r="BI495">
        <v>2298148.1091911271</v>
      </c>
      <c r="BJ495">
        <f t="shared" si="29"/>
        <v>0.15100044759855472</v>
      </c>
    </row>
    <row r="496" spans="1:62" x14ac:dyDescent="0.3">
      <c r="A496">
        <v>-0.1</v>
      </c>
      <c r="B496" s="146">
        <v>1000</v>
      </c>
      <c r="C496" s="146">
        <v>25</v>
      </c>
      <c r="D496" s="146">
        <v>500</v>
      </c>
      <c r="E496" s="252">
        <v>19.590263383772911</v>
      </c>
      <c r="F496" s="146">
        <v>4.4676191297839285</v>
      </c>
      <c r="G496" s="146">
        <v>22.500820506015017</v>
      </c>
      <c r="H496" s="146">
        <v>5.3561450997255848</v>
      </c>
      <c r="I496" s="146"/>
      <c r="J496" s="146">
        <v>0.18081305286188989</v>
      </c>
      <c r="K496" s="146">
        <v>0.08</v>
      </c>
      <c r="L496" s="146">
        <v>108.61653809551655</v>
      </c>
      <c r="M496" s="146">
        <v>60.67136324136483</v>
      </c>
      <c r="N496" s="146">
        <v>1.6530667498518383</v>
      </c>
      <c r="O496" s="146"/>
      <c r="P496" s="146"/>
      <c r="Q496" s="146"/>
      <c r="R496" s="146"/>
      <c r="S496" s="146"/>
      <c r="T496" s="146"/>
      <c r="U496" s="146"/>
      <c r="V496" s="146"/>
      <c r="W496" s="146"/>
      <c r="X496" s="146"/>
      <c r="Y496" s="146"/>
      <c r="Z496" s="146">
        <v>0.30862994169753377</v>
      </c>
      <c r="AA496" s="146"/>
      <c r="AB496" s="146"/>
      <c r="AC496" s="146"/>
      <c r="AD496" s="146"/>
      <c r="AE496" s="146"/>
      <c r="AF496" s="146"/>
      <c r="AG496" s="146"/>
      <c r="AH496" s="146"/>
      <c r="AI496" s="146"/>
      <c r="AJ496" s="146"/>
      <c r="AK496" s="146"/>
      <c r="AL496" s="146">
        <v>1206.3533313600319</v>
      </c>
      <c r="AM496" s="146">
        <v>0.19855360957124318</v>
      </c>
      <c r="AN496" s="146">
        <v>0.27424869092017562</v>
      </c>
      <c r="AO496" s="146">
        <v>428.56752271800281</v>
      </c>
      <c r="AP496" s="146">
        <v>379.81995643411295</v>
      </c>
      <c r="AQ496" t="s">
        <v>325</v>
      </c>
      <c r="AR496">
        <f t="shared" si="30"/>
        <v>4.8813386259591285</v>
      </c>
      <c r="AS496">
        <f t="shared" si="31"/>
        <v>1.3321822791215501</v>
      </c>
      <c r="AT496">
        <v>0.1</v>
      </c>
      <c r="AU496">
        <v>1</v>
      </c>
      <c r="AV496">
        <v>0.2</v>
      </c>
      <c r="AW496" s="146">
        <v>3</v>
      </c>
      <c r="AX496">
        <v>0.13048319335959183</v>
      </c>
      <c r="AY496">
        <v>0.08</v>
      </c>
      <c r="AZ496" s="209">
        <v>379.81995643411295</v>
      </c>
      <c r="BA496">
        <v>0.13048319335959183</v>
      </c>
      <c r="BB496" s="249">
        <v>53.079704531167565</v>
      </c>
      <c r="BC496" s="243">
        <v>200.66012933243132</v>
      </c>
      <c r="BD496" s="209">
        <v>103975.57735189378</v>
      </c>
      <c r="BE496" s="243">
        <v>70.038893607625653</v>
      </c>
      <c r="BF496">
        <v>362908.9945121666</v>
      </c>
      <c r="BG496" t="s">
        <v>388</v>
      </c>
      <c r="BH496">
        <v>7.2619313603312535E-6</v>
      </c>
      <c r="BI496">
        <v>2239755.7735189376</v>
      </c>
      <c r="BJ496">
        <f t="shared" si="29"/>
        <v>0.1620306101240632</v>
      </c>
    </row>
    <row r="497" spans="1:62" s="146" customFormat="1" x14ac:dyDescent="0.3">
      <c r="A497">
        <v>-0.1</v>
      </c>
      <c r="B497" s="146">
        <v>1000</v>
      </c>
      <c r="C497" s="146">
        <v>25</v>
      </c>
      <c r="D497" s="146">
        <v>600</v>
      </c>
      <c r="E497" s="252">
        <v>20.492626746786634</v>
      </c>
      <c r="F497" s="146">
        <v>3.7879870725851164</v>
      </c>
      <c r="G497" s="146">
        <v>23.044882830228325</v>
      </c>
      <c r="H497" s="146">
        <v>5.3085668967194808</v>
      </c>
      <c r="J497" s="146">
        <v>0.1764276603237</v>
      </c>
      <c r="K497" s="146">
        <v>0.08</v>
      </c>
      <c r="L497" s="146">
        <v>107.59768999215873</v>
      </c>
      <c r="M497" s="146">
        <v>60.102251902976946</v>
      </c>
      <c r="N497" s="146">
        <v>1.6810509161826772</v>
      </c>
      <c r="Z497" s="146">
        <v>0.31666755809774411</v>
      </c>
      <c r="AL497" s="146">
        <v>1314.2714428284264</v>
      </c>
      <c r="AM497" s="146">
        <v>0.16437432554946019</v>
      </c>
      <c r="AN497" s="146">
        <v>0.27228740459966239</v>
      </c>
      <c r="AO497" s="146">
        <v>524.73898388022599</v>
      </c>
      <c r="AP497" s="146">
        <v>473.74598473708767</v>
      </c>
      <c r="AQ497" t="s">
        <v>325</v>
      </c>
      <c r="AR497">
        <f t="shared" si="30"/>
        <v>4.8813386259591285</v>
      </c>
      <c r="AS497">
        <f t="shared" si="31"/>
        <v>1.3321822791215501</v>
      </c>
      <c r="AT497">
        <v>0.1</v>
      </c>
      <c r="AU497">
        <v>1</v>
      </c>
      <c r="AV497">
        <v>0.2</v>
      </c>
      <c r="AW497" s="146">
        <v>3</v>
      </c>
      <c r="AX497">
        <v>0.1304651285827825</v>
      </c>
      <c r="AY497">
        <v>0.08</v>
      </c>
      <c r="AZ497" s="209">
        <v>473.74598473708767</v>
      </c>
      <c r="BA497" s="146">
        <v>0.1304651285827825</v>
      </c>
      <c r="BB497" s="252">
        <v>48.997771477773981</v>
      </c>
      <c r="BC497" s="244">
        <v>197.70370312171534</v>
      </c>
      <c r="BD497" s="229">
        <v>99814.226665637892</v>
      </c>
      <c r="BE497" s="244">
        <v>65.601315737937298</v>
      </c>
      <c r="BF497" s="146">
        <v>372922.26221242564</v>
      </c>
      <c r="BG497" t="s">
        <v>388</v>
      </c>
      <c r="BH497" s="146">
        <v>7.702795176709848E-6</v>
      </c>
      <c r="BI497" s="146">
        <v>2198142.2666563792</v>
      </c>
      <c r="BJ497">
        <f t="shared" si="29"/>
        <v>0.16965337861397034</v>
      </c>
    </row>
    <row r="498" spans="1:62" s="140" customFormat="1" x14ac:dyDescent="0.3">
      <c r="A498">
        <v>-0.1</v>
      </c>
      <c r="B498" s="146">
        <v>1000</v>
      </c>
      <c r="C498" s="146">
        <v>25</v>
      </c>
      <c r="D498" s="146">
        <v>700</v>
      </c>
      <c r="E498" s="252">
        <v>21.176980399797948</v>
      </c>
      <c r="F498" s="146">
        <v>3.2852850154907025</v>
      </c>
      <c r="G498" s="146">
        <v>23.464626490387047</v>
      </c>
      <c r="H498" s="146">
        <v>5.2750568157347928</v>
      </c>
      <c r="I498" s="146"/>
      <c r="J498" s="146">
        <v>0.17314877709576035</v>
      </c>
      <c r="K498" s="146">
        <v>0.08</v>
      </c>
      <c r="L498" s="146">
        <v>106.88238595362515</v>
      </c>
      <c r="M498" s="146">
        <v>59.702695151207507</v>
      </c>
      <c r="N498" s="146">
        <v>1.6962584878976443</v>
      </c>
      <c r="O498" s="146"/>
      <c r="P498" s="146"/>
      <c r="Q498" s="146"/>
      <c r="R498" s="146"/>
      <c r="S498" s="146"/>
      <c r="T498" s="146"/>
      <c r="U498" s="146"/>
      <c r="V498" s="146"/>
      <c r="W498" s="146"/>
      <c r="X498" s="146"/>
      <c r="Y498" s="146"/>
      <c r="Z498" s="146">
        <v>0.32156212665576056</v>
      </c>
      <c r="AA498" s="146"/>
      <c r="AB498" s="146"/>
      <c r="AC498" s="146"/>
      <c r="AD498" s="146"/>
      <c r="AE498" s="146"/>
      <c r="AF498" s="146"/>
      <c r="AG498" s="146"/>
      <c r="AH498" s="146"/>
      <c r="AI498" s="146"/>
      <c r="AJ498" s="146"/>
      <c r="AK498" s="146"/>
      <c r="AL498" s="146">
        <v>1417.1594018738331</v>
      </c>
      <c r="AM498" s="146">
        <v>0.14001011338648894</v>
      </c>
      <c r="AN498" s="146">
        <v>0.27054952217028144</v>
      </c>
      <c r="AO498" s="146">
        <v>621.72604767540724</v>
      </c>
      <c r="AP498" s="146">
        <v>569.03015792501083</v>
      </c>
      <c r="AQ498" t="s">
        <v>325</v>
      </c>
      <c r="AR498">
        <f t="shared" si="30"/>
        <v>4.8813386259591285</v>
      </c>
      <c r="AS498">
        <f t="shared" si="31"/>
        <v>1.3321822791215501</v>
      </c>
      <c r="AT498">
        <v>0.1</v>
      </c>
      <c r="AU498">
        <v>1</v>
      </c>
      <c r="AV498">
        <v>0.2</v>
      </c>
      <c r="AW498" s="146">
        <v>3</v>
      </c>
      <c r="AX498">
        <v>0.13069873716188493</v>
      </c>
      <c r="AY498">
        <v>0.08</v>
      </c>
      <c r="AZ498" s="209">
        <v>569.03015792501083</v>
      </c>
      <c r="BA498" s="140">
        <v>0.13069873716188493</v>
      </c>
      <c r="BB498" s="253">
        <v>45.987578334749806</v>
      </c>
      <c r="BC498" s="245">
        <v>195.65217776558472</v>
      </c>
      <c r="BD498" s="210">
        <v>96825.94248096431</v>
      </c>
      <c r="BE498" s="245">
        <v>62.349255371914985</v>
      </c>
      <c r="BF498" s="140">
        <v>380137.32011775568</v>
      </c>
      <c r="BG498" t="s">
        <v>388</v>
      </c>
      <c r="BH498" s="140">
        <v>8.0403114921343433E-6</v>
      </c>
      <c r="BI498" s="140">
        <v>2168259.4248096431</v>
      </c>
      <c r="BJ498">
        <f t="shared" si="29"/>
        <v>0.17531911346407678</v>
      </c>
    </row>
    <row r="499" spans="1:62" x14ac:dyDescent="0.3">
      <c r="A499">
        <v>-0.1</v>
      </c>
      <c r="B499" s="146">
        <v>1000</v>
      </c>
      <c r="C499" s="146">
        <v>25</v>
      </c>
      <c r="D499" s="146">
        <v>800</v>
      </c>
      <c r="E499" s="252">
        <v>21.702437933837569</v>
      </c>
      <c r="F499" s="146">
        <v>2.8971835808992656</v>
      </c>
      <c r="G499" s="146">
        <v>23.785734254443742</v>
      </c>
      <c r="H499" s="146">
        <v>5.2493826330485991</v>
      </c>
      <c r="I499" s="146"/>
      <c r="J499" s="146">
        <v>0.17055369530032582</v>
      </c>
      <c r="K499" s="146">
        <v>0.08</v>
      </c>
      <c r="L499" s="146">
        <v>106.33658597736634</v>
      </c>
      <c r="M499" s="146">
        <v>59.397820505068395</v>
      </c>
      <c r="N499" s="146">
        <v>1.7044767615033072</v>
      </c>
      <c r="O499" s="146"/>
      <c r="P499" s="146"/>
      <c r="Q499" s="146"/>
      <c r="R499" s="146"/>
      <c r="S499" s="146"/>
      <c r="T499" s="146"/>
      <c r="U499" s="146"/>
      <c r="V499" s="146"/>
      <c r="W499" s="146"/>
      <c r="X499" s="146"/>
      <c r="Y499" s="146"/>
      <c r="Z499" s="146">
        <v>0.32470042301211061</v>
      </c>
      <c r="AA499" s="146"/>
      <c r="AB499" s="146"/>
      <c r="AC499" s="146"/>
      <c r="AD499" s="146"/>
      <c r="AE499" s="146"/>
      <c r="AF499" s="146"/>
      <c r="AG499" s="146"/>
      <c r="AH499" s="146"/>
      <c r="AI499" s="146"/>
      <c r="AJ499" s="146"/>
      <c r="AK499" s="146"/>
      <c r="AL499" s="146">
        <v>1517.6238040262301</v>
      </c>
      <c r="AM499" s="146">
        <v>0.12180341165452997</v>
      </c>
      <c r="AN499" s="146">
        <v>0.26922369871359275</v>
      </c>
      <c r="AO499" s="146">
        <v>719.38882781294376</v>
      </c>
      <c r="AP499" s="146">
        <v>665.38542327457753</v>
      </c>
      <c r="AQ499" t="s">
        <v>325</v>
      </c>
      <c r="AR499">
        <f t="shared" si="30"/>
        <v>4.8813386259591285</v>
      </c>
      <c r="AS499">
        <f t="shared" si="31"/>
        <v>1.3321822791215501</v>
      </c>
      <c r="AT499">
        <v>0.1</v>
      </c>
      <c r="AU499">
        <v>1</v>
      </c>
      <c r="AV499">
        <v>0.2</v>
      </c>
      <c r="AW499" s="146">
        <v>3</v>
      </c>
      <c r="AX499">
        <v>0.13105848218310412</v>
      </c>
      <c r="AY499">
        <v>0.08</v>
      </c>
      <c r="AZ499" s="209">
        <v>665.38542327457753</v>
      </c>
      <c r="BA499">
        <v>0.13105848218310412</v>
      </c>
      <c r="BB499" s="249">
        <v>43.656532976030675</v>
      </c>
      <c r="BC499" s="243">
        <v>194.09989015194569</v>
      </c>
      <c r="BD499" s="209">
        <v>94503.036802540664</v>
      </c>
      <c r="BE499" s="243">
        <v>59.781921910669759</v>
      </c>
      <c r="BF499">
        <v>385120.11482378247</v>
      </c>
      <c r="BG499" t="s">
        <v>388</v>
      </c>
      <c r="BH499">
        <v>8.3064960995323309E-6</v>
      </c>
      <c r="BI499">
        <v>2145030.3680254067</v>
      </c>
      <c r="BJ499">
        <f t="shared" si="29"/>
        <v>0.17954063521175329</v>
      </c>
    </row>
    <row r="500" spans="1:62" x14ac:dyDescent="0.3">
      <c r="A500">
        <v>-0.1</v>
      </c>
      <c r="B500" s="146">
        <v>1000</v>
      </c>
      <c r="C500" s="146">
        <v>25</v>
      </c>
      <c r="D500" s="146">
        <v>900</v>
      </c>
      <c r="E500" s="252">
        <v>22.122492397846425</v>
      </c>
      <c r="F500" s="146">
        <v>2.5903103882605838</v>
      </c>
      <c r="G500" s="146">
        <v>24.044323534393438</v>
      </c>
      <c r="H500" s="146">
        <v>5.229643408597803</v>
      </c>
      <c r="I500" s="146"/>
      <c r="J500" s="146">
        <v>0.16842768638921718</v>
      </c>
      <c r="K500" s="146">
        <v>0.08</v>
      </c>
      <c r="L500" s="146">
        <v>105.91763000820603</v>
      </c>
      <c r="M500" s="146">
        <v>59.163798778425715</v>
      </c>
      <c r="N500" s="146">
        <v>1.7079961166288529</v>
      </c>
      <c r="O500" s="146"/>
      <c r="P500" s="146"/>
      <c r="Q500" s="146"/>
      <c r="R500" s="146"/>
      <c r="S500" s="146"/>
      <c r="T500" s="146"/>
      <c r="U500" s="146"/>
      <c r="V500" s="146"/>
      <c r="W500" s="146"/>
      <c r="X500" s="146"/>
      <c r="Y500" s="146"/>
      <c r="Z500" s="146">
        <v>0.32659896348206446</v>
      </c>
      <c r="AA500" s="146"/>
      <c r="AB500" s="146"/>
      <c r="AC500" s="146"/>
      <c r="AD500" s="146"/>
      <c r="AE500" s="146"/>
      <c r="AF500" s="146"/>
      <c r="AG500" s="146"/>
      <c r="AH500" s="146"/>
      <c r="AI500" s="146"/>
      <c r="AJ500" s="146"/>
      <c r="AK500" s="146"/>
      <c r="AL500" s="146">
        <v>1616.4307721682867</v>
      </c>
      <c r="AM500" s="146">
        <v>0.10773064106192701</v>
      </c>
      <c r="AN500" s="146">
        <v>0.26809086981297126</v>
      </c>
      <c r="AO500" s="146">
        <v>817.48136587687679</v>
      </c>
      <c r="AP500" s="146">
        <v>762.43271385386061</v>
      </c>
      <c r="AQ500" t="s">
        <v>325</v>
      </c>
      <c r="AR500">
        <f t="shared" si="30"/>
        <v>4.8813386259591285</v>
      </c>
      <c r="AS500">
        <f t="shared" si="31"/>
        <v>1.3321822791215501</v>
      </c>
      <c r="AT500">
        <v>0.1</v>
      </c>
      <c r="AU500">
        <v>1</v>
      </c>
      <c r="AV500">
        <v>0.2</v>
      </c>
      <c r="AW500" s="146">
        <v>3</v>
      </c>
      <c r="AX500">
        <v>0.13147499201284918</v>
      </c>
      <c r="AY500">
        <v>0.08</v>
      </c>
      <c r="AZ500" s="209">
        <v>762.43271385386061</v>
      </c>
      <c r="BA500">
        <v>0.13147499201284918</v>
      </c>
      <c r="BB500" s="249">
        <v>41.815663156227814</v>
      </c>
      <c r="BC500" s="243">
        <v>192.91592475863729</v>
      </c>
      <c r="BD500" s="209">
        <v>92691.194898838265</v>
      </c>
      <c r="BE500" s="243">
        <v>57.754452208051603</v>
      </c>
      <c r="BF500">
        <v>388920.79172426311</v>
      </c>
      <c r="BG500" t="s">
        <v>388</v>
      </c>
      <c r="BH500">
        <v>8.5211664246646227E-6</v>
      </c>
      <c r="BI500">
        <v>2126911.9489883827</v>
      </c>
      <c r="BJ500">
        <f t="shared" si="29"/>
        <v>0.18285702513883775</v>
      </c>
    </row>
    <row r="501" spans="1:62" x14ac:dyDescent="0.3">
      <c r="A501">
        <v>-0.1</v>
      </c>
      <c r="B501" s="146">
        <v>1000</v>
      </c>
      <c r="C501" s="146">
        <v>25</v>
      </c>
      <c r="D501" s="146">
        <v>1000</v>
      </c>
      <c r="E501" s="252">
        <v>22.464187097858307</v>
      </c>
      <c r="F501" s="146">
        <v>2.3416149193853966</v>
      </c>
      <c r="G501" s="146">
        <v>24.255199200709164</v>
      </c>
      <c r="H501" s="146">
        <v>5.2139191490230559</v>
      </c>
      <c r="I501" s="146"/>
      <c r="J501" s="146">
        <v>0.1666439469520265</v>
      </c>
      <c r="K501" s="146">
        <v>0.08</v>
      </c>
      <c r="L501" s="146">
        <v>105.58440424660159</v>
      </c>
      <c r="M501" s="146">
        <v>58.977664497420513</v>
      </c>
      <c r="N501" s="146">
        <v>1.7084679113931118</v>
      </c>
      <c r="O501" s="146"/>
      <c r="P501" s="146"/>
      <c r="Q501" s="146"/>
      <c r="R501" s="146"/>
      <c r="S501" s="146"/>
      <c r="T501" s="146"/>
      <c r="U501" s="146"/>
      <c r="V501" s="146"/>
      <c r="W501" s="146"/>
      <c r="X501" s="146"/>
      <c r="Y501" s="146"/>
      <c r="Z501" s="146">
        <v>0.32767441583999846</v>
      </c>
      <c r="AA501" s="146"/>
      <c r="AB501" s="146"/>
      <c r="AC501" s="146"/>
      <c r="AD501" s="146"/>
      <c r="AE501" s="146"/>
      <c r="AF501" s="146"/>
      <c r="AG501" s="146"/>
      <c r="AH501" s="146"/>
      <c r="AI501" s="146"/>
      <c r="AJ501" s="146"/>
      <c r="AK501" s="146"/>
      <c r="AL501" s="146">
        <v>1714.2446471862322</v>
      </c>
      <c r="AM501" s="146">
        <v>9.654074163682537E-2</v>
      </c>
      <c r="AN501" s="146">
        <v>0.26714389662995663</v>
      </c>
      <c r="AO501" s="146">
        <v>915.9097872672894</v>
      </c>
      <c r="AP501" s="146">
        <v>860.01069148967554</v>
      </c>
      <c r="AQ501" t="s">
        <v>325</v>
      </c>
      <c r="AR501">
        <f t="shared" si="30"/>
        <v>4.8813386259591285</v>
      </c>
      <c r="AS501">
        <f t="shared" si="31"/>
        <v>1.3321822791215501</v>
      </c>
      <c r="AT501">
        <v>0.1</v>
      </c>
      <c r="AU501">
        <v>1</v>
      </c>
      <c r="AV501">
        <v>0.2</v>
      </c>
      <c r="AW501" s="146">
        <v>3</v>
      </c>
      <c r="AX501">
        <v>0.13191844039260911</v>
      </c>
      <c r="AY501">
        <v>0.08</v>
      </c>
      <c r="AZ501" s="209">
        <v>860.01069148967554</v>
      </c>
      <c r="BA501">
        <v>0.13191844039260911</v>
      </c>
      <c r="BB501" s="249">
        <v>40.323674792800823</v>
      </c>
      <c r="BC501" s="243">
        <v>191.97887122727272</v>
      </c>
      <c r="BD501" s="209">
        <v>91230.134922275902</v>
      </c>
      <c r="BE501" s="243">
        <v>56.102986035989986</v>
      </c>
      <c r="BF501">
        <v>391845.20432715327</v>
      </c>
      <c r="BG501" t="s">
        <v>388</v>
      </c>
      <c r="BH501">
        <v>8.6977723651674165E-6</v>
      </c>
      <c r="BI501">
        <v>2112301.3492227588</v>
      </c>
      <c r="BJ501">
        <f t="shared" si="29"/>
        <v>0.18550629836568366</v>
      </c>
    </row>
    <row r="502" spans="1:62" s="140" customFormat="1" x14ac:dyDescent="0.3">
      <c r="A502" s="140">
        <v>-0.1</v>
      </c>
      <c r="B502" s="140">
        <v>1000</v>
      </c>
      <c r="C502" s="140">
        <v>25</v>
      </c>
      <c r="D502" s="140">
        <v>1100</v>
      </c>
      <c r="E502" s="253">
        <v>22.74840409503388</v>
      </c>
      <c r="F502" s="140">
        <v>2.1362945925498886</v>
      </c>
      <c r="G502" s="140">
        <v>24.43146788196951</v>
      </c>
      <c r="H502" s="140">
        <v>5.2012069509751306</v>
      </c>
      <c r="J502" s="140">
        <v>0.16511736604442762</v>
      </c>
      <c r="K502" s="140">
        <v>0.08</v>
      </c>
      <c r="L502" s="140">
        <v>105.31523271983818</v>
      </c>
      <c r="M502" s="140">
        <v>58.82730982988236</v>
      </c>
      <c r="N502" s="140">
        <v>1.7068757928277023</v>
      </c>
      <c r="Z502" s="140">
        <v>0.32816917475427398</v>
      </c>
      <c r="AL502" s="140">
        <v>1811.414477151448</v>
      </c>
      <c r="AM502" s="140">
        <v>8.7440288191872412E-2</v>
      </c>
      <c r="AN502" s="140">
        <v>0.26632177749103192</v>
      </c>
      <c r="AO502" s="140">
        <v>1014.5830119138495</v>
      </c>
      <c r="AP502" s="140">
        <v>957.97658073759726</v>
      </c>
      <c r="AQ502" t="s">
        <v>325</v>
      </c>
      <c r="AR502">
        <f t="shared" si="30"/>
        <v>4.8813386259591285</v>
      </c>
      <c r="AS502">
        <f t="shared" si="31"/>
        <v>1.3321822791215501</v>
      </c>
      <c r="AT502">
        <v>0.1</v>
      </c>
      <c r="AU502" s="140">
        <v>1</v>
      </c>
      <c r="AV502">
        <v>0.2</v>
      </c>
      <c r="AW502" s="140">
        <v>3</v>
      </c>
      <c r="AX502">
        <v>0.13236816037887264</v>
      </c>
      <c r="AY502">
        <v>0.08</v>
      </c>
      <c r="AZ502" s="209">
        <v>957.97658073759726</v>
      </c>
      <c r="BA502" s="140">
        <v>0.13236816037887264</v>
      </c>
      <c r="BB502" s="253">
        <v>39.093179898320315</v>
      </c>
      <c r="BC502" s="245">
        <v>191.22491594948639</v>
      </c>
      <c r="BD502" s="210">
        <v>90035.763626905726</v>
      </c>
      <c r="BE502" s="245">
        <v>54.741680314787573</v>
      </c>
      <c r="BF502" s="140">
        <v>394200.19227832905</v>
      </c>
      <c r="BG502" t="s">
        <v>388</v>
      </c>
      <c r="BH502" s="140">
        <v>8.8454683980782152E-6</v>
      </c>
      <c r="BI502" s="140">
        <v>2100357.6362690572</v>
      </c>
      <c r="BJ502">
        <f t="shared" si="29"/>
        <v>0.18768241439994068</v>
      </c>
    </row>
    <row r="503" spans="1:62" x14ac:dyDescent="0.3">
      <c r="A503">
        <v>-0.1</v>
      </c>
      <c r="B503" s="146">
        <v>1000</v>
      </c>
      <c r="C503" s="146">
        <v>25</v>
      </c>
      <c r="D503" s="146">
        <v>400</v>
      </c>
      <c r="E503" s="252">
        <v>18.326527137497578</v>
      </c>
      <c r="F503" s="146">
        <v>5.4188702302261111</v>
      </c>
      <c r="G503" s="146">
        <v>21.738577961349691</v>
      </c>
      <c r="H503" s="146">
        <v>5.4239206005189713</v>
      </c>
      <c r="I503" s="146"/>
      <c r="J503" s="146">
        <v>0.1871623192596541</v>
      </c>
      <c r="K503" s="146">
        <v>0.08</v>
      </c>
      <c r="L503" s="146">
        <v>110.08131694392641</v>
      </c>
      <c r="M503" s="146">
        <v>61.489563960503851</v>
      </c>
      <c r="N503" s="146">
        <v>1.6034344427228024</v>
      </c>
      <c r="O503" s="146"/>
      <c r="P503" s="146"/>
      <c r="Q503" s="146"/>
      <c r="R503" s="146"/>
      <c r="S503" s="146"/>
      <c r="T503" s="146"/>
      <c r="U503" s="146"/>
      <c r="V503" s="146"/>
      <c r="W503" s="146"/>
      <c r="X503" s="146"/>
      <c r="Y503" s="146"/>
      <c r="Z503" s="146">
        <v>0.29562277194274983</v>
      </c>
      <c r="AA503" s="146"/>
      <c r="AB503" s="146"/>
      <c r="AC503" s="146"/>
      <c r="AD503" s="146"/>
      <c r="AE503" s="146"/>
      <c r="AF503" s="146"/>
      <c r="AG503" s="146"/>
      <c r="AH503" s="146"/>
      <c r="AI503" s="146"/>
      <c r="AJ503" s="146"/>
      <c r="AK503" s="146"/>
      <c r="AL503" s="146">
        <v>1089.9257502240077</v>
      </c>
      <c r="AM503" s="146">
        <v>0.24927436559376803</v>
      </c>
      <c r="AN503" s="146">
        <v>0.2768837253518377</v>
      </c>
      <c r="AO503" s="146">
        <v>333.81146864370612</v>
      </c>
      <c r="AP503" s="146">
        <v>288.20852886260741</v>
      </c>
      <c r="AQ503" t="s">
        <v>325</v>
      </c>
      <c r="AR503">
        <f t="shared" si="30"/>
        <v>4.8813386259591285</v>
      </c>
      <c r="AS503">
        <f t="shared" si="31"/>
        <v>1.3321822791215501</v>
      </c>
      <c r="AT503">
        <v>0.1</v>
      </c>
      <c r="AU503">
        <v>1</v>
      </c>
      <c r="AV503">
        <v>0.2</v>
      </c>
      <c r="AW503" s="146">
        <v>3</v>
      </c>
      <c r="AX503">
        <v>0.13107041543964706</v>
      </c>
      <c r="AY503">
        <v>0.08</v>
      </c>
      <c r="AZ503" s="209">
        <v>288.20852886260741</v>
      </c>
      <c r="BA503">
        <v>0.13107041543964706</v>
      </c>
      <c r="BB503" s="249">
        <v>58.767857170153931</v>
      </c>
      <c r="BC503" s="243">
        <v>204.98333955330776</v>
      </c>
      <c r="BD503" s="209">
        <v>109786.42894008307</v>
      </c>
      <c r="BE503" s="243">
        <v>76.062943942314419</v>
      </c>
      <c r="BF503">
        <v>346911.84005936241</v>
      </c>
      <c r="BG503" t="s">
        <v>389</v>
      </c>
      <c r="BH503">
        <v>6.668118153039037E-6</v>
      </c>
      <c r="BI503">
        <v>2297864.2894008309</v>
      </c>
      <c r="BJ503">
        <f t="shared" si="29"/>
        <v>0.15097142231572772</v>
      </c>
    </row>
    <row r="504" spans="1:62" x14ac:dyDescent="0.3">
      <c r="A504">
        <v>-0.1</v>
      </c>
      <c r="B504" s="146">
        <v>1000</v>
      </c>
      <c r="C504" s="146">
        <v>25</v>
      </c>
      <c r="D504" s="146">
        <v>400</v>
      </c>
      <c r="E504" s="252">
        <v>17.690849746086748</v>
      </c>
      <c r="F504" s="146">
        <v>5.1692497957403383</v>
      </c>
      <c r="G504" s="146">
        <v>20.940070146652342</v>
      </c>
      <c r="H504" s="146">
        <v>5.2283725820220335</v>
      </c>
      <c r="I504" s="146"/>
      <c r="J504" s="146">
        <v>0.18905308120424683</v>
      </c>
      <c r="K504" s="146">
        <v>0.08</v>
      </c>
      <c r="L504" s="146">
        <v>106.1480106547707</v>
      </c>
      <c r="M504" s="146">
        <v>59.292485515607609</v>
      </c>
      <c r="N504" s="146">
        <v>1.5433672931485338</v>
      </c>
      <c r="O504" s="146"/>
      <c r="P504" s="146"/>
      <c r="Q504" s="146"/>
      <c r="R504" s="146"/>
      <c r="S504" s="146"/>
      <c r="T504" s="146"/>
      <c r="U504" s="146"/>
      <c r="V504" s="146"/>
      <c r="W504" s="146"/>
      <c r="X504" s="146"/>
      <c r="Y504" s="146"/>
      <c r="Z504" s="146">
        <v>0.29519076327028865</v>
      </c>
      <c r="AA504" s="146"/>
      <c r="AB504" s="146"/>
      <c r="AC504" s="146"/>
      <c r="AD504" s="146"/>
      <c r="AE504" s="146"/>
      <c r="AF504" s="146"/>
      <c r="AG504" s="146"/>
      <c r="AH504" s="146"/>
      <c r="AI504" s="146"/>
      <c r="AJ504" s="146"/>
      <c r="AK504" s="146"/>
      <c r="AL504" s="146">
        <v>1064.0975982735727</v>
      </c>
      <c r="AM504" s="146">
        <v>0.24685923970348966</v>
      </c>
      <c r="AN504" s="146">
        <v>0.27831168885949892</v>
      </c>
      <c r="AO504" s="146">
        <v>336.43511769634051</v>
      </c>
      <c r="AP504" s="146">
        <v>292.41395169930661</v>
      </c>
      <c r="AQ504" t="s">
        <v>325</v>
      </c>
      <c r="AR504">
        <f t="shared" si="30"/>
        <v>4.8813386259591285</v>
      </c>
      <c r="AS504">
        <f t="shared" si="31"/>
        <v>1.3321822791215501</v>
      </c>
      <c r="AT504">
        <v>0.1</v>
      </c>
      <c r="AU504">
        <v>1</v>
      </c>
      <c r="AV504">
        <v>0.2</v>
      </c>
      <c r="AW504" s="146">
        <v>2.5</v>
      </c>
      <c r="AX504">
        <v>0.13203080624986732</v>
      </c>
      <c r="AY504">
        <v>0.08</v>
      </c>
      <c r="AZ504" s="209">
        <v>292.41395169930661</v>
      </c>
      <c r="BA504">
        <v>0.13203080624986732</v>
      </c>
      <c r="BB504" s="249">
        <v>56.271080279015422</v>
      </c>
      <c r="BC504" s="243">
        <v>193.56616993577845</v>
      </c>
      <c r="BD504" s="209">
        <v>102663.38076903734</v>
      </c>
      <c r="BE504" s="243">
        <v>72.272031142392009</v>
      </c>
      <c r="BF504">
        <v>394873.80364665436</v>
      </c>
      <c r="BG504" t="s">
        <v>389</v>
      </c>
      <c r="BH504">
        <v>6.4780562561312694E-6</v>
      </c>
      <c r="BI504">
        <v>2226633.8076903736</v>
      </c>
      <c r="BJ504">
        <f t="shared" si="29"/>
        <v>0.17734115159970834</v>
      </c>
    </row>
    <row r="505" spans="1:62" x14ac:dyDescent="0.3">
      <c r="A505">
        <v>-0.1</v>
      </c>
      <c r="B505" s="146">
        <v>1000</v>
      </c>
      <c r="C505" s="146">
        <v>25</v>
      </c>
      <c r="D505" s="146">
        <v>400</v>
      </c>
      <c r="E505" s="252">
        <v>15.38738060211173</v>
      </c>
      <c r="F505" s="146">
        <v>4.3232755711099262</v>
      </c>
      <c r="G505" s="146">
        <v>18.090803000580784</v>
      </c>
      <c r="H505" s="146">
        <v>4.5294753159347234</v>
      </c>
      <c r="I505" s="146"/>
      <c r="J505" s="146">
        <v>0.19608442645457239</v>
      </c>
      <c r="K505" s="146">
        <v>0.08</v>
      </c>
      <c r="L505" s="146">
        <v>92.061880965185907</v>
      </c>
      <c r="M505" s="146">
        <v>51.424211438319112</v>
      </c>
      <c r="N505" s="146">
        <v>1.3345619070572576</v>
      </c>
      <c r="O505" s="146"/>
      <c r="P505" s="146"/>
      <c r="Q505" s="146"/>
      <c r="R505" s="146"/>
      <c r="S505" s="146"/>
      <c r="T505" s="146"/>
      <c r="U505" s="146"/>
      <c r="V505" s="146"/>
      <c r="W505" s="146"/>
      <c r="X505" s="146"/>
      <c r="Y505" s="146"/>
      <c r="Z505" s="146">
        <v>0.29463940389789967</v>
      </c>
      <c r="AA505" s="146"/>
      <c r="AB505" s="146"/>
      <c r="AC505" s="146"/>
      <c r="AD505" s="146"/>
      <c r="AE505" s="146"/>
      <c r="AF505" s="146"/>
      <c r="AG505" s="146"/>
      <c r="AH505" s="146"/>
      <c r="AI505" s="146"/>
      <c r="AJ505" s="146"/>
      <c r="AK505" s="146"/>
      <c r="AL505" s="146">
        <v>974.62016713708567</v>
      </c>
      <c r="AM505" s="146">
        <v>0.2389764329958782</v>
      </c>
      <c r="AN505" s="146">
        <v>0.28300459173664955</v>
      </c>
      <c r="AO505" s="146">
        <v>345.62851257045861</v>
      </c>
      <c r="AP505" s="146">
        <v>307.33921360845733</v>
      </c>
      <c r="AQ505" t="s">
        <v>325</v>
      </c>
      <c r="AR505">
        <f t="shared" si="30"/>
        <v>4.8813386259591285</v>
      </c>
      <c r="AS505">
        <f t="shared" si="31"/>
        <v>1.3321822791215501</v>
      </c>
      <c r="AT505">
        <v>0.1</v>
      </c>
      <c r="AU505">
        <v>1</v>
      </c>
      <c r="AV505">
        <v>0.2</v>
      </c>
      <c r="AW505" s="146">
        <v>1.5</v>
      </c>
      <c r="AX505">
        <v>0.13562862330203482</v>
      </c>
      <c r="AY505">
        <v>0.08</v>
      </c>
      <c r="AZ505" s="209">
        <v>307.33921360845733</v>
      </c>
      <c r="BA505">
        <v>0.13562862330203482</v>
      </c>
      <c r="BB505" s="249">
        <v>47.667706814060502</v>
      </c>
      <c r="BC505" s="243">
        <v>157.02001426822537</v>
      </c>
      <c r="BD505" s="209">
        <v>80091.926358108205</v>
      </c>
      <c r="BE505" s="243">
        <v>59.693830897411395</v>
      </c>
      <c r="BF505">
        <v>515794.62040129153</v>
      </c>
      <c r="BG505" t="s">
        <v>389</v>
      </c>
      <c r="BH505">
        <v>5.8184340152154321E-6</v>
      </c>
      <c r="BI505">
        <v>2000919.263581082</v>
      </c>
      <c r="BJ505">
        <f t="shared" si="29"/>
        <v>0.25777882685689396</v>
      </c>
    </row>
    <row r="506" spans="1:62" x14ac:dyDescent="0.3">
      <c r="A506">
        <v>-0.1</v>
      </c>
      <c r="B506" s="146">
        <v>1000</v>
      </c>
      <c r="C506" s="146">
        <v>25</v>
      </c>
      <c r="D506" s="146">
        <v>400</v>
      </c>
      <c r="E506" s="252">
        <v>13.285582781908976</v>
      </c>
      <c r="F506" s="146">
        <v>3.6203470005635876</v>
      </c>
      <c r="G506" s="146">
        <v>15.54091041735485</v>
      </c>
      <c r="H506" s="146">
        <v>3.8994473417527313</v>
      </c>
      <c r="I506" s="146"/>
      <c r="J506" s="146">
        <v>0.20314796714524941</v>
      </c>
      <c r="K506" s="146">
        <v>0.08</v>
      </c>
      <c r="L506" s="146">
        <v>79.329664545089003</v>
      </c>
      <c r="M506" s="146">
        <v>44.312210440717287</v>
      </c>
      <c r="N506" s="146">
        <v>1.1488454243935928</v>
      </c>
      <c r="O506" s="146"/>
      <c r="P506" s="146"/>
      <c r="Q506" s="146"/>
      <c r="R506" s="146"/>
      <c r="S506" s="146"/>
      <c r="T506" s="146"/>
      <c r="U506" s="146"/>
      <c r="V506" s="146"/>
      <c r="W506" s="146"/>
      <c r="X506" s="146"/>
      <c r="Y506" s="146"/>
      <c r="Z506" s="146">
        <v>0.29461749927804065</v>
      </c>
      <c r="AA506" s="146"/>
      <c r="AB506" s="146"/>
      <c r="AC506" s="146"/>
      <c r="AD506" s="146"/>
      <c r="AE506" s="146"/>
      <c r="AF506" s="146"/>
      <c r="AG506" s="146"/>
      <c r="AH506" s="146"/>
      <c r="AI506" s="146"/>
      <c r="AJ506" s="146"/>
      <c r="AK506" s="146"/>
      <c r="AL506" s="146">
        <v>894.98259896141872</v>
      </c>
      <c r="AM506" s="146">
        <v>0.23295591463680743</v>
      </c>
      <c r="AN506" s="146">
        <v>0.28644547192214936</v>
      </c>
      <c r="AO506" s="146">
        <v>353.61915588067052</v>
      </c>
      <c r="AP506" s="146">
        <v>320.55988676462226</v>
      </c>
      <c r="AQ506" t="s">
        <v>325</v>
      </c>
      <c r="AR506">
        <f t="shared" si="30"/>
        <v>4.8813386259591285</v>
      </c>
      <c r="AS506">
        <f t="shared" si="31"/>
        <v>1.3321822791215501</v>
      </c>
      <c r="AT506">
        <v>0.1</v>
      </c>
      <c r="AU506">
        <v>1</v>
      </c>
      <c r="AV506">
        <v>0.2</v>
      </c>
      <c r="AW506" s="146">
        <v>1</v>
      </c>
      <c r="AX506">
        <v>0.1392922308070853</v>
      </c>
      <c r="AY506">
        <v>0.08</v>
      </c>
      <c r="AZ506" s="209">
        <v>320.55988676462226</v>
      </c>
      <c r="BA506">
        <v>0.1392922308070853</v>
      </c>
      <c r="BB506" s="249">
        <v>40.335516367707157</v>
      </c>
      <c r="BC506" s="243">
        <v>128.5096616849988</v>
      </c>
      <c r="BD506" s="209">
        <v>63007.749084344156</v>
      </c>
      <c r="BE506" s="243">
        <v>49.551992380632718</v>
      </c>
      <c r="BF506">
        <v>583837.02449985442</v>
      </c>
      <c r="BG506" t="s">
        <v>389</v>
      </c>
      <c r="BH506">
        <v>5.1908808373681692E-6</v>
      </c>
      <c r="BI506">
        <v>1830077.4908434416</v>
      </c>
      <c r="BJ506">
        <f t="shared" si="29"/>
        <v>0.31902311646419795</v>
      </c>
    </row>
    <row r="507" spans="1:62" x14ac:dyDescent="0.3">
      <c r="A507">
        <v>-0.1</v>
      </c>
      <c r="B507" s="146">
        <v>1000</v>
      </c>
      <c r="C507" s="146">
        <v>25</v>
      </c>
      <c r="D507" s="146">
        <v>400</v>
      </c>
      <c r="E507" s="252">
        <v>12.127742396177107</v>
      </c>
      <c r="F507" s="146">
        <v>3.2559800722232906</v>
      </c>
      <c r="G507" s="146">
        <v>14.152398272600836</v>
      </c>
      <c r="H507" s="146">
        <v>3.5552646911561823</v>
      </c>
      <c r="I507" s="146"/>
      <c r="J507" s="146">
        <v>0.20737280406201541</v>
      </c>
      <c r="K507" s="146">
        <v>0.08</v>
      </c>
      <c r="L507" s="146">
        <v>72.36180769513436</v>
      </c>
      <c r="M507" s="146">
        <v>40.420083317445631</v>
      </c>
      <c r="N507" s="146">
        <v>1.0483230460280453</v>
      </c>
      <c r="O507" s="146"/>
      <c r="P507" s="146"/>
      <c r="Q507" s="146"/>
      <c r="R507" s="146"/>
      <c r="S507" s="146"/>
      <c r="T507" s="146"/>
      <c r="U507" s="146"/>
      <c r="V507" s="146"/>
      <c r="W507" s="146"/>
      <c r="X507" s="146"/>
      <c r="Y507" s="146"/>
      <c r="Z507" s="146">
        <v>0.29486497830549085</v>
      </c>
      <c r="AA507" s="146"/>
      <c r="AB507" s="146"/>
      <c r="AC507" s="146"/>
      <c r="AD507" s="146"/>
      <c r="AE507" s="146"/>
      <c r="AF507" s="146"/>
      <c r="AG507" s="146"/>
      <c r="AH507" s="146"/>
      <c r="AI507" s="146"/>
      <c r="AJ507" s="146"/>
      <c r="AK507" s="146"/>
      <c r="AL507" s="146">
        <v>851.89171953617176</v>
      </c>
      <c r="AM507" s="146">
        <v>0.23006560510149687</v>
      </c>
      <c r="AN507" s="146">
        <v>0.28812722705369914</v>
      </c>
      <c r="AO507" s="146">
        <v>357.90837776703131</v>
      </c>
      <c r="AP507" s="146">
        <v>327.7301965221493</v>
      </c>
      <c r="AQ507" t="s">
        <v>325</v>
      </c>
      <c r="AR507">
        <f t="shared" si="30"/>
        <v>4.8813386259591285</v>
      </c>
      <c r="AS507">
        <f t="shared" si="31"/>
        <v>1.3321822791215501</v>
      </c>
      <c r="AT507">
        <v>0.1</v>
      </c>
      <c r="AU507">
        <v>1</v>
      </c>
      <c r="AV507">
        <v>0.2</v>
      </c>
      <c r="AW507" s="146">
        <v>0.8</v>
      </c>
      <c r="AX507">
        <v>0.1415481782187322</v>
      </c>
      <c r="AY507">
        <v>0.08</v>
      </c>
      <c r="AZ507" s="209">
        <v>327.7301965221493</v>
      </c>
      <c r="BA507">
        <v>0.1415481782187322</v>
      </c>
      <c r="BB507" s="249">
        <v>36.467101750950178</v>
      </c>
      <c r="BC507" s="243">
        <v>114.2966558300713</v>
      </c>
      <c r="BD507" s="209">
        <v>54728.857060945513</v>
      </c>
      <c r="BE507" s="243">
        <v>44.369680294762055</v>
      </c>
      <c r="BF507">
        <v>609500.97478686087</v>
      </c>
      <c r="BG507" t="s">
        <v>389</v>
      </c>
      <c r="BH507">
        <v>4.8251871793464172E-6</v>
      </c>
      <c r="BI507">
        <v>1747288.570609455</v>
      </c>
      <c r="BJ507">
        <f t="shared" si="29"/>
        <v>0.34882673934865072</v>
      </c>
    </row>
    <row r="508" spans="1:62" x14ac:dyDescent="0.3">
      <c r="A508">
        <v>-0.1</v>
      </c>
      <c r="B508" s="146">
        <v>1000</v>
      </c>
      <c r="C508" s="146">
        <v>25</v>
      </c>
      <c r="D508" s="146">
        <v>400</v>
      </c>
      <c r="E508" s="252">
        <v>10.698408620701581</v>
      </c>
      <c r="F508" s="146">
        <v>2.825712331823599</v>
      </c>
      <c r="G508" s="146">
        <v>12.451803456608941</v>
      </c>
      <c r="H508" s="146">
        <v>3.1322226352032327</v>
      </c>
      <c r="I508" s="146"/>
      <c r="J508" s="146">
        <v>0.21308759647345796</v>
      </c>
      <c r="K508" s="146">
        <v>0.08</v>
      </c>
      <c r="L508" s="146">
        <v>63.786625576990268</v>
      </c>
      <c r="M508" s="146">
        <v>35.630131453087209</v>
      </c>
      <c r="N508" s="146">
        <v>0.92454128152232506</v>
      </c>
      <c r="O508" s="146"/>
      <c r="P508" s="146"/>
      <c r="Q508" s="146"/>
      <c r="R508" s="146"/>
      <c r="S508" s="146"/>
      <c r="T508" s="146"/>
      <c r="U508" s="146"/>
      <c r="V508" s="146"/>
      <c r="W508" s="146"/>
      <c r="X508" s="146"/>
      <c r="Y508" s="146"/>
      <c r="Z508" s="146">
        <v>0.2951709981057386</v>
      </c>
      <c r="AA508" s="146"/>
      <c r="AB508" s="146"/>
      <c r="AC508" s="146"/>
      <c r="AD508" s="146"/>
      <c r="AE508" s="146"/>
      <c r="AF508" s="146"/>
      <c r="AG508" s="146"/>
      <c r="AH508" s="146"/>
      <c r="AI508" s="146"/>
      <c r="AJ508" s="146"/>
      <c r="AK508" s="146"/>
      <c r="AL508" s="146">
        <v>798.75291910050714</v>
      </c>
      <c r="AM508" s="146">
        <v>0.22693197348242908</v>
      </c>
      <c r="AN508" s="146">
        <v>0.28995913117565553</v>
      </c>
      <c r="AO508" s="146">
        <v>363.10373611162277</v>
      </c>
      <c r="AP508" s="146">
        <v>336.48227833934465</v>
      </c>
      <c r="AQ508" t="s">
        <v>325</v>
      </c>
      <c r="AR508">
        <f t="shared" si="30"/>
        <v>4.8813386259591285</v>
      </c>
      <c r="AS508">
        <f t="shared" si="31"/>
        <v>1.3321822791215501</v>
      </c>
      <c r="AT508">
        <v>0.1</v>
      </c>
      <c r="AU508">
        <v>1</v>
      </c>
      <c r="AV508">
        <v>0.2</v>
      </c>
      <c r="AW508" s="146">
        <v>0.6</v>
      </c>
      <c r="AX508">
        <v>0.14470575158821153</v>
      </c>
      <c r="AY508">
        <v>0.08</v>
      </c>
      <c r="AZ508" s="209">
        <v>336.48227833934465</v>
      </c>
      <c r="BA508">
        <v>0.14470575158821153</v>
      </c>
      <c r="BB508" s="249">
        <v>31.836355380395617</v>
      </c>
      <c r="BC508" s="243">
        <v>97.903143900192674</v>
      </c>
      <c r="BD508" s="209">
        <v>45450.704309603578</v>
      </c>
      <c r="BE508" s="243">
        <v>38.312324098031262</v>
      </c>
      <c r="BF508">
        <v>632635.72725831822</v>
      </c>
      <c r="BG508" t="s">
        <v>389</v>
      </c>
      <c r="BH508">
        <v>4.348547974132767E-6</v>
      </c>
      <c r="BI508">
        <v>1654507.0430960357</v>
      </c>
      <c r="BJ508">
        <f t="shared" si="29"/>
        <v>0.3823711297562587</v>
      </c>
    </row>
    <row r="509" spans="1:62" x14ac:dyDescent="0.3">
      <c r="A509">
        <v>-0.1</v>
      </c>
      <c r="B509" s="146">
        <v>1000</v>
      </c>
      <c r="C509" s="146">
        <v>25</v>
      </c>
      <c r="D509" s="146">
        <v>400</v>
      </c>
      <c r="E509" s="252">
        <v>8.8564777679042397</v>
      </c>
      <c r="F509" s="146">
        <v>2.2982590752486893</v>
      </c>
      <c r="G509" s="146">
        <v>10.278811886036836</v>
      </c>
      <c r="H509" s="146">
        <v>2.5877796431001268</v>
      </c>
      <c r="I509" s="146"/>
      <c r="J509" s="146">
        <v>0.22083401866111665</v>
      </c>
      <c r="K509" s="146">
        <v>0.08</v>
      </c>
      <c r="L509" s="146">
        <v>52.734439894690411</v>
      </c>
      <c r="M509" s="146">
        <v>29.456567243628157</v>
      </c>
      <c r="N509" s="146">
        <v>0.76870292348502378</v>
      </c>
      <c r="O509" s="146"/>
      <c r="P509" s="146"/>
      <c r="Q509" s="146"/>
      <c r="R509" s="146"/>
      <c r="S509" s="146"/>
      <c r="T509" s="146"/>
      <c r="U509" s="146"/>
      <c r="V509" s="146"/>
      <c r="W509" s="146"/>
      <c r="X509" s="146"/>
      <c r="Y509" s="146"/>
      <c r="Z509" s="146">
        <v>0.29705115176040553</v>
      </c>
      <c r="AA509" s="146"/>
      <c r="AB509" s="146"/>
      <c r="AC509" s="146"/>
      <c r="AD509" s="146"/>
      <c r="AE509" s="146"/>
      <c r="AF509" s="146"/>
      <c r="AG509" s="146"/>
      <c r="AH509" s="146"/>
      <c r="AI509" s="146"/>
      <c r="AJ509" s="146"/>
      <c r="AK509" s="146"/>
      <c r="AL509" s="146">
        <v>731.95561304371358</v>
      </c>
      <c r="AM509" s="146">
        <v>0.22359189960181483</v>
      </c>
      <c r="AN509" s="146">
        <v>0.29173678966423588</v>
      </c>
      <c r="AO509" s="146">
        <v>369.64223203354885</v>
      </c>
      <c r="AP509" s="146">
        <v>347.604151301201</v>
      </c>
      <c r="AQ509" t="s">
        <v>325</v>
      </c>
      <c r="AR509">
        <f t="shared" si="30"/>
        <v>4.8813386259591285</v>
      </c>
      <c r="AS509">
        <f t="shared" si="31"/>
        <v>1.3321822791215501</v>
      </c>
      <c r="AT509">
        <v>0.1</v>
      </c>
      <c r="AU509">
        <v>1</v>
      </c>
      <c r="AV509">
        <v>0.2</v>
      </c>
      <c r="AW509" s="146">
        <v>0.4</v>
      </c>
      <c r="AX509">
        <v>0.14933816032496297</v>
      </c>
      <c r="AY509">
        <v>0.08</v>
      </c>
      <c r="AZ509" s="209">
        <v>347.604151301201</v>
      </c>
      <c r="BA509">
        <v>0.14933816032496297</v>
      </c>
      <c r="BB509" s="249">
        <v>26.068973921099342</v>
      </c>
      <c r="BC509" s="243">
        <v>78.269740843456844</v>
      </c>
      <c r="BD509" s="209">
        <v>34840.228454871823</v>
      </c>
      <c r="BE509" s="243">
        <v>31.01209135984374</v>
      </c>
      <c r="BF509">
        <v>649313.43218162155</v>
      </c>
      <c r="BG509" t="s">
        <v>389</v>
      </c>
      <c r="BH509">
        <v>3.6919796440331235E-6</v>
      </c>
      <c r="BI509">
        <v>1548402.2845487182</v>
      </c>
      <c r="BJ509">
        <f t="shared" si="29"/>
        <v>0.41934414503325529</v>
      </c>
    </row>
    <row r="510" spans="1:62" x14ac:dyDescent="0.3">
      <c r="A510">
        <v>-0.1</v>
      </c>
      <c r="B510" s="146">
        <v>1000</v>
      </c>
      <c r="C510" s="146">
        <v>25</v>
      </c>
      <c r="D510" s="146">
        <v>400</v>
      </c>
      <c r="E510" s="252">
        <v>7.6963333824558982</v>
      </c>
      <c r="F510" s="146">
        <v>1.9786669808512183</v>
      </c>
      <c r="G510" s="146">
        <v>8.918717370406176</v>
      </c>
      <c r="H510" s="146">
        <v>2.2393696797253759</v>
      </c>
      <c r="I510" s="146"/>
      <c r="J510" s="146">
        <v>0.22409170584026578</v>
      </c>
      <c r="K510" s="146">
        <v>0.08</v>
      </c>
      <c r="L510" s="146">
        <v>45.653023939296332</v>
      </c>
      <c r="M510" s="146">
        <v>25.50100792249523</v>
      </c>
      <c r="N510" s="146">
        <v>0.68020348441051892</v>
      </c>
      <c r="O510" s="146"/>
      <c r="P510" s="146"/>
      <c r="Q510" s="146"/>
      <c r="R510" s="146"/>
      <c r="S510" s="146"/>
      <c r="T510" s="146"/>
      <c r="U510" s="146"/>
      <c r="V510" s="146"/>
      <c r="W510" s="146"/>
      <c r="X510" s="146"/>
      <c r="Y510" s="146"/>
      <c r="Z510" s="146">
        <v>0.30374774230842289</v>
      </c>
      <c r="AA510" s="146"/>
      <c r="AB510" s="146"/>
      <c r="AC510" s="146"/>
      <c r="AD510" s="146"/>
      <c r="AE510" s="146"/>
      <c r="AF510" s="146"/>
      <c r="AG510" s="146"/>
      <c r="AH510" s="146"/>
      <c r="AI510" s="146"/>
      <c r="AJ510" s="146"/>
      <c r="AK510" s="146"/>
      <c r="AL510" s="146">
        <v>694.55607445440933</v>
      </c>
      <c r="AM510" s="146">
        <v>0.22185555373878899</v>
      </c>
      <c r="AN510" s="146">
        <v>0.29158914172207279</v>
      </c>
      <c r="AO510" s="146">
        <v>373.60555562184948</v>
      </c>
      <c r="AP510" s="146">
        <v>354.45433224915018</v>
      </c>
      <c r="AQ510" t="s">
        <v>325</v>
      </c>
      <c r="AR510">
        <f t="shared" si="30"/>
        <v>4.8813386259591285</v>
      </c>
      <c r="AS510">
        <f t="shared" si="31"/>
        <v>1.3321822791215501</v>
      </c>
      <c r="AT510">
        <v>0.1</v>
      </c>
      <c r="AU510">
        <v>1</v>
      </c>
      <c r="AV510">
        <v>0.2</v>
      </c>
      <c r="AW510" s="146">
        <v>0.3</v>
      </c>
      <c r="AX510">
        <v>0.15178040859374706</v>
      </c>
      <c r="AY510">
        <v>0.08</v>
      </c>
      <c r="AZ510" s="209">
        <v>354.45433224915018</v>
      </c>
      <c r="BA510">
        <v>0.15178040859374706</v>
      </c>
      <c r="BB510" s="249">
        <v>22.531212445210031</v>
      </c>
      <c r="BC510" s="243">
        <v>66.436323827404095</v>
      </c>
      <c r="BD510" s="209">
        <v>28855.681008823081</v>
      </c>
      <c r="BE510" s="243">
        <v>26.78387518246365</v>
      </c>
      <c r="BF510">
        <v>653641.18616180657</v>
      </c>
      <c r="BG510" t="s">
        <v>389</v>
      </c>
      <c r="BH510">
        <v>3.2503350492589151E-6</v>
      </c>
      <c r="BI510">
        <v>1488556.8100882308</v>
      </c>
      <c r="BJ510">
        <f t="shared" si="29"/>
        <v>0.43911067534134857</v>
      </c>
    </row>
    <row r="511" spans="1:62" x14ac:dyDescent="0.3">
      <c r="A511">
        <v>-0.1</v>
      </c>
      <c r="B511" s="146">
        <v>1000</v>
      </c>
      <c r="C511" s="146">
        <v>25</v>
      </c>
      <c r="D511" s="146">
        <v>400</v>
      </c>
      <c r="E511" s="252">
        <v>6.235479814321188</v>
      </c>
      <c r="F511" s="146">
        <v>1.5881694504962272</v>
      </c>
      <c r="G511" s="146">
        <v>7.2145461883516333</v>
      </c>
      <c r="H511" s="146">
        <v>1.8085036261394016</v>
      </c>
      <c r="I511" s="146"/>
      <c r="J511" s="146">
        <v>0.22966640048636816</v>
      </c>
      <c r="K511" s="146">
        <v>0.08</v>
      </c>
      <c r="L511" s="146">
        <v>36.886722057478174</v>
      </c>
      <c r="M511" s="146">
        <v>20.60429978687473</v>
      </c>
      <c r="N511" s="146">
        <v>0.56333349536674193</v>
      </c>
      <c r="O511" s="146"/>
      <c r="P511" s="146"/>
      <c r="Q511" s="146"/>
      <c r="R511" s="146"/>
      <c r="S511" s="146"/>
      <c r="T511" s="146"/>
      <c r="U511" s="146"/>
      <c r="V511" s="146"/>
      <c r="W511" s="146"/>
      <c r="X511" s="146"/>
      <c r="Y511" s="146"/>
      <c r="Z511" s="146">
        <v>0.3114914934228169</v>
      </c>
      <c r="AA511" s="146"/>
      <c r="AB511" s="146"/>
      <c r="AC511" s="146"/>
      <c r="AD511" s="146"/>
      <c r="AE511" s="146"/>
      <c r="AF511" s="146"/>
      <c r="AG511" s="146"/>
      <c r="AH511" s="146"/>
      <c r="AI511" s="146"/>
      <c r="AJ511" s="146"/>
      <c r="AK511" s="146"/>
      <c r="AL511" s="146">
        <v>644.78986849329135</v>
      </c>
      <c r="AM511" s="146">
        <v>0.22013435204842582</v>
      </c>
      <c r="AN511" s="146">
        <v>0.29191254543359835</v>
      </c>
      <c r="AO511" s="146">
        <v>378.63921947904231</v>
      </c>
      <c r="AP511" s="146">
        <v>363.12312080992029</v>
      </c>
      <c r="AQ511" t="s">
        <v>325</v>
      </c>
      <c r="AR511">
        <f t="shared" si="30"/>
        <v>4.8813386259591285</v>
      </c>
      <c r="AS511">
        <f t="shared" si="31"/>
        <v>1.3321822791215501</v>
      </c>
      <c r="AT511">
        <v>0.1</v>
      </c>
      <c r="AU511">
        <v>1</v>
      </c>
      <c r="AV511">
        <v>0.2</v>
      </c>
      <c r="AW511" s="146">
        <v>0.2</v>
      </c>
      <c r="AX511">
        <v>0.15630942912252996</v>
      </c>
      <c r="AY511">
        <v>0.08</v>
      </c>
      <c r="AZ511" s="209">
        <v>363.12312080992029</v>
      </c>
      <c r="BA511">
        <v>0.15630942912252996</v>
      </c>
      <c r="BB511" s="249">
        <v>18.159408037956773</v>
      </c>
      <c r="BC511" s="243">
        <v>52.473207836065328</v>
      </c>
      <c r="BD511" s="209">
        <v>22013.786466482557</v>
      </c>
      <c r="BE511" s="243">
        <v>21.519451676867405</v>
      </c>
      <c r="BF511">
        <v>643545.94679264014</v>
      </c>
      <c r="BG511" t="s">
        <v>389</v>
      </c>
      <c r="BH511">
        <v>2.6760018078025957E-6</v>
      </c>
      <c r="BI511">
        <v>1420137.8646648256</v>
      </c>
      <c r="BJ511">
        <f t="shared" si="29"/>
        <v>0.4531573749317126</v>
      </c>
    </row>
    <row r="512" spans="1:62" s="140" customFormat="1" x14ac:dyDescent="0.3">
      <c r="A512" s="140">
        <v>-0.1</v>
      </c>
      <c r="B512" s="140">
        <v>1000</v>
      </c>
      <c r="C512" s="140">
        <v>25</v>
      </c>
      <c r="D512" s="140">
        <v>400</v>
      </c>
      <c r="E512" s="253">
        <v>4.2723095787223997</v>
      </c>
      <c r="F512" s="140">
        <v>1.0801081023887902</v>
      </c>
      <c r="G512" s="140">
        <v>4.9362441416544574</v>
      </c>
      <c r="H512" s="140">
        <v>1.2356026762406382</v>
      </c>
      <c r="J512" s="140">
        <v>0.23824949826383868</v>
      </c>
      <c r="K512" s="140">
        <v>0.08</v>
      </c>
      <c r="L512" s="140">
        <v>25.216652982401801</v>
      </c>
      <c r="M512" s="140">
        <v>14.085596352567766</v>
      </c>
      <c r="N512" s="140">
        <v>0.40312365403291661</v>
      </c>
      <c r="Z512" s="140">
        <v>0.32625670191928813</v>
      </c>
      <c r="AL512" s="140">
        <v>576.319535729942</v>
      </c>
      <c r="AM512" s="140">
        <v>0.21881172636383733</v>
      </c>
      <c r="AN512" s="140">
        <v>0.29239984804998814</v>
      </c>
      <c r="AO512" s="140">
        <v>385.38881053730228</v>
      </c>
      <c r="AP512" s="140">
        <v>374.75770871348391</v>
      </c>
      <c r="AQ512" t="s">
        <v>325</v>
      </c>
      <c r="AR512">
        <f t="shared" si="30"/>
        <v>4.8813386259591285</v>
      </c>
      <c r="AS512">
        <f t="shared" si="31"/>
        <v>1.3321822791215501</v>
      </c>
      <c r="AT512">
        <v>0.1</v>
      </c>
      <c r="AU512" s="140">
        <v>1</v>
      </c>
      <c r="AV512">
        <v>0.2</v>
      </c>
      <c r="AW512" s="140">
        <v>0.1</v>
      </c>
      <c r="AX512">
        <v>0.16538039044415334</v>
      </c>
      <c r="AY512">
        <v>0.08</v>
      </c>
      <c r="AZ512" s="209">
        <v>374.75770871348391</v>
      </c>
      <c r="BA512" s="140">
        <v>0.16538039044415334</v>
      </c>
      <c r="BB512" s="253">
        <v>12.399551488647525</v>
      </c>
      <c r="BC512" s="245">
        <v>34.892177484409729</v>
      </c>
      <c r="BD512" s="210">
        <v>13901.533886393114</v>
      </c>
      <c r="BE512" s="245">
        <v>14.660027210655405</v>
      </c>
      <c r="BF512" s="140">
        <v>610333.76849739044</v>
      </c>
      <c r="BG512" t="s">
        <v>389</v>
      </c>
      <c r="BH512" s="140">
        <v>1.8455479925918251E-6</v>
      </c>
      <c r="BI512" s="140">
        <v>1339015.3388639311</v>
      </c>
      <c r="BJ512">
        <f t="shared" si="29"/>
        <v>0.45580789912027414</v>
      </c>
    </row>
    <row r="513" spans="1:62" x14ac:dyDescent="0.3">
      <c r="A513">
        <v>-0.1</v>
      </c>
      <c r="B513" s="146">
        <v>1000</v>
      </c>
      <c r="C513" s="146">
        <v>25</v>
      </c>
      <c r="D513" s="146">
        <v>400</v>
      </c>
      <c r="E513" s="252">
        <v>18.345213125487312</v>
      </c>
      <c r="F513" s="146">
        <v>5.4290182805575613</v>
      </c>
      <c r="G513" s="146">
        <v>21.763390256583993</v>
      </c>
      <c r="H513" s="146">
        <v>5.4269200716867649</v>
      </c>
      <c r="I513" s="146"/>
      <c r="J513" s="146">
        <v>0.18730347428793392</v>
      </c>
      <c r="K513" s="146">
        <v>0.08</v>
      </c>
      <c r="L513" s="146">
        <v>110.14183255970222</v>
      </c>
      <c r="M513" s="146">
        <v>61.523366961141576</v>
      </c>
      <c r="N513" s="146">
        <v>1.600604577860631</v>
      </c>
      <c r="O513" s="146"/>
      <c r="P513" s="146"/>
      <c r="Q513" s="146"/>
      <c r="R513" s="146"/>
      <c r="S513" s="146"/>
      <c r="T513" s="146"/>
      <c r="U513" s="146"/>
      <c r="V513" s="146"/>
      <c r="W513" s="146"/>
      <c r="X513" s="146"/>
      <c r="Y513" s="146"/>
      <c r="Z513" s="146">
        <v>0.29493793103961086</v>
      </c>
      <c r="AA513" s="146"/>
      <c r="AB513" s="146"/>
      <c r="AC513" s="146"/>
      <c r="AD513" s="146"/>
      <c r="AE513" s="146"/>
      <c r="AF513" s="146"/>
      <c r="AG513" s="146"/>
      <c r="AH513" s="146"/>
      <c r="AI513" s="146"/>
      <c r="AJ513" s="146"/>
      <c r="AK513" s="146"/>
      <c r="AL513" s="146">
        <v>1088.306768781714</v>
      </c>
      <c r="AM513" s="146">
        <v>0.24945645951991058</v>
      </c>
      <c r="AN513" s="146">
        <v>0.27650817301599812</v>
      </c>
      <c r="AO513" s="146">
        <v>333.65399320610351</v>
      </c>
      <c r="AP513" s="146">
        <v>288.00447985139925</v>
      </c>
      <c r="AQ513" t="s">
        <v>325</v>
      </c>
      <c r="AR513">
        <f t="shared" si="30"/>
        <v>4.8813386259591285</v>
      </c>
      <c r="AS513">
        <f t="shared" si="31"/>
        <v>1.3321822791215501</v>
      </c>
      <c r="AT513">
        <v>0.1</v>
      </c>
      <c r="AU513">
        <v>1</v>
      </c>
      <c r="AV513">
        <v>0.2</v>
      </c>
      <c r="AW513" s="146">
        <v>3</v>
      </c>
      <c r="AX513">
        <v>0.13110732524404414</v>
      </c>
      <c r="AY513">
        <v>0.08</v>
      </c>
      <c r="AZ513" s="209">
        <v>288.00447985139925</v>
      </c>
      <c r="BA513">
        <v>0.13110732524404414</v>
      </c>
      <c r="BB513" s="249">
        <v>58.860033320029828</v>
      </c>
      <c r="BC513" s="243">
        <v>205.16383984899102</v>
      </c>
      <c r="BD513" s="209">
        <v>110022.41113707819</v>
      </c>
      <c r="BE513" s="243">
        <v>76.303356478168865</v>
      </c>
      <c r="BF513">
        <v>347822.55485546199</v>
      </c>
      <c r="BG513" t="s">
        <v>390</v>
      </c>
      <c r="BH513">
        <v>6.6665315325179082E-6</v>
      </c>
      <c r="BI513">
        <v>2300224.1113707819</v>
      </c>
      <c r="BJ513">
        <f t="shared" si="29"/>
        <v>0.15121246366215277</v>
      </c>
    </row>
    <row r="514" spans="1:62" s="140" customFormat="1" x14ac:dyDescent="0.3">
      <c r="A514">
        <v>-0.2</v>
      </c>
      <c r="B514" s="146">
        <v>1000</v>
      </c>
      <c r="C514" s="146">
        <v>25</v>
      </c>
      <c r="D514" s="146">
        <v>400</v>
      </c>
      <c r="E514" s="252">
        <v>18.194428477173926</v>
      </c>
      <c r="F514" s="146">
        <v>5.5099969841792538</v>
      </c>
      <c r="G514" s="146">
        <v>21.65425607390344</v>
      </c>
      <c r="H514" s="146">
        <v>5.4296989288437301</v>
      </c>
      <c r="I514" s="146"/>
      <c r="J514" s="146">
        <v>0.18777010555822268</v>
      </c>
      <c r="K514" s="146">
        <v>0.08</v>
      </c>
      <c r="L514" s="146">
        <v>110.20870688943056</v>
      </c>
      <c r="M514" s="146">
        <v>61.56072183197076</v>
      </c>
      <c r="N514" s="146">
        <v>1.5988753394388482</v>
      </c>
      <c r="O514" s="146"/>
      <c r="P514" s="146"/>
      <c r="Q514" s="146"/>
      <c r="R514" s="146"/>
      <c r="S514" s="146"/>
      <c r="T514" s="146"/>
      <c r="U514" s="146"/>
      <c r="V514" s="146"/>
      <c r="W514" s="146"/>
      <c r="X514" s="146"/>
      <c r="Y514" s="146"/>
      <c r="Z514" s="146">
        <v>0.29446850744251729</v>
      </c>
      <c r="AA514" s="146"/>
      <c r="AB514" s="146"/>
      <c r="AC514" s="146"/>
      <c r="AD514" s="146"/>
      <c r="AE514" s="146"/>
      <c r="AF514" s="146"/>
      <c r="AG514" s="146"/>
      <c r="AH514" s="146"/>
      <c r="AI514" s="146"/>
      <c r="AJ514" s="146"/>
      <c r="AK514" s="146"/>
      <c r="AL514" s="146">
        <v>1080.3397629940805</v>
      </c>
      <c r="AM514" s="146">
        <v>0.25445330310005937</v>
      </c>
      <c r="AN514" s="146">
        <v>0.2464579019313925</v>
      </c>
      <c r="AO514" s="146">
        <v>326.17632328040031</v>
      </c>
      <c r="AP514" s="146">
        <v>280.90209327465612</v>
      </c>
      <c r="AQ514" t="s">
        <v>325</v>
      </c>
      <c r="AR514">
        <f t="shared" si="30"/>
        <v>4.8813386259591285</v>
      </c>
      <c r="AS514">
        <f t="shared" si="31"/>
        <v>1.3321822791215501</v>
      </c>
      <c r="AT514">
        <v>0.1</v>
      </c>
      <c r="AU514">
        <v>1</v>
      </c>
      <c r="AV514">
        <v>0.2</v>
      </c>
      <c r="AW514" s="146">
        <v>3</v>
      </c>
      <c r="AX514">
        <v>0.13114926805111909</v>
      </c>
      <c r="AY514">
        <v>0.08</v>
      </c>
      <c r="AZ514" s="209">
        <v>280.90209327465612</v>
      </c>
      <c r="BA514" s="140">
        <v>0.13114926805111909</v>
      </c>
      <c r="BB514" s="253">
        <v>59.300225784617652</v>
      </c>
      <c r="BC514" s="245">
        <v>205.36348357123998</v>
      </c>
      <c r="BD514" s="210">
        <v>110282.74469304057</v>
      </c>
      <c r="BE514" s="245">
        <v>76.568158284714926</v>
      </c>
      <c r="BF514" s="140">
        <v>344894.16884289216</v>
      </c>
      <c r="BG514" t="s">
        <v>390</v>
      </c>
      <c r="BH514" s="140">
        <v>6.6109418141303939E-6</v>
      </c>
      <c r="BI514" s="140">
        <v>2302827.4469304057</v>
      </c>
      <c r="BJ514">
        <f t="shared" si="29"/>
        <v>0.14976987064429204</v>
      </c>
    </row>
    <row r="515" spans="1:62" x14ac:dyDescent="0.3">
      <c r="A515">
        <v>-0.3</v>
      </c>
      <c r="B515" s="146">
        <v>1000</v>
      </c>
      <c r="C515" s="146">
        <v>25</v>
      </c>
      <c r="D515" s="146">
        <v>400</v>
      </c>
      <c r="E515" s="252">
        <v>18.034062975591912</v>
      </c>
      <c r="F515" s="146">
        <v>5.6363937172297414</v>
      </c>
      <c r="G515" s="146">
        <v>21.560707866926101</v>
      </c>
      <c r="H515" s="146">
        <v>5.4393390283279244</v>
      </c>
      <c r="I515" s="146"/>
      <c r="J515" s="146">
        <v>0.18867510767784329</v>
      </c>
      <c r="K515" s="146">
        <v>0.08</v>
      </c>
      <c r="L515" s="146">
        <v>110.41770953782938</v>
      </c>
      <c r="M515" s="146">
        <v>61.677467180531401</v>
      </c>
      <c r="N515" s="146">
        <v>1.5907725130602302</v>
      </c>
      <c r="O515" s="146"/>
      <c r="P515" s="146"/>
      <c r="Q515" s="146"/>
      <c r="R515" s="146"/>
      <c r="S515" s="146"/>
      <c r="T515" s="146"/>
      <c r="U515" s="146"/>
      <c r="V515" s="146"/>
      <c r="W515" s="146"/>
      <c r="X515" s="146"/>
      <c r="Y515" s="146"/>
      <c r="Z515" s="146">
        <v>0.29245695198911703</v>
      </c>
      <c r="AA515" s="146"/>
      <c r="AB515" s="146"/>
      <c r="AC515" s="146"/>
      <c r="AD515" s="146"/>
      <c r="AE515" s="146"/>
      <c r="AF515" s="146"/>
      <c r="AG515" s="146"/>
      <c r="AH515" s="146"/>
      <c r="AI515" s="146"/>
      <c r="AJ515" s="146"/>
      <c r="AK515" s="146"/>
      <c r="AL515" s="146">
        <v>1066.9577291869962</v>
      </c>
      <c r="AM515" s="146">
        <v>0.26141969697924017</v>
      </c>
      <c r="AN515" s="146">
        <v>0.21583892964828313</v>
      </c>
      <c r="AO515" s="146">
        <v>316.44666230981113</v>
      </c>
      <c r="AP515" s="146">
        <v>271.57147265688218</v>
      </c>
      <c r="AQ515" t="s">
        <v>325</v>
      </c>
      <c r="AR515">
        <f t="shared" si="30"/>
        <v>4.8813386259591285</v>
      </c>
      <c r="AS515">
        <f t="shared" si="31"/>
        <v>1.3321822791215501</v>
      </c>
      <c r="AT515">
        <v>0.1</v>
      </c>
      <c r="AU515">
        <v>1</v>
      </c>
      <c r="AV515">
        <v>0.2</v>
      </c>
      <c r="AW515" s="146">
        <v>3</v>
      </c>
      <c r="AX515">
        <v>0.13128785451402994</v>
      </c>
      <c r="AY515">
        <v>0.08</v>
      </c>
      <c r="AZ515" s="209">
        <v>271.57147265688218</v>
      </c>
      <c r="BA515">
        <v>0.13128785451402994</v>
      </c>
      <c r="BB515" s="249">
        <v>60.060586617922617</v>
      </c>
      <c r="BC515" s="243">
        <v>205.98863451701985</v>
      </c>
      <c r="BD515" s="209">
        <v>111093.85173498109</v>
      </c>
      <c r="BE515" s="243">
        <v>77.390578570707717</v>
      </c>
      <c r="BF515">
        <v>342837.3230822949</v>
      </c>
      <c r="BG515" t="s">
        <v>390</v>
      </c>
      <c r="BH515">
        <v>6.5353361020536687E-6</v>
      </c>
      <c r="BI515">
        <v>2310938.5173498108</v>
      </c>
      <c r="BJ515">
        <f t="shared" si="29"/>
        <v>0.14835415157451332</v>
      </c>
    </row>
    <row r="516" spans="1:62" x14ac:dyDescent="0.3">
      <c r="A516">
        <v>-0.4</v>
      </c>
      <c r="B516" s="146">
        <v>1000</v>
      </c>
      <c r="C516" s="146">
        <v>25</v>
      </c>
      <c r="D516" s="146">
        <v>400</v>
      </c>
      <c r="E516" s="252">
        <v>17.810128184842345</v>
      </c>
      <c r="F516" s="146">
        <v>5.805486008185639</v>
      </c>
      <c r="G516" s="146">
        <v>21.425934706228063</v>
      </c>
      <c r="H516" s="146">
        <v>5.4516009862269614</v>
      </c>
      <c r="I516" s="146"/>
      <c r="J516" s="146">
        <v>0.18988377568310633</v>
      </c>
      <c r="K516" s="146">
        <v>0.08</v>
      </c>
      <c r="L516" s="146">
        <v>110.68551667829675</v>
      </c>
      <c r="M516" s="146">
        <v>61.827059724934159</v>
      </c>
      <c r="N516" s="146">
        <v>1.5802894772503935</v>
      </c>
      <c r="O516" s="146"/>
      <c r="P516" s="146"/>
      <c r="Q516" s="146"/>
      <c r="R516" s="146"/>
      <c r="S516" s="146"/>
      <c r="T516" s="146"/>
      <c r="U516" s="146"/>
      <c r="V516" s="146"/>
      <c r="W516" s="146"/>
      <c r="X516" s="146"/>
      <c r="Y516" s="146"/>
      <c r="Z516" s="146">
        <v>0.28987621824173665</v>
      </c>
      <c r="AA516" s="146"/>
      <c r="AB516" s="146"/>
      <c r="AC516" s="146"/>
      <c r="AD516" s="146"/>
      <c r="AE516" s="146"/>
      <c r="AF516" s="146"/>
      <c r="AG516" s="146"/>
      <c r="AH516" s="146"/>
      <c r="AI516" s="146"/>
      <c r="AJ516" s="146"/>
      <c r="AK516" s="146"/>
      <c r="AL516" s="146">
        <v>1049.7093827436047</v>
      </c>
      <c r="AM516" s="146">
        <v>0.27095602071904512</v>
      </c>
      <c r="AN516" s="146">
        <v>0.18529559715129557</v>
      </c>
      <c r="AO516" s="146">
        <v>303.8826153526993</v>
      </c>
      <c r="AP516" s="146">
        <v>259.56464411840813</v>
      </c>
      <c r="AQ516" t="s">
        <v>325</v>
      </c>
      <c r="AR516">
        <f t="shared" si="30"/>
        <v>4.8813386259591285</v>
      </c>
      <c r="AS516">
        <f t="shared" si="31"/>
        <v>1.3321822791215501</v>
      </c>
      <c r="AT516">
        <v>0.1</v>
      </c>
      <c r="AU516">
        <v>1</v>
      </c>
      <c r="AV516">
        <v>0.2</v>
      </c>
      <c r="AW516" s="146">
        <v>3</v>
      </c>
      <c r="AX516">
        <v>0.13148223696167055</v>
      </c>
      <c r="AY516">
        <v>0.08</v>
      </c>
      <c r="AZ516" s="209">
        <v>259.56464411840813</v>
      </c>
      <c r="BA516">
        <v>0.13148223696167055</v>
      </c>
      <c r="BB516" s="249">
        <v>61.067543192687339</v>
      </c>
      <c r="BC516" s="243">
        <v>206.79235557917679</v>
      </c>
      <c r="BD516" s="209">
        <v>112127.64341452094</v>
      </c>
      <c r="BE516" s="243">
        <v>78.433051337982775</v>
      </c>
      <c r="BF516">
        <v>339712.32725456852</v>
      </c>
      <c r="BG516" t="s">
        <v>390</v>
      </c>
      <c r="BH516">
        <v>6.4334724977085185E-6</v>
      </c>
      <c r="BI516">
        <v>2321276.4341452094</v>
      </c>
      <c r="BJ516">
        <f t="shared" ref="BJ516:BJ579" si="32">BF516/BI516</f>
        <v>0.14634720891381675</v>
      </c>
    </row>
    <row r="517" spans="1:62" x14ac:dyDescent="0.3">
      <c r="A517">
        <v>-0.5</v>
      </c>
      <c r="B517" s="146">
        <v>1000</v>
      </c>
      <c r="C517" s="146">
        <v>25</v>
      </c>
      <c r="D517" s="146">
        <v>400</v>
      </c>
      <c r="E517" s="252">
        <v>17.485097540501204</v>
      </c>
      <c r="F517" s="146">
        <v>6.042359896828974</v>
      </c>
      <c r="G517" s="146">
        <v>21.226108924685189</v>
      </c>
      <c r="H517" s="146">
        <v>5.4697438581546836</v>
      </c>
      <c r="I517" s="146"/>
      <c r="J517" s="146">
        <v>0.1902413164962739</v>
      </c>
      <c r="K517" s="146">
        <v>0.08</v>
      </c>
      <c r="L517" s="146">
        <v>111.08217630605236</v>
      </c>
      <c r="M517" s="146">
        <v>62.048627091936602</v>
      </c>
      <c r="N517" s="146">
        <v>1.5866650667822677</v>
      </c>
      <c r="O517" s="146"/>
      <c r="P517" s="146"/>
      <c r="Q517" s="146"/>
      <c r="R517" s="146"/>
      <c r="S517" s="146"/>
      <c r="T517" s="146"/>
      <c r="U517" s="146"/>
      <c r="V517" s="146"/>
      <c r="W517" s="146"/>
      <c r="X517" s="146"/>
      <c r="Y517" s="146"/>
      <c r="Z517" s="146">
        <v>0.29008032330741673</v>
      </c>
      <c r="AA517" s="146"/>
      <c r="AB517" s="146"/>
      <c r="AC517" s="146"/>
      <c r="AD517" s="146"/>
      <c r="AE517" s="146"/>
      <c r="AF517" s="146"/>
      <c r="AG517" s="146"/>
      <c r="AH517" s="146"/>
      <c r="AI517" s="146"/>
      <c r="AJ517" s="146"/>
      <c r="AK517" s="146"/>
      <c r="AL517" s="146">
        <v>1036.8589520215107</v>
      </c>
      <c r="AM517" s="146">
        <v>0.28466639449880193</v>
      </c>
      <c r="AN517" s="146">
        <v>0.15478440586641509</v>
      </c>
      <c r="AO517" s="146">
        <v>287.03579380217724</v>
      </c>
      <c r="AP517" s="146">
        <v>243.52641863037638</v>
      </c>
      <c r="AQ517" t="s">
        <v>325</v>
      </c>
      <c r="AR517">
        <f t="shared" si="30"/>
        <v>4.8813386259591285</v>
      </c>
      <c r="AS517">
        <f t="shared" si="31"/>
        <v>1.3321822791215501</v>
      </c>
      <c r="AT517">
        <v>0.1</v>
      </c>
      <c r="AU517">
        <v>1</v>
      </c>
      <c r="AV517">
        <v>0.2</v>
      </c>
      <c r="AW517" s="146">
        <v>3</v>
      </c>
      <c r="AX517">
        <v>0.13123383043314016</v>
      </c>
      <c r="AY517">
        <v>0.08</v>
      </c>
      <c r="AZ517" s="209">
        <v>243.52641863037638</v>
      </c>
      <c r="BA517">
        <v>0.13123383043314016</v>
      </c>
      <c r="BB517" s="249">
        <v>62.477726385265292</v>
      </c>
      <c r="BC517" s="243">
        <v>207.98835434312593</v>
      </c>
      <c r="BD517" s="209">
        <v>113640.87266167265</v>
      </c>
      <c r="BE517" s="243">
        <v>79.944219964672143</v>
      </c>
      <c r="BF517">
        <v>335092.0823585646</v>
      </c>
      <c r="BG517" t="s">
        <v>390</v>
      </c>
      <c r="BH517">
        <v>6.2865116930461758E-6</v>
      </c>
      <c r="BI517">
        <v>2336408.7266167263</v>
      </c>
      <c r="BJ517">
        <f t="shared" si="32"/>
        <v>0.14342185874463839</v>
      </c>
    </row>
    <row r="518" spans="1:62" x14ac:dyDescent="0.3">
      <c r="A518">
        <v>-0.6</v>
      </c>
      <c r="B518" s="146">
        <v>1000</v>
      </c>
      <c r="C518" s="146">
        <v>25</v>
      </c>
      <c r="D518" s="146">
        <v>400</v>
      </c>
      <c r="E518" s="252">
        <v>16.975279530489694</v>
      </c>
      <c r="F518" s="146">
        <v>6.4122655520754694</v>
      </c>
      <c r="G518" s="146">
        <v>20.911556417958625</v>
      </c>
      <c r="H518" s="146">
        <v>5.4983941346624761</v>
      </c>
      <c r="I518" s="146"/>
      <c r="J518" s="146">
        <v>0.19342673910519789</v>
      </c>
      <c r="K518" s="146">
        <v>0.08</v>
      </c>
      <c r="L518" s="146">
        <v>111.71113485664628</v>
      </c>
      <c r="M518" s="146">
        <v>62.399952712840573</v>
      </c>
      <c r="N518" s="146">
        <v>1.5573176138942282</v>
      </c>
      <c r="O518" s="146"/>
      <c r="P518" s="146"/>
      <c r="Q518" s="146"/>
      <c r="R518" s="146"/>
      <c r="S518" s="146"/>
      <c r="T518" s="146"/>
      <c r="U518" s="146"/>
      <c r="V518" s="146"/>
      <c r="W518" s="146"/>
      <c r="X518" s="146"/>
      <c r="Y518" s="146"/>
      <c r="Z518" s="146">
        <v>0.28323135369229502</v>
      </c>
      <c r="AA518" s="146"/>
      <c r="AB518" s="146"/>
      <c r="AC518" s="146"/>
      <c r="AD518" s="146"/>
      <c r="AE518" s="146"/>
      <c r="AF518" s="146"/>
      <c r="AG518" s="146"/>
      <c r="AH518" s="146"/>
      <c r="AI518" s="146"/>
      <c r="AJ518" s="146"/>
      <c r="AK518" s="146"/>
      <c r="AL518" s="146">
        <v>999.74399788159178</v>
      </c>
      <c r="AM518" s="146">
        <v>0.30663741253466353</v>
      </c>
      <c r="AN518" s="146">
        <v>0.12420271762910023</v>
      </c>
      <c r="AO518" s="146">
        <v>263.32602172859015</v>
      </c>
      <c r="AP518" s="146">
        <v>221.08519093447768</v>
      </c>
      <c r="AQ518" t="s">
        <v>325</v>
      </c>
      <c r="AR518">
        <f t="shared" si="30"/>
        <v>4.8813386259591285</v>
      </c>
      <c r="AS518">
        <f t="shared" si="31"/>
        <v>1.3321822791215501</v>
      </c>
      <c r="AT518">
        <v>0.1</v>
      </c>
      <c r="AU518">
        <v>1</v>
      </c>
      <c r="AV518">
        <v>0.2</v>
      </c>
      <c r="AW518" s="146">
        <v>3</v>
      </c>
      <c r="AX518">
        <v>0.13198689264150276</v>
      </c>
      <c r="AY518">
        <v>0.08</v>
      </c>
      <c r="AZ518" s="209">
        <v>221.08519093447768</v>
      </c>
      <c r="BA518">
        <v>0.13198689264150276</v>
      </c>
      <c r="BB518" s="249">
        <v>64.650625165650752</v>
      </c>
      <c r="BC518" s="243">
        <v>209.89859238042754</v>
      </c>
      <c r="BD518" s="209">
        <v>115926.86142208829</v>
      </c>
      <c r="BE518" s="243">
        <v>82.159052192051348</v>
      </c>
      <c r="BF518">
        <v>327437.76049923128</v>
      </c>
      <c r="BG518" t="s">
        <v>390</v>
      </c>
      <c r="BH518">
        <v>6.0613746706910568E-6</v>
      </c>
      <c r="BI518">
        <v>2359268.6142208828</v>
      </c>
      <c r="BJ518">
        <f t="shared" si="32"/>
        <v>0.13878782539874684</v>
      </c>
    </row>
    <row r="519" spans="1:62" x14ac:dyDescent="0.3">
      <c r="A519">
        <v>-0.7</v>
      </c>
      <c r="B519" s="146">
        <v>1000</v>
      </c>
      <c r="C519" s="146">
        <v>25</v>
      </c>
      <c r="D519" s="146">
        <v>400</v>
      </c>
      <c r="E519" s="252">
        <v>16.084193564093408</v>
      </c>
      <c r="F519" s="146">
        <v>7.0209137350904349</v>
      </c>
      <c r="G519" s="146">
        <v>20.340505483878101</v>
      </c>
      <c r="H519" s="146">
        <v>5.541728142382687</v>
      </c>
      <c r="I519" s="146"/>
      <c r="J519" s="146">
        <v>0.19846880316924637</v>
      </c>
      <c r="K519" s="146">
        <v>0.08</v>
      </c>
      <c r="L519" s="146">
        <v>112.6837381066838</v>
      </c>
      <c r="M519" s="146">
        <v>62.943232457411931</v>
      </c>
      <c r="N519" s="146">
        <v>1.5147265622331991</v>
      </c>
      <c r="O519" s="146"/>
      <c r="P519" s="146"/>
      <c r="Q519" s="146"/>
      <c r="R519" s="146"/>
      <c r="S519" s="146"/>
      <c r="T519" s="146"/>
      <c r="U519" s="146"/>
      <c r="V519" s="146"/>
      <c r="W519" s="146"/>
      <c r="X519" s="146"/>
      <c r="Y519" s="146"/>
      <c r="Z519" s="146">
        <v>0.27333108433246539</v>
      </c>
      <c r="AA519" s="146"/>
      <c r="AB519" s="146"/>
      <c r="AC519" s="146"/>
      <c r="AD519" s="146"/>
      <c r="AE519" s="146"/>
      <c r="AF519" s="146"/>
      <c r="AG519" s="146"/>
      <c r="AH519" s="146"/>
      <c r="AI519" s="146"/>
      <c r="AJ519" s="146"/>
      <c r="AK519" s="146"/>
      <c r="AL519" s="146">
        <v>945.88691078918259</v>
      </c>
      <c r="AM519" s="146">
        <v>0.34516908838156535</v>
      </c>
      <c r="AN519" s="146">
        <v>9.3811007054201867E-2</v>
      </c>
      <c r="AO519" s="146">
        <v>228.54684040647462</v>
      </c>
      <c r="AP519" s="146">
        <v>188.52362967258335</v>
      </c>
      <c r="AQ519" t="s">
        <v>325</v>
      </c>
      <c r="AR519">
        <f t="shared" si="30"/>
        <v>4.8813386259591285</v>
      </c>
      <c r="AS519">
        <f t="shared" si="31"/>
        <v>1.3321822791215501</v>
      </c>
      <c r="AT519">
        <v>0.1</v>
      </c>
      <c r="AU519">
        <v>1</v>
      </c>
      <c r="AV519">
        <v>0.2</v>
      </c>
      <c r="AW519" s="146">
        <v>3</v>
      </c>
      <c r="AX519">
        <v>0.13323474437654623</v>
      </c>
      <c r="AY519">
        <v>0.08</v>
      </c>
      <c r="AZ519" s="209">
        <v>188.52362967258335</v>
      </c>
      <c r="BA519">
        <v>0.13323474437654623</v>
      </c>
      <c r="BB519" s="249">
        <v>68.164099296955357</v>
      </c>
      <c r="BC519" s="243">
        <v>212.88654106435277</v>
      </c>
      <c r="BD519" s="209">
        <v>119398.22669827774</v>
      </c>
      <c r="BE519" s="243">
        <v>85.455479831436179</v>
      </c>
      <c r="BF519">
        <v>312562.59887003724</v>
      </c>
      <c r="BG519" t="s">
        <v>390</v>
      </c>
      <c r="BH519">
        <v>5.6888109408568754E-6</v>
      </c>
      <c r="BI519">
        <v>2393982.266982777</v>
      </c>
      <c r="BJ519">
        <f t="shared" si="32"/>
        <v>0.13056178534854865</v>
      </c>
    </row>
    <row r="520" spans="1:62" x14ac:dyDescent="0.3">
      <c r="A520">
        <v>-0.8</v>
      </c>
      <c r="B520" s="146">
        <v>1000</v>
      </c>
      <c r="C520" s="146">
        <v>25</v>
      </c>
      <c r="D520" s="146">
        <v>400</v>
      </c>
      <c r="E520" s="252">
        <v>14.313537190830452</v>
      </c>
      <c r="F520" s="146">
        <v>8.2496258772954683</v>
      </c>
      <c r="G520" s="146">
        <v>19.215813887724714</v>
      </c>
      <c r="H520" s="146">
        <v>5.6260131972594118</v>
      </c>
      <c r="I520" s="146"/>
      <c r="J520" s="146">
        <v>0.21196263337351517</v>
      </c>
      <c r="K520" s="146">
        <v>0.08</v>
      </c>
      <c r="L520" s="146">
        <v>114.6424842823037</v>
      </c>
      <c r="M520" s="146">
        <v>64.037354980578357</v>
      </c>
      <c r="N520" s="146">
        <v>1.3931679970504813</v>
      </c>
      <c r="O520" s="146"/>
      <c r="P520" s="146"/>
      <c r="Q520" s="146"/>
      <c r="R520" s="146"/>
      <c r="S520" s="146"/>
      <c r="T520" s="146"/>
      <c r="U520" s="146"/>
      <c r="V520" s="146"/>
      <c r="W520" s="146"/>
      <c r="X520" s="146"/>
      <c r="Y520" s="146"/>
      <c r="Z520" s="146">
        <v>0.24762970654408212</v>
      </c>
      <c r="AA520" s="146"/>
      <c r="AB520" s="146"/>
      <c r="AC520" s="146"/>
      <c r="AD520" s="146"/>
      <c r="AE520" s="146"/>
      <c r="AF520" s="146"/>
      <c r="AG520" s="146"/>
      <c r="AH520" s="146"/>
      <c r="AI520" s="146"/>
      <c r="AJ520" s="146"/>
      <c r="AK520" s="146"/>
      <c r="AL520" s="146">
        <v>834.45077406328437</v>
      </c>
      <c r="AM520" s="146">
        <v>0.42931441392474273</v>
      </c>
      <c r="AN520" s="146">
        <v>6.3189966914894619E-2</v>
      </c>
      <c r="AO520" s="146">
        <v>173.48402144112242</v>
      </c>
      <c r="AP520" s="146">
        <v>137.86677553804384</v>
      </c>
      <c r="AQ520" t="s">
        <v>325</v>
      </c>
      <c r="AR520">
        <f t="shared" si="30"/>
        <v>4.8813386259591285</v>
      </c>
      <c r="AS520">
        <f t="shared" si="31"/>
        <v>1.3321822791215501</v>
      </c>
      <c r="AT520">
        <v>0.1</v>
      </c>
      <c r="AU520">
        <v>1</v>
      </c>
      <c r="AV520">
        <v>0.2</v>
      </c>
      <c r="AW520" s="146">
        <v>3</v>
      </c>
      <c r="AX520">
        <v>0.1372888185886896</v>
      </c>
      <c r="AY520">
        <v>0.08</v>
      </c>
      <c r="AZ520" s="209">
        <v>137.86677553804384</v>
      </c>
      <c r="BA520">
        <v>0.1372888185886896</v>
      </c>
      <c r="BB520" s="249">
        <v>75.196698470454805</v>
      </c>
      <c r="BC520" s="243">
        <v>219.03382359610004</v>
      </c>
      <c r="BD520" s="209">
        <v>126379.57058907805</v>
      </c>
      <c r="BE520" s="243">
        <v>91.951679702510887</v>
      </c>
      <c r="BF520">
        <v>287641.54135956732</v>
      </c>
      <c r="BG520" t="s">
        <v>390</v>
      </c>
      <c r="BH520">
        <v>4.9534173587638344E-6</v>
      </c>
      <c r="BI520">
        <v>2463795.7058907803</v>
      </c>
      <c r="BJ520">
        <f t="shared" si="32"/>
        <v>0.11674731824226924</v>
      </c>
    </row>
    <row r="521" spans="1:62" x14ac:dyDescent="0.3">
      <c r="A521">
        <v>-0.85</v>
      </c>
      <c r="B521" s="146">
        <v>1000</v>
      </c>
      <c r="C521" s="146">
        <v>25</v>
      </c>
      <c r="D521" s="146">
        <v>400</v>
      </c>
      <c r="E521" s="252">
        <v>9.9051201734377035</v>
      </c>
      <c r="F521" s="146">
        <v>4.8533180385921693</v>
      </c>
      <c r="G521" s="146">
        <v>12.763219804544157</v>
      </c>
      <c r="H521" s="146">
        <v>3.6355225023661362</v>
      </c>
      <c r="I521" s="146"/>
      <c r="J521" s="146">
        <v>0.22335389146826495</v>
      </c>
      <c r="K521" s="146">
        <v>0.08</v>
      </c>
      <c r="L521" s="146">
        <v>74.305298255926374</v>
      </c>
      <c r="M521" s="146">
        <v>41.505684311893475</v>
      </c>
      <c r="N521" s="146">
        <v>1.0282625559555045</v>
      </c>
      <c r="O521" s="146"/>
      <c r="P521" s="146"/>
      <c r="Q521" s="146"/>
      <c r="R521" s="146"/>
      <c r="S521" s="146"/>
      <c r="T521" s="146"/>
      <c r="U521" s="146"/>
      <c r="V521" s="146"/>
      <c r="W521" s="146"/>
      <c r="X521" s="146"/>
      <c r="Y521" s="146"/>
      <c r="Z521" s="146">
        <v>0.28283762658222367</v>
      </c>
      <c r="AA521" s="146"/>
      <c r="AB521" s="146"/>
      <c r="AC521" s="146"/>
      <c r="AD521" s="146"/>
      <c r="AE521" s="146"/>
      <c r="AF521" s="146"/>
      <c r="AG521" s="146"/>
      <c r="AH521" s="146"/>
      <c r="AI521" s="146"/>
      <c r="AJ521" s="146"/>
      <c r="AK521" s="146"/>
      <c r="AL521" s="146">
        <v>684.76190074495662</v>
      </c>
      <c r="AM521" s="146">
        <v>0.38025812552912525</v>
      </c>
      <c r="AN521" s="146">
        <v>4.8383294482255798E-2</v>
      </c>
      <c r="AO521" s="146">
        <v>195.27809589174771</v>
      </c>
      <c r="AP521" s="146">
        <v>170.63062276720396</v>
      </c>
      <c r="AQ521" t="s">
        <v>325</v>
      </c>
      <c r="AR521">
        <f t="shared" si="30"/>
        <v>4.8813386259591285</v>
      </c>
      <c r="AS521">
        <f t="shared" si="31"/>
        <v>1.3321822791215501</v>
      </c>
      <c r="AT521">
        <v>0.1</v>
      </c>
      <c r="AU521">
        <v>1</v>
      </c>
      <c r="AV521">
        <v>0.2</v>
      </c>
      <c r="AW521" s="146">
        <v>3</v>
      </c>
      <c r="AX521">
        <v>0.14380709947450104</v>
      </c>
      <c r="AY521">
        <v>0.08</v>
      </c>
      <c r="AZ521" s="209">
        <v>170.63062276720396</v>
      </c>
      <c r="BA521">
        <v>0.14380709947450104</v>
      </c>
      <c r="BB521" s="249">
        <v>45.914481250615978</v>
      </c>
      <c r="BC521" s="243">
        <v>118.17454295058616</v>
      </c>
      <c r="BD521" s="209">
        <v>62470.99411664989</v>
      </c>
      <c r="BE521" s="243">
        <v>54.401701773561236</v>
      </c>
      <c r="BF521">
        <v>658173.1870605374</v>
      </c>
      <c r="BG521" t="s">
        <v>390</v>
      </c>
      <c r="BH521">
        <v>3.665656251406587E-6</v>
      </c>
      <c r="BI521">
        <v>1824709.9411664989</v>
      </c>
      <c r="BJ521">
        <f t="shared" si="32"/>
        <v>0.36070017059247295</v>
      </c>
    </row>
    <row r="522" spans="1:62" s="160" customFormat="1" ht="15" thickBot="1" x14ac:dyDescent="0.35">
      <c r="A522" s="160">
        <v>-0.87</v>
      </c>
      <c r="B522" s="160">
        <v>1000</v>
      </c>
      <c r="C522" s="160">
        <v>25</v>
      </c>
      <c r="D522" s="160">
        <v>400</v>
      </c>
      <c r="E522" s="250">
        <v>3.4769920614384899</v>
      </c>
      <c r="F522" s="160">
        <v>1.0751599341138567</v>
      </c>
      <c r="G522" s="160">
        <v>4.1232153361924997</v>
      </c>
      <c r="H522" s="160">
        <v>1.0630325121285544</v>
      </c>
      <c r="J522" s="160">
        <v>0.2461410232562124</v>
      </c>
      <c r="K522" s="160">
        <v>0.08</v>
      </c>
      <c r="L522" s="160">
        <v>21.72244982698626</v>
      </c>
      <c r="M522" s="160">
        <v>12.133793500087691</v>
      </c>
      <c r="N522" s="160">
        <v>0.3780277600555042</v>
      </c>
      <c r="Z522" s="160">
        <v>0.35561260426415692</v>
      </c>
      <c r="AL522" s="160">
        <v>497.67701893784431</v>
      </c>
      <c r="AM522" s="160">
        <v>0.26075764820633685</v>
      </c>
      <c r="AN522" s="160">
        <v>4.2051135147046469E-2</v>
      </c>
      <c r="AO522" s="160">
        <v>317.31514382953105</v>
      </c>
      <c r="AP522" s="160">
        <v>308.66313891009247</v>
      </c>
      <c r="AQ522" s="160" t="s">
        <v>325</v>
      </c>
      <c r="AR522" s="160">
        <f t="shared" si="30"/>
        <v>4.8813386259591285</v>
      </c>
      <c r="AS522" s="160">
        <f t="shared" si="31"/>
        <v>1.3321822791215501</v>
      </c>
      <c r="AT522" s="160">
        <v>0.1</v>
      </c>
      <c r="AU522" s="160">
        <v>1</v>
      </c>
      <c r="AV522" s="160">
        <v>0.2</v>
      </c>
      <c r="AW522" s="160">
        <v>3</v>
      </c>
      <c r="AX522" s="160">
        <v>0.1679611176360023</v>
      </c>
      <c r="AY522" s="160">
        <v>0.08</v>
      </c>
      <c r="AZ522" s="248">
        <v>308.66313891009247</v>
      </c>
      <c r="BA522" s="160">
        <v>0.1679611176360023</v>
      </c>
      <c r="BB522" s="250">
        <v>11.557355146330217</v>
      </c>
      <c r="BC522" s="246">
        <v>29.82431244333209</v>
      </c>
      <c r="BD522" s="248">
        <v>12116.28343888326</v>
      </c>
      <c r="BE522" s="246">
        <v>13.63301063550052</v>
      </c>
      <c r="BF522" s="160">
        <v>823776.87518295087</v>
      </c>
      <c r="BG522" s="254" t="s">
        <v>390</v>
      </c>
      <c r="BH522" s="160">
        <v>1.2417947689714691E-6</v>
      </c>
      <c r="BI522" s="160">
        <v>1321162.8343888326</v>
      </c>
      <c r="BJ522">
        <f t="shared" si="32"/>
        <v>0.62352410599260344</v>
      </c>
    </row>
    <row r="523" spans="1:62" x14ac:dyDescent="0.3">
      <c r="A523">
        <v>-0.1</v>
      </c>
      <c r="B523" s="146">
        <v>100</v>
      </c>
      <c r="C523" s="146">
        <v>25</v>
      </c>
      <c r="D523" s="146">
        <v>400</v>
      </c>
      <c r="E523" s="249">
        <v>3.1127879049455767</v>
      </c>
      <c r="F523">
        <v>0.38526737967249247</v>
      </c>
      <c r="G523">
        <v>3.5077539414857979</v>
      </c>
      <c r="H523">
        <v>4.2990813522949489</v>
      </c>
      <c r="J523">
        <v>0.91274357452511057</v>
      </c>
      <c r="K523">
        <v>0.36</v>
      </c>
      <c r="L523">
        <v>21.648657533542057</v>
      </c>
      <c r="M523">
        <v>7.9851605656507587</v>
      </c>
      <c r="N523">
        <v>1.2814519733260656</v>
      </c>
      <c r="Z523">
        <v>0.29807576742924324</v>
      </c>
      <c r="AL523">
        <v>1015.2824794169752</v>
      </c>
      <c r="AM523">
        <v>0.10983306870986018</v>
      </c>
      <c r="AN523">
        <v>0.17588653144381794</v>
      </c>
      <c r="AO523">
        <v>382.30229523890591</v>
      </c>
      <c r="AP523">
        <v>374.55649275394319</v>
      </c>
      <c r="AQ523" t="s">
        <v>303</v>
      </c>
      <c r="AR523">
        <f t="shared" ref="AR523:AR562" si="33">0.6*Jsat_t</f>
        <v>19.525354503836514</v>
      </c>
      <c r="AS523">
        <f t="shared" ref="AS523:AS562" si="34">0.2*Jatp</f>
        <v>5.3287291164862003</v>
      </c>
      <c r="AT523">
        <v>0.4</v>
      </c>
      <c r="AU523">
        <v>1</v>
      </c>
      <c r="AV523">
        <v>0.5</v>
      </c>
      <c r="AW523">
        <v>3</v>
      </c>
      <c r="AX523">
        <v>0.86953434429003162</v>
      </c>
      <c r="AY523">
        <v>0.36</v>
      </c>
      <c r="AZ523" s="209">
        <v>374.55649275394319</v>
      </c>
      <c r="BA523">
        <v>0.86953434429003162</v>
      </c>
      <c r="BB523" s="249">
        <v>6.0071646490873478</v>
      </c>
      <c r="BC523" s="243">
        <v>70.527126508382977</v>
      </c>
      <c r="BD523" s="209">
        <v>24011.94026221586</v>
      </c>
      <c r="BE523" s="243">
        <v>10.405812173207073</v>
      </c>
      <c r="BF523">
        <v>16643.096037317373</v>
      </c>
      <c r="BG523" t="s">
        <v>387</v>
      </c>
      <c r="BH523">
        <v>1.9314532256645085E-6</v>
      </c>
      <c r="BI523">
        <v>1440119.4026221586</v>
      </c>
      <c r="BJ523">
        <f t="shared" si="32"/>
        <v>1.1556747313461473E-2</v>
      </c>
    </row>
    <row r="524" spans="1:62" s="146" customFormat="1" x14ac:dyDescent="0.3">
      <c r="A524">
        <v>-0.1</v>
      </c>
      <c r="B524" s="146">
        <v>200</v>
      </c>
      <c r="C524" s="146">
        <v>25</v>
      </c>
      <c r="D524" s="146">
        <v>400</v>
      </c>
      <c r="E524" s="252">
        <v>5.9269199815358977</v>
      </c>
      <c r="F524" s="146">
        <v>0.58719618009725449</v>
      </c>
      <c r="G524" s="146">
        <v>6.5147409888862615</v>
      </c>
      <c r="H524" s="146">
        <v>7.9437956579448503</v>
      </c>
      <c r="J524" s="146">
        <v>0.9791039500592581</v>
      </c>
      <c r="K524" s="146">
        <v>0.36</v>
      </c>
      <c r="L524" s="146">
        <v>40.097394422262269</v>
      </c>
      <c r="M524" s="146">
        <v>14.790022532801657</v>
      </c>
      <c r="N524" s="146">
        <v>1.9459937424308933</v>
      </c>
      <c r="Z524" s="146">
        <v>0.24497026688805132</v>
      </c>
      <c r="AL524" s="146">
        <v>1328.4997779331645</v>
      </c>
      <c r="AM524" s="146">
        <v>9.0133465182878986E-2</v>
      </c>
      <c r="AN524" s="146">
        <v>0.19923240649329915</v>
      </c>
      <c r="AO524" s="146">
        <v>370.25122526070959</v>
      </c>
      <c r="AP524" s="146">
        <v>355.50290671771705</v>
      </c>
      <c r="AQ524" s="146" t="s">
        <v>303</v>
      </c>
      <c r="AR524" s="146">
        <f t="shared" si="33"/>
        <v>19.525354503836514</v>
      </c>
      <c r="AS524" s="146">
        <f t="shared" si="34"/>
        <v>5.3287291164862003</v>
      </c>
      <c r="AT524" s="146">
        <v>0.4</v>
      </c>
      <c r="AU524" s="146">
        <v>1</v>
      </c>
      <c r="AV524" s="146">
        <v>0.5</v>
      </c>
      <c r="AW524" s="146">
        <v>3</v>
      </c>
      <c r="AX524" s="146">
        <v>0.96966440935268083</v>
      </c>
      <c r="AY524" s="146">
        <v>0.36</v>
      </c>
      <c r="AZ524" s="209">
        <v>355.50290671771705</v>
      </c>
      <c r="BA524" s="146">
        <v>0.96966440935268083</v>
      </c>
      <c r="BB524" s="252">
        <v>10.066318459356985</v>
      </c>
      <c r="BC524" s="244">
        <v>102.57173054103599</v>
      </c>
      <c r="BD524" s="229">
        <v>37588.704174516359</v>
      </c>
      <c r="BE524" s="244">
        <v>15.117436379658457</v>
      </c>
      <c r="BF524" s="146">
        <v>47027.833619550249</v>
      </c>
      <c r="BG524" t="s">
        <v>387</v>
      </c>
      <c r="BH524" s="146">
        <v>3.4384986968913549E-6</v>
      </c>
      <c r="BI524" s="146">
        <v>1575887.0417451635</v>
      </c>
      <c r="BJ524">
        <f t="shared" si="32"/>
        <v>2.9842134857248934E-2</v>
      </c>
    </row>
    <row r="525" spans="1:62" s="146" customFormat="1" x14ac:dyDescent="0.3">
      <c r="A525">
        <v>-0.1</v>
      </c>
      <c r="B525" s="146">
        <v>300</v>
      </c>
      <c r="C525" s="146">
        <v>25</v>
      </c>
      <c r="D525" s="146">
        <v>400</v>
      </c>
      <c r="E525" s="252">
        <v>8.4196858370186884</v>
      </c>
      <c r="F525" s="146">
        <v>0.73134552026352495</v>
      </c>
      <c r="G525" s="146">
        <v>9.146331807493036</v>
      </c>
      <c r="H525" s="146">
        <v>11.147448972210984</v>
      </c>
      <c r="J525" s="146">
        <v>0.99999999928676853</v>
      </c>
      <c r="K525" s="146">
        <v>0.36</v>
      </c>
      <c r="L525" s="146">
        <v>56.370680895615486</v>
      </c>
      <c r="M525" s="146">
        <v>20.792464264776203</v>
      </c>
      <c r="N525" s="146">
        <v>2.5472765333681675</v>
      </c>
      <c r="Z525" s="146">
        <v>0.22850757511590034</v>
      </c>
      <c r="AL525" s="146">
        <v>1613.1127905056719</v>
      </c>
      <c r="AM525" s="146">
        <v>7.996052796426846E-2</v>
      </c>
      <c r="AN525" s="146">
        <v>0.21275651559296269</v>
      </c>
      <c r="AO525" s="146">
        <v>360.42572038956075</v>
      </c>
      <c r="AP525" s="146">
        <v>339.47452382158849</v>
      </c>
      <c r="AQ525" s="146" t="s">
        <v>303</v>
      </c>
      <c r="AR525" s="146">
        <f t="shared" si="33"/>
        <v>19.525354503836514</v>
      </c>
      <c r="AS525" s="146">
        <f t="shared" si="34"/>
        <v>5.3287291164862003</v>
      </c>
      <c r="AT525" s="146">
        <v>0.4</v>
      </c>
      <c r="AU525" s="146">
        <v>1</v>
      </c>
      <c r="AV525" s="146">
        <v>0.5</v>
      </c>
      <c r="AW525" s="146">
        <v>3</v>
      </c>
      <c r="AX525" s="146">
        <v>0.99999999900000003</v>
      </c>
      <c r="AY525" s="146">
        <v>0.36</v>
      </c>
      <c r="AZ525" s="209">
        <v>339.47452382158849</v>
      </c>
      <c r="BA525" s="146">
        <v>0.99999999900000003</v>
      </c>
      <c r="BB525" s="252">
        <v>13.339495800717973</v>
      </c>
      <c r="BC525" s="244">
        <v>125.47058998716388</v>
      </c>
      <c r="BD525" s="229">
        <v>48297.441383850281</v>
      </c>
      <c r="BE525" s="244">
        <v>18.918694149870532</v>
      </c>
      <c r="BF525" s="146">
        <v>82494.777670116193</v>
      </c>
      <c r="BG525" t="s">
        <v>387</v>
      </c>
      <c r="BH525" s="146">
        <v>4.5472866218323074E-6</v>
      </c>
      <c r="BI525" s="146">
        <v>1682974.413838503</v>
      </c>
      <c r="BJ525">
        <f t="shared" si="32"/>
        <v>4.9017250049549675E-2</v>
      </c>
    </row>
    <row r="526" spans="1:62" s="146" customFormat="1" x14ac:dyDescent="0.3">
      <c r="A526">
        <v>-0.1</v>
      </c>
      <c r="B526" s="146">
        <v>400</v>
      </c>
      <c r="C526" s="146">
        <v>25</v>
      </c>
      <c r="D526" s="146">
        <v>400</v>
      </c>
      <c r="E526" s="252">
        <v>10.647712682653781</v>
      </c>
      <c r="F526" s="146">
        <v>0.84210940130890677</v>
      </c>
      <c r="G526" s="146">
        <v>11.483384776471624</v>
      </c>
      <c r="H526" s="146">
        <v>14.001633368795279</v>
      </c>
      <c r="J526" s="146">
        <v>0.99999999926132321</v>
      </c>
      <c r="K526" s="146">
        <v>0.36</v>
      </c>
      <c r="L526" s="146">
        <v>70.910895840207971</v>
      </c>
      <c r="M526" s="146">
        <v>26.155658301716056</v>
      </c>
      <c r="N526" s="146">
        <v>3.1466119936400876</v>
      </c>
      <c r="Z526" s="146">
        <v>0.2247317802687778</v>
      </c>
      <c r="AL526" s="146">
        <v>1898.847388358595</v>
      </c>
      <c r="AM526" s="146">
        <v>7.3332855921915088E-2</v>
      </c>
      <c r="AN526" s="146">
        <v>0.22199790101549416</v>
      </c>
      <c r="AO526" s="146">
        <v>352.03687677249422</v>
      </c>
      <c r="AP526" s="146">
        <v>325.54139153854959</v>
      </c>
      <c r="AQ526" s="146" t="s">
        <v>303</v>
      </c>
      <c r="AR526" s="146">
        <f t="shared" si="33"/>
        <v>19.525354503836514</v>
      </c>
      <c r="AS526" s="146">
        <f t="shared" si="34"/>
        <v>5.3287291164862003</v>
      </c>
      <c r="AT526" s="146">
        <v>0.4</v>
      </c>
      <c r="AU526" s="146">
        <v>1</v>
      </c>
      <c r="AV526" s="146">
        <v>0.5</v>
      </c>
      <c r="AW526" s="146">
        <v>3</v>
      </c>
      <c r="AX526" s="146">
        <v>0.99999999900000003</v>
      </c>
      <c r="AY526" s="146">
        <v>0.36</v>
      </c>
      <c r="AZ526" s="209">
        <v>325.54139153854959</v>
      </c>
      <c r="BA526" s="146">
        <v>0.99999999900000003</v>
      </c>
      <c r="BB526" s="252">
        <v>16.136643232745794</v>
      </c>
      <c r="BC526" s="244">
        <v>143.52228542871549</v>
      </c>
      <c r="BD526" s="229">
        <v>57372.759375286776</v>
      </c>
      <c r="BE526" s="244">
        <v>22.324671836640601</v>
      </c>
      <c r="BF526" s="146">
        <v>120441.81732002646</v>
      </c>
      <c r="BG526" t="s">
        <v>387</v>
      </c>
      <c r="BH526" s="146">
        <v>5.3916363337524979E-6</v>
      </c>
      <c r="BI526" s="146">
        <v>1773727.5937528678</v>
      </c>
      <c r="BJ526">
        <f t="shared" si="32"/>
        <v>6.7903221297468036E-2</v>
      </c>
    </row>
    <row r="527" spans="1:62" s="146" customFormat="1" x14ac:dyDescent="0.3">
      <c r="A527">
        <v>-0.1</v>
      </c>
      <c r="B527" s="146">
        <v>600</v>
      </c>
      <c r="C527" s="146">
        <v>25</v>
      </c>
      <c r="D527" s="146">
        <v>400</v>
      </c>
      <c r="E527" s="252">
        <v>14.434018184720967</v>
      </c>
      <c r="F527" s="146">
        <v>1.0106380454173236</v>
      </c>
      <c r="G527" s="146">
        <v>15.435768444436599</v>
      </c>
      <c r="H527" s="146">
        <v>18.863083106497644</v>
      </c>
      <c r="J527" s="146">
        <v>0.99999999922840777</v>
      </c>
      <c r="K527" s="146">
        <v>0.36</v>
      </c>
      <c r="L527" s="146">
        <v>95.769350808601075</v>
      </c>
      <c r="M527" s="146">
        <v>35.324760544156135</v>
      </c>
      <c r="N527" s="146">
        <v>4.1808493084852696</v>
      </c>
      <c r="Z527" s="146">
        <v>0.2216418856281834</v>
      </c>
      <c r="AL527" s="146">
        <v>2392.817417707457</v>
      </c>
      <c r="AM527" s="146">
        <v>6.5473775993418748E-2</v>
      </c>
      <c r="AN527" s="146">
        <v>0.23397568105527042</v>
      </c>
      <c r="AO527" s="146">
        <v>338.30975031413061</v>
      </c>
      <c r="AP527" s="146">
        <v>302.39276346482234</v>
      </c>
      <c r="AQ527" s="146" t="s">
        <v>303</v>
      </c>
      <c r="AR527" s="146">
        <f t="shared" si="33"/>
        <v>19.525354503836514</v>
      </c>
      <c r="AS527" s="146">
        <f t="shared" si="34"/>
        <v>5.3287291164862003</v>
      </c>
      <c r="AT527" s="146">
        <v>0.4</v>
      </c>
      <c r="AU527" s="146">
        <v>1</v>
      </c>
      <c r="AV527" s="146">
        <v>0.5</v>
      </c>
      <c r="AW527" s="146">
        <v>3</v>
      </c>
      <c r="AX527" s="146">
        <v>0.99999999900000003</v>
      </c>
      <c r="AY527" s="146">
        <v>0.36</v>
      </c>
      <c r="AZ527" s="209">
        <v>302.39276346482234</v>
      </c>
      <c r="BA527" s="146">
        <v>0.99999999900000003</v>
      </c>
      <c r="BB527" s="252">
        <v>20.726829557704036</v>
      </c>
      <c r="BC527" s="244">
        <v>170.75647376667388</v>
      </c>
      <c r="BD527" s="229">
        <v>71853.300920496753</v>
      </c>
      <c r="BE527" s="244">
        <v>27.816021036114375</v>
      </c>
      <c r="BF527" s="146">
        <v>197686.84709243756</v>
      </c>
      <c r="BG527" t="s">
        <v>387</v>
      </c>
      <c r="BH527" s="146">
        <v>6.5770672692946148E-6</v>
      </c>
      <c r="BI527" s="146">
        <v>1918533.0092049674</v>
      </c>
      <c r="BJ527">
        <f t="shared" si="32"/>
        <v>0.10304062851353192</v>
      </c>
    </row>
    <row r="528" spans="1:62" s="146" customFormat="1" x14ac:dyDescent="0.3">
      <c r="A528">
        <v>-0.1</v>
      </c>
      <c r="B528" s="146">
        <v>800</v>
      </c>
      <c r="C528" s="146">
        <v>25</v>
      </c>
      <c r="D528" s="146">
        <v>400</v>
      </c>
      <c r="E528" s="252">
        <v>17.474901735484764</v>
      </c>
      <c r="F528" s="146">
        <v>1.1331323882482647</v>
      </c>
      <c r="G528" s="146">
        <v>18.596355565686501</v>
      </c>
      <c r="H528" s="146">
        <v>22.784813363018891</v>
      </c>
      <c r="J528" s="146">
        <v>0.99999999920793692</v>
      </c>
      <c r="K528" s="146">
        <v>0.36</v>
      </c>
      <c r="L528" s="146">
        <v>115.91828110671223</v>
      </c>
      <c r="M528" s="146">
        <v>42.756743031164355</v>
      </c>
      <c r="N528" s="146">
        <v>5.0324678155120957</v>
      </c>
      <c r="Z528" s="146">
        <v>0.22086938941883502</v>
      </c>
      <c r="AL528" s="146">
        <v>2800.4491991538193</v>
      </c>
      <c r="AM528" s="146">
        <v>6.0933035198525151E-2</v>
      </c>
      <c r="AN528" s="146">
        <v>0.24169679797756913</v>
      </c>
      <c r="AO528" s="146">
        <v>327.69907635637549</v>
      </c>
      <c r="AP528" s="146">
        <v>284.21529139777385</v>
      </c>
      <c r="AQ528" s="146" t="s">
        <v>303</v>
      </c>
      <c r="AR528" s="146">
        <f t="shared" si="33"/>
        <v>19.525354503836514</v>
      </c>
      <c r="AS528" s="146">
        <f t="shared" si="34"/>
        <v>5.3287291164862003</v>
      </c>
      <c r="AT528" s="146">
        <v>0.4</v>
      </c>
      <c r="AU528" s="146">
        <v>1</v>
      </c>
      <c r="AV528" s="146">
        <v>0.5</v>
      </c>
      <c r="AW528" s="146">
        <v>3</v>
      </c>
      <c r="AX528" s="146">
        <v>0.99999999900000003</v>
      </c>
      <c r="AY528" s="146">
        <v>0.36</v>
      </c>
      <c r="AZ528" s="209">
        <v>284.21529139777385</v>
      </c>
      <c r="BA528" s="146">
        <v>0.99999999900000003</v>
      </c>
      <c r="BB528" s="252">
        <v>24.313350826549062</v>
      </c>
      <c r="BC528" s="244">
        <v>189.95080598059087</v>
      </c>
      <c r="BD528" s="229">
        <v>82616.738171574107</v>
      </c>
      <c r="BE528" s="244">
        <v>32.004248450451804</v>
      </c>
      <c r="BF528" s="146">
        <v>271087.44453736313</v>
      </c>
      <c r="BG528" t="s">
        <v>387</v>
      </c>
      <c r="BH528" s="146">
        <v>7.3517935855915081E-6</v>
      </c>
      <c r="BI528" s="146">
        <v>2026167.381715741</v>
      </c>
      <c r="BJ528">
        <f t="shared" si="32"/>
        <v>0.13379321322792623</v>
      </c>
    </row>
    <row r="529" spans="1:62" s="146" customFormat="1" x14ac:dyDescent="0.3">
      <c r="A529">
        <v>-0.1</v>
      </c>
      <c r="B529" s="146">
        <v>1000</v>
      </c>
      <c r="C529" s="146">
        <v>25</v>
      </c>
      <c r="D529" s="146">
        <v>400</v>
      </c>
      <c r="E529" s="252">
        <v>19.900012634067728</v>
      </c>
      <c r="F529" s="146">
        <v>1.2241664953776981</v>
      </c>
      <c r="G529" s="146">
        <v>21.108993972946639</v>
      </c>
      <c r="H529" s="146">
        <v>25.927326344854123</v>
      </c>
      <c r="J529" s="146">
        <v>0.99999999919405802</v>
      </c>
      <c r="K529" s="146">
        <v>0.36</v>
      </c>
      <c r="L529" s="146">
        <v>132.13925950983355</v>
      </c>
      <c r="M529" s="146">
        <v>48.739890802807459</v>
      </c>
      <c r="N529" s="146">
        <v>5.7288646717827305</v>
      </c>
      <c r="Z529" s="146">
        <v>0.22095855915046003</v>
      </c>
      <c r="AL529" s="146">
        <v>3134.4134302288539</v>
      </c>
      <c r="AM529" s="146">
        <v>5.7992649812994131E-2</v>
      </c>
      <c r="AN529" s="146">
        <v>0.24720335056066572</v>
      </c>
      <c r="AO529" s="146">
        <v>319.49942187703437</v>
      </c>
      <c r="AP529" s="146">
        <v>269.98109433748726</v>
      </c>
      <c r="AQ529" s="146" t="s">
        <v>303</v>
      </c>
      <c r="AR529" s="146">
        <f t="shared" si="33"/>
        <v>19.525354503836514</v>
      </c>
      <c r="AS529" s="146">
        <f t="shared" si="34"/>
        <v>5.3287291164862003</v>
      </c>
      <c r="AT529" s="146">
        <v>0.4</v>
      </c>
      <c r="AU529" s="146">
        <v>1</v>
      </c>
      <c r="AV529" s="146">
        <v>0.5</v>
      </c>
      <c r="AW529" s="146">
        <v>3</v>
      </c>
      <c r="AX529" s="146">
        <v>0.99999999900000003</v>
      </c>
      <c r="AY529" s="146">
        <v>0.36</v>
      </c>
      <c r="AZ529" s="209">
        <v>269.98109433748726</v>
      </c>
      <c r="BA529" s="146">
        <v>0.99999999900000003</v>
      </c>
      <c r="BB529" s="252">
        <v>27.125507265757633</v>
      </c>
      <c r="BC529" s="244">
        <v>203.5501757961818</v>
      </c>
      <c r="BD529" s="229">
        <v>90552.045374218302</v>
      </c>
      <c r="BE529" s="244">
        <v>35.209060679843944</v>
      </c>
      <c r="BF529" s="146">
        <v>336702.0888248058</v>
      </c>
      <c r="BG529" t="s">
        <v>387</v>
      </c>
      <c r="BH529" s="146">
        <v>7.8839827855591992E-6</v>
      </c>
      <c r="BI529" s="146">
        <v>2105520.4537421828</v>
      </c>
      <c r="BJ529">
        <f t="shared" si="32"/>
        <v>0.15991394822424004</v>
      </c>
    </row>
    <row r="530" spans="1:62" s="146" customFormat="1" x14ac:dyDescent="0.3">
      <c r="A530">
        <v>-0.1</v>
      </c>
      <c r="B530" s="146">
        <v>1300</v>
      </c>
      <c r="C530" s="146">
        <v>25</v>
      </c>
      <c r="D530" s="146">
        <v>400</v>
      </c>
      <c r="E530" s="252">
        <v>22.62524189478907</v>
      </c>
      <c r="F530" s="146">
        <v>1.3199297854508802</v>
      </c>
      <c r="G530" s="146">
        <v>23.923973975775581</v>
      </c>
      <c r="H530" s="146">
        <v>29.478474314464979</v>
      </c>
      <c r="J530" s="146">
        <v>0.99999999918021487</v>
      </c>
      <c r="K530" s="146">
        <v>0.36</v>
      </c>
      <c r="L530" s="146">
        <v>150.57308129217103</v>
      </c>
      <c r="M530" s="146">
        <v>55.539251296292591</v>
      </c>
      <c r="N530" s="146">
        <v>6.5338488327111222</v>
      </c>
      <c r="Z530" s="146">
        <v>0.22164813426266727</v>
      </c>
      <c r="AL530" s="146">
        <v>3521.2095173465191</v>
      </c>
      <c r="AM530" s="146">
        <v>5.5171845061668522E-2</v>
      </c>
      <c r="AN530" s="146">
        <v>0.25303566456639071</v>
      </c>
      <c r="AO530" s="146">
        <v>310.58477099044381</v>
      </c>
      <c r="AP530" s="146">
        <v>254.28510099095845</v>
      </c>
      <c r="AQ530" s="146" t="s">
        <v>303</v>
      </c>
      <c r="AR530" s="146">
        <f t="shared" si="33"/>
        <v>19.525354503836514</v>
      </c>
      <c r="AS530" s="146">
        <f t="shared" si="34"/>
        <v>5.3287291164862003</v>
      </c>
      <c r="AT530" s="146">
        <v>0.4</v>
      </c>
      <c r="AU530" s="146">
        <v>1</v>
      </c>
      <c r="AV530" s="146">
        <v>0.5</v>
      </c>
      <c r="AW530" s="146">
        <v>3</v>
      </c>
      <c r="AX530" s="146">
        <v>0.99999999900000003</v>
      </c>
      <c r="AY530" s="146">
        <v>0.36</v>
      </c>
      <c r="AZ530" s="209">
        <v>254.28510099095845</v>
      </c>
      <c r="BA530" s="146">
        <v>0.99999999900000003</v>
      </c>
      <c r="BB530" s="252">
        <v>30.241262475387192</v>
      </c>
      <c r="BC530" s="244">
        <v>216.84523099547113</v>
      </c>
      <c r="BD530" s="229">
        <v>98633.738810354465</v>
      </c>
      <c r="BE530" s="244">
        <v>38.66164430895752</v>
      </c>
      <c r="BF530" s="146">
        <v>417567.64556785487</v>
      </c>
      <c r="BG530" t="s">
        <v>387</v>
      </c>
      <c r="BH530" s="146">
        <v>8.4141302019368034E-6</v>
      </c>
      <c r="BI530" s="146">
        <v>2186337.3881035447</v>
      </c>
      <c r="BJ530">
        <f t="shared" si="32"/>
        <v>0.19098957363120339</v>
      </c>
    </row>
    <row r="531" spans="1:62" s="146" customFormat="1" x14ac:dyDescent="0.3">
      <c r="A531">
        <v>-0.1</v>
      </c>
      <c r="B531" s="227">
        <v>1600</v>
      </c>
      <c r="C531" s="146">
        <v>25</v>
      </c>
      <c r="D531" s="146">
        <v>400</v>
      </c>
      <c r="E531" s="252">
        <v>24.546743248228058</v>
      </c>
      <c r="F531" s="146">
        <v>1.3833055249087098</v>
      </c>
      <c r="G531" s="146">
        <v>25.902853408467589</v>
      </c>
      <c r="H531" s="146">
        <v>31.997424337337272</v>
      </c>
      <c r="J531" s="146">
        <v>0.99999999917121518</v>
      </c>
      <c r="K531" s="146">
        <v>0.36</v>
      </c>
      <c r="L531" s="146">
        <v>163.73508383170687</v>
      </c>
      <c r="M531" s="146">
        <v>60.394088298580407</v>
      </c>
      <c r="N531" s="146">
        <v>7.1184523977422529</v>
      </c>
      <c r="Z531" s="146">
        <v>0.22246954388250079</v>
      </c>
      <c r="AL531" s="146">
        <v>3802.6552641393323</v>
      </c>
      <c r="AM531" s="146">
        <v>5.3403596240733466E-2</v>
      </c>
      <c r="AN531" s="146">
        <v>0.25706120022674811</v>
      </c>
      <c r="AO531" s="146">
        <v>304.5101196657609</v>
      </c>
      <c r="AP531" s="146">
        <v>243.42906526820562</v>
      </c>
      <c r="AQ531" s="146" t="s">
        <v>303</v>
      </c>
      <c r="AR531" s="146">
        <f t="shared" si="33"/>
        <v>19.525354503836514</v>
      </c>
      <c r="AS531" s="146">
        <f t="shared" si="34"/>
        <v>5.3287291164862003</v>
      </c>
      <c r="AT531" s="146">
        <v>0.4</v>
      </c>
      <c r="AU531" s="146">
        <v>1</v>
      </c>
      <c r="AV531" s="146">
        <v>0.5</v>
      </c>
      <c r="AW531" s="146">
        <v>3</v>
      </c>
      <c r="AX531" s="146">
        <v>0.99999999900000003</v>
      </c>
      <c r="AY531" s="146">
        <v>0.36</v>
      </c>
      <c r="AZ531" s="209">
        <v>243.42906526820562</v>
      </c>
      <c r="BA531" s="146">
        <v>0.99999999900000003</v>
      </c>
      <c r="BB531" s="252">
        <v>32.411212080941851</v>
      </c>
      <c r="BC531" s="244">
        <v>224.78741964527302</v>
      </c>
      <c r="BD531" s="229">
        <v>103693.43063305308</v>
      </c>
      <c r="BE531" s="244">
        <v>40.995539468798377</v>
      </c>
      <c r="BF531" s="146">
        <v>478724.03005913901</v>
      </c>
      <c r="BG531" t="s">
        <v>387</v>
      </c>
      <c r="BH531" s="146">
        <v>8.756700618386246E-6</v>
      </c>
      <c r="BI531" s="146">
        <v>2236934.3063305309</v>
      </c>
      <c r="BJ531">
        <f t="shared" si="32"/>
        <v>0.21400898037298124</v>
      </c>
    </row>
    <row r="532" spans="1:62" s="140" customFormat="1" x14ac:dyDescent="0.3">
      <c r="A532" s="140">
        <v>-0.1</v>
      </c>
      <c r="B532" s="140">
        <v>1900</v>
      </c>
      <c r="C532" s="140">
        <v>25</v>
      </c>
      <c r="D532" s="140">
        <v>400</v>
      </c>
      <c r="E532" s="253">
        <v>25.922759889624523</v>
      </c>
      <c r="F532" s="140">
        <v>1.4265301211659944</v>
      </c>
      <c r="G532" s="140">
        <v>27.316678916592839</v>
      </c>
      <c r="H532" s="140">
        <v>33.810200569553835</v>
      </c>
      <c r="J532" s="140">
        <v>0.99999999916502502</v>
      </c>
      <c r="K532" s="140">
        <v>0.36</v>
      </c>
      <c r="L532" s="140">
        <v>173.26406408688231</v>
      </c>
      <c r="M532" s="140">
        <v>63.908876097620528</v>
      </c>
      <c r="N532" s="140">
        <v>7.5471137044974164</v>
      </c>
      <c r="Z532" s="140">
        <v>0.223220021690543</v>
      </c>
      <c r="AL532" s="140">
        <v>4009.330205224549</v>
      </c>
      <c r="AM532" s="140">
        <v>5.2221945629689417E-2</v>
      </c>
      <c r="AN532" s="140">
        <v>0.25995134988515911</v>
      </c>
      <c r="AO532" s="140">
        <v>300.27841786135508</v>
      </c>
      <c r="AP532" s="140">
        <v>235.77335297584375</v>
      </c>
      <c r="AQ532" s="140" t="s">
        <v>303</v>
      </c>
      <c r="AR532" s="140">
        <f t="shared" si="33"/>
        <v>19.525354503836514</v>
      </c>
      <c r="AS532" s="140">
        <f t="shared" si="34"/>
        <v>5.3287291164862003</v>
      </c>
      <c r="AT532" s="140">
        <v>0.4</v>
      </c>
      <c r="AU532" s="140">
        <v>1</v>
      </c>
      <c r="AV532" s="140">
        <v>0.5</v>
      </c>
      <c r="AW532" s="140">
        <v>3</v>
      </c>
      <c r="AX532" s="140">
        <v>0.99999999900000003</v>
      </c>
      <c r="AY532" s="140">
        <v>0.36</v>
      </c>
      <c r="AZ532" s="209">
        <v>235.77335297584375</v>
      </c>
      <c r="BA532" s="140">
        <v>0.99999999900000003</v>
      </c>
      <c r="BB532" s="253">
        <v>33.951550702798592</v>
      </c>
      <c r="BC532" s="245">
        <v>229.64855744953172</v>
      </c>
      <c r="BD532" s="210">
        <v>106936.04782735994</v>
      </c>
      <c r="BE532" s="245">
        <v>42.613029104594794</v>
      </c>
      <c r="BF532" s="140">
        <v>524338.77736895054</v>
      </c>
      <c r="BG532" t="s">
        <v>387</v>
      </c>
      <c r="BH532" s="140">
        <v>8.9914218784726443E-6</v>
      </c>
      <c r="BI532" s="140">
        <v>2269360.4782735994</v>
      </c>
      <c r="BJ532">
        <f t="shared" si="32"/>
        <v>0.23105133908379233</v>
      </c>
    </row>
    <row r="533" spans="1:62" s="146" customFormat="1" x14ac:dyDescent="0.3">
      <c r="A533">
        <v>-0.1</v>
      </c>
      <c r="B533" s="146">
        <v>1000</v>
      </c>
      <c r="C533" s="146">
        <v>25</v>
      </c>
      <c r="D533" s="146">
        <v>200</v>
      </c>
      <c r="E533" s="252">
        <v>19.886856321579501</v>
      </c>
      <c r="F533" s="146">
        <v>1.3496783374079477</v>
      </c>
      <c r="G533" s="146">
        <v>21.170434827591276</v>
      </c>
      <c r="H533" s="146">
        <v>25.748866622150704</v>
      </c>
      <c r="J533" s="146">
        <v>0.99999999917673188</v>
      </c>
      <c r="K533" s="146">
        <v>0.36</v>
      </c>
      <c r="L533" s="146">
        <v>133.83895925412025</v>
      </c>
      <c r="M533" s="146">
        <v>49.366829233077141</v>
      </c>
      <c r="N533" s="146">
        <v>5.5576406342764777</v>
      </c>
      <c r="Z533" s="146">
        <v>0.21584020437992657</v>
      </c>
      <c r="AL533" s="146">
        <v>2850.6903463999661</v>
      </c>
      <c r="AM533" s="146">
        <v>6.375298138179579E-2</v>
      </c>
      <c r="AN533" s="146">
        <v>0.25287065445632151</v>
      </c>
      <c r="AO533" s="146">
        <v>121.35561809520065</v>
      </c>
      <c r="AP533" s="146">
        <v>71.870029261728561</v>
      </c>
      <c r="AQ533" s="146" t="s">
        <v>303</v>
      </c>
      <c r="AR533" s="146">
        <f t="shared" si="33"/>
        <v>19.525354503836514</v>
      </c>
      <c r="AS533" s="146">
        <f t="shared" si="34"/>
        <v>5.3287291164862003</v>
      </c>
      <c r="AT533" s="146">
        <v>0.4</v>
      </c>
      <c r="AU533" s="146">
        <v>1</v>
      </c>
      <c r="AV533" s="146">
        <v>0.5</v>
      </c>
      <c r="AW533" s="146">
        <v>3</v>
      </c>
      <c r="AX533" s="146">
        <v>0.99999999900000003</v>
      </c>
      <c r="AY533" s="146">
        <v>0.36</v>
      </c>
      <c r="AZ533" s="209">
        <v>71.870029261728561</v>
      </c>
      <c r="BA533" s="146">
        <v>0.99999999900000003</v>
      </c>
      <c r="BB533" s="252">
        <v>27.804300906845715</v>
      </c>
      <c r="BC533" s="244">
        <v>207.76653422774888</v>
      </c>
      <c r="BD533" s="229">
        <v>92721.579822942615</v>
      </c>
      <c r="BE533" s="244">
        <v>35.729200695372931</v>
      </c>
      <c r="BF533" s="146">
        <v>341973.07635916676</v>
      </c>
      <c r="BG533" t="s">
        <v>388</v>
      </c>
      <c r="BH533" s="146">
        <v>7.7893721735774902E-6</v>
      </c>
      <c r="BI533" s="146">
        <v>2127215.7982294261</v>
      </c>
      <c r="BJ533">
        <f t="shared" si="32"/>
        <v>0.16076087656165669</v>
      </c>
    </row>
    <row r="534" spans="1:62" s="146" customFormat="1" x14ac:dyDescent="0.3">
      <c r="A534">
        <v>-0.1</v>
      </c>
      <c r="B534" s="146">
        <v>1000</v>
      </c>
      <c r="C534" s="146">
        <v>25</v>
      </c>
      <c r="D534" s="146">
        <v>300</v>
      </c>
      <c r="E534" s="252">
        <v>19.884302416263615</v>
      </c>
      <c r="F534" s="146">
        <v>1.263985146141585</v>
      </c>
      <c r="G534" s="146">
        <v>21.115869840936401</v>
      </c>
      <c r="H534" s="146">
        <v>25.914465790589468</v>
      </c>
      <c r="J534" s="146">
        <v>0.99999999919398597</v>
      </c>
      <c r="K534" s="146">
        <v>0.36</v>
      </c>
      <c r="L534" s="146">
        <v>132.5390931324458</v>
      </c>
      <c r="M534" s="146">
        <v>48.887370417705426</v>
      </c>
      <c r="N534" s="146">
        <v>5.7303759532406602</v>
      </c>
      <c r="Z534" s="146">
        <v>0.22112653216728004</v>
      </c>
      <c r="AL534" s="146">
        <v>3035.5677480230211</v>
      </c>
      <c r="AM534" s="146">
        <v>5.9859487469048185E-2</v>
      </c>
      <c r="AN534" s="146">
        <v>0.24811651167735821</v>
      </c>
      <c r="AO534" s="146">
        <v>219.85901187374242</v>
      </c>
      <c r="AP534" s="146">
        <v>170.37977140269228</v>
      </c>
      <c r="AQ534" s="146" t="s">
        <v>303</v>
      </c>
      <c r="AR534" s="146">
        <f t="shared" si="33"/>
        <v>19.525354503836514</v>
      </c>
      <c r="AS534" s="146">
        <f t="shared" si="34"/>
        <v>5.3287291164862003</v>
      </c>
      <c r="AT534" s="146">
        <v>0.4</v>
      </c>
      <c r="AU534" s="146">
        <v>1</v>
      </c>
      <c r="AV534" s="146">
        <v>0.5</v>
      </c>
      <c r="AW534" s="146">
        <v>3</v>
      </c>
      <c r="AX534" s="146">
        <v>0.99999999900000003</v>
      </c>
      <c r="AY534" s="146">
        <v>0.36</v>
      </c>
      <c r="AZ534" s="209">
        <v>170.37977140269228</v>
      </c>
      <c r="BA534" s="146">
        <v>0.99999999900000003</v>
      </c>
      <c r="BB534" s="252">
        <v>27.328993424785523</v>
      </c>
      <c r="BC534" s="244">
        <v>204.53457563259659</v>
      </c>
      <c r="BD534" s="229">
        <v>91034.575277734562</v>
      </c>
      <c r="BE534" s="244">
        <v>35.295365008200143</v>
      </c>
      <c r="BF534" s="146">
        <v>337621.57658906246</v>
      </c>
      <c r="BG534" t="s">
        <v>388</v>
      </c>
      <c r="BH534" s="146">
        <v>7.8584186904274584E-6</v>
      </c>
      <c r="BI534" s="146">
        <v>2110345.7527773455</v>
      </c>
      <c r="BJ534">
        <f t="shared" si="32"/>
        <v>0.15998401027164938</v>
      </c>
    </row>
    <row r="535" spans="1:62" s="146" customFormat="1" x14ac:dyDescent="0.3">
      <c r="A535">
        <v>-0.1</v>
      </c>
      <c r="B535" s="146">
        <v>1000</v>
      </c>
      <c r="C535" s="146">
        <v>25</v>
      </c>
      <c r="D535" s="146">
        <v>400</v>
      </c>
      <c r="E535" s="252">
        <v>19.90000725895894</v>
      </c>
      <c r="F535" s="146">
        <v>1.2241664388925599</v>
      </c>
      <c r="G535" s="146">
        <v>21.108988327096196</v>
      </c>
      <c r="H535" s="146">
        <v>25.927318758673206</v>
      </c>
      <c r="J535" s="146">
        <v>0.99999999919405813</v>
      </c>
      <c r="K535" s="146">
        <v>0.36</v>
      </c>
      <c r="L535" s="146">
        <v>132.13922165190331</v>
      </c>
      <c r="M535" s="146">
        <v>48.739876838816805</v>
      </c>
      <c r="N535" s="146">
        <v>5.7288625819601435</v>
      </c>
      <c r="Z535" s="146">
        <v>0.22095854319852201</v>
      </c>
      <c r="AL535" s="146">
        <v>3134.4123051600118</v>
      </c>
      <c r="AM535" s="146">
        <v>5.7992662647938432E-2</v>
      </c>
      <c r="AN535" s="146">
        <v>0.24720332737564146</v>
      </c>
      <c r="AO535" s="146">
        <v>319.49943607061732</v>
      </c>
      <c r="AP535" s="146">
        <v>269.98101417994116</v>
      </c>
      <c r="AQ535" s="146" t="s">
        <v>303</v>
      </c>
      <c r="AR535" s="146">
        <f t="shared" si="33"/>
        <v>19.525354503836514</v>
      </c>
      <c r="AS535" s="146">
        <f t="shared" si="34"/>
        <v>5.3287291164862003</v>
      </c>
      <c r="AT535" s="146">
        <v>0.4</v>
      </c>
      <c r="AU535" s="146">
        <v>1</v>
      </c>
      <c r="AV535" s="146">
        <v>0.5</v>
      </c>
      <c r="AW535" s="146">
        <v>3</v>
      </c>
      <c r="AX535" s="146">
        <v>0.99999999900000003</v>
      </c>
      <c r="AY535" s="146">
        <v>0.36</v>
      </c>
      <c r="AZ535" s="209">
        <v>269.98101417994116</v>
      </c>
      <c r="BA535" s="146">
        <v>0.99999999900000003</v>
      </c>
      <c r="BB535" s="252">
        <v>27.125501679320113</v>
      </c>
      <c r="BC535" s="244">
        <v>203.55008280309042</v>
      </c>
      <c r="BD535" s="229">
        <v>90552.002553419356</v>
      </c>
      <c r="BE535" s="244">
        <v>35.209056673299784</v>
      </c>
      <c r="BF535" s="146">
        <v>336701.86986984871</v>
      </c>
      <c r="BG535" t="s">
        <v>388</v>
      </c>
      <c r="BH535" s="146">
        <v>7.883982768658322E-6</v>
      </c>
      <c r="BI535" s="146">
        <v>2105520.0255341935</v>
      </c>
      <c r="BJ535">
        <f t="shared" si="32"/>
        <v>0.15991387675565982</v>
      </c>
    </row>
    <row r="536" spans="1:62" s="146" customFormat="1" x14ac:dyDescent="0.3">
      <c r="A536">
        <v>-0.1</v>
      </c>
      <c r="B536" s="146">
        <v>1000</v>
      </c>
      <c r="C536" s="146">
        <v>25</v>
      </c>
      <c r="D536" s="146">
        <v>500</v>
      </c>
      <c r="E536" s="252">
        <v>19.916961394876541</v>
      </c>
      <c r="F536" s="146">
        <v>1.1927692160332448</v>
      </c>
      <c r="G536" s="146">
        <v>21.108457373112248</v>
      </c>
      <c r="H536" s="146">
        <v>25.911318376706411</v>
      </c>
      <c r="J536" s="146">
        <v>0.9999999991918842</v>
      </c>
      <c r="K536" s="146">
        <v>0.36</v>
      </c>
      <c r="L536" s="146">
        <v>131.85750924495161</v>
      </c>
      <c r="M536" s="146">
        <v>48.635966524777238</v>
      </c>
      <c r="N536" s="146">
        <v>5.6968013048173844</v>
      </c>
      <c r="Z536" s="146">
        <v>0.21985763989294568</v>
      </c>
      <c r="AL536" s="146">
        <v>3218.1320391342729</v>
      </c>
      <c r="AM536" s="146">
        <v>5.6506697526489208E-2</v>
      </c>
      <c r="AN536" s="146">
        <v>0.24677769803097491</v>
      </c>
      <c r="AO536" s="146">
        <v>419.29189082403786</v>
      </c>
      <c r="AP536" s="146">
        <v>369.73138672557963</v>
      </c>
      <c r="AQ536" s="146" t="s">
        <v>303</v>
      </c>
      <c r="AR536" s="146">
        <f t="shared" si="33"/>
        <v>19.525354503836514</v>
      </c>
      <c r="AS536" s="146">
        <f t="shared" si="34"/>
        <v>5.3287291164862003</v>
      </c>
      <c r="AT536" s="146">
        <v>0.4</v>
      </c>
      <c r="AU536" s="146">
        <v>1</v>
      </c>
      <c r="AV536" s="146">
        <v>0.5</v>
      </c>
      <c r="AW536" s="146">
        <v>3</v>
      </c>
      <c r="AX536" s="146">
        <v>0.99999999900000003</v>
      </c>
      <c r="AY536" s="146">
        <v>0.36</v>
      </c>
      <c r="AZ536" s="209">
        <v>369.73138672557963</v>
      </c>
      <c r="BA536" s="146">
        <v>0.99999999900000003</v>
      </c>
      <c r="BB536" s="252">
        <v>26.969700987244149</v>
      </c>
      <c r="BC536" s="244">
        <v>202.85920906198842</v>
      </c>
      <c r="BD536" s="229">
        <v>90237.962472450075</v>
      </c>
      <c r="BE536" s="244">
        <v>35.185339025644531</v>
      </c>
      <c r="BF536" s="146">
        <v>336236.02274113311</v>
      </c>
      <c r="BG536" t="s">
        <v>388</v>
      </c>
      <c r="BH536" s="146">
        <v>7.9029789468736459E-6</v>
      </c>
      <c r="BI536" s="146">
        <v>2102379.6247245008</v>
      </c>
      <c r="BJ536">
        <f t="shared" si="32"/>
        <v>0.15993116504122989</v>
      </c>
    </row>
    <row r="537" spans="1:62" s="146" customFormat="1" x14ac:dyDescent="0.3">
      <c r="A537">
        <v>-0.1</v>
      </c>
      <c r="B537" s="146">
        <v>1000</v>
      </c>
      <c r="C537" s="146">
        <v>25</v>
      </c>
      <c r="D537" s="146">
        <v>600</v>
      </c>
      <c r="E537" s="252">
        <v>19.934132126591685</v>
      </c>
      <c r="F537" s="146">
        <v>1.1647422967293846</v>
      </c>
      <c r="G537" s="146">
        <v>21.110153469041865</v>
      </c>
      <c r="H537" s="146">
        <v>25.886276010479936</v>
      </c>
      <c r="J537" s="146">
        <v>0.99999999918904348</v>
      </c>
      <c r="K537" s="146">
        <v>0.36</v>
      </c>
      <c r="L537" s="146">
        <v>131.61942513780772</v>
      </c>
      <c r="M537" s="146">
        <v>48.548148616404497</v>
      </c>
      <c r="N537" s="146">
        <v>5.6553187961761999</v>
      </c>
      <c r="Z537" s="146">
        <v>0.21846783963389216</v>
      </c>
      <c r="AL537" s="146">
        <v>3297.1901365705762</v>
      </c>
      <c r="AM537" s="146">
        <v>5.5174506354844097E-2</v>
      </c>
      <c r="AN537" s="146">
        <v>0.24650841456129688</v>
      </c>
      <c r="AO537" s="146">
        <v>519.13407028288339</v>
      </c>
      <c r="AP537" s="146">
        <v>469.5307384824755</v>
      </c>
      <c r="AQ537" s="146" t="s">
        <v>303</v>
      </c>
      <c r="AR537" s="146">
        <f t="shared" si="33"/>
        <v>19.525354503836514</v>
      </c>
      <c r="AS537" s="146">
        <f t="shared" si="34"/>
        <v>5.3287291164862003</v>
      </c>
      <c r="AT537" s="146">
        <v>0.4</v>
      </c>
      <c r="AU537" s="146">
        <v>1</v>
      </c>
      <c r="AV537" s="146">
        <v>0.5</v>
      </c>
      <c r="AW537" s="146">
        <v>3</v>
      </c>
      <c r="AX537" s="146">
        <v>0.99999999900000003</v>
      </c>
      <c r="AY537" s="146">
        <v>0.36</v>
      </c>
      <c r="AZ537" s="209">
        <v>469.5307384824755</v>
      </c>
      <c r="BA537" s="146">
        <v>0.99999999900000003</v>
      </c>
      <c r="BB537" s="252">
        <v>26.83271539726119</v>
      </c>
      <c r="BC537" s="244">
        <v>202.27706303624578</v>
      </c>
      <c r="BD537" s="229">
        <v>89985.152226554579</v>
      </c>
      <c r="BE537" s="244">
        <v>35.183014597949892</v>
      </c>
      <c r="BF537" s="146">
        <v>335929.57336320356</v>
      </c>
      <c r="BG537" t="s">
        <v>388</v>
      </c>
      <c r="BH537" s="146">
        <v>7.9195165804710314E-6</v>
      </c>
      <c r="BI537" s="146">
        <v>2099851.522265546</v>
      </c>
      <c r="BJ537">
        <f t="shared" si="32"/>
        <v>0.15997777452415615</v>
      </c>
    </row>
    <row r="538" spans="1:62" s="146" customFormat="1" x14ac:dyDescent="0.3">
      <c r="A538">
        <v>-0.1</v>
      </c>
      <c r="B538" s="146">
        <v>1000</v>
      </c>
      <c r="C538" s="146">
        <v>25</v>
      </c>
      <c r="D538" s="146">
        <v>700</v>
      </c>
      <c r="E538" s="252">
        <v>19.95221849507708</v>
      </c>
      <c r="F538" s="146">
        <v>1.138027367213265</v>
      </c>
      <c r="G538" s="146">
        <v>21.113615605144599</v>
      </c>
      <c r="H538" s="146">
        <v>25.857086780368071</v>
      </c>
      <c r="J538" s="146">
        <v>0.99914445097319626</v>
      </c>
      <c r="K538" s="146">
        <v>0.36</v>
      </c>
      <c r="L538" s="146">
        <v>131.40123154900454</v>
      </c>
      <c r="M538" s="146">
        <v>48.467667374632825</v>
      </c>
      <c r="N538" s="146">
        <v>5.6195649980597224</v>
      </c>
      <c r="Z538" s="146">
        <v>0.21733171434944337</v>
      </c>
      <c r="AL538" s="146">
        <v>3379.1321024384033</v>
      </c>
      <c r="AM538" s="146">
        <v>5.390016511127399E-2</v>
      </c>
      <c r="AN538" s="146">
        <v>0.24631710057043432</v>
      </c>
      <c r="AO538" s="146">
        <v>618.99783470627631</v>
      </c>
      <c r="AP538" s="146">
        <v>569.3496034085415</v>
      </c>
      <c r="AQ538" s="146" t="s">
        <v>303</v>
      </c>
      <c r="AR538" s="146">
        <f t="shared" si="33"/>
        <v>19.525354503836514</v>
      </c>
      <c r="AS538" s="146">
        <f t="shared" si="34"/>
        <v>5.3287291164862003</v>
      </c>
      <c r="AT538" s="146">
        <v>0.4</v>
      </c>
      <c r="AU538" s="146">
        <v>1</v>
      </c>
      <c r="AV538" s="146">
        <v>0.5</v>
      </c>
      <c r="AW538" s="146">
        <v>3</v>
      </c>
      <c r="AX538" s="146">
        <v>0.99894954045573037</v>
      </c>
      <c r="AY538" s="146">
        <v>0.36</v>
      </c>
      <c r="AZ538" s="209">
        <v>569.3496034085415</v>
      </c>
      <c r="BA538" s="146">
        <v>0.99894954045573037</v>
      </c>
      <c r="BB538" s="252">
        <v>26.708020973483876</v>
      </c>
      <c r="BC538" s="244">
        <v>201.74493826744782</v>
      </c>
      <c r="BD538" s="229">
        <v>89772.358733999237</v>
      </c>
      <c r="BE538" s="244">
        <v>35.208432316907917</v>
      </c>
      <c r="BF538" s="146">
        <v>335742.85435872537</v>
      </c>
      <c r="BG538" t="s">
        <v>388</v>
      </c>
      <c r="BH538" s="146">
        <v>7.9347078213898697E-6</v>
      </c>
      <c r="BI538" s="146">
        <v>2097723.5873399926</v>
      </c>
      <c r="BJ538">
        <f t="shared" si="32"/>
        <v>0.16005104599336767</v>
      </c>
    </row>
    <row r="539" spans="1:62" s="146" customFormat="1" x14ac:dyDescent="0.3">
      <c r="A539">
        <v>-0.1</v>
      </c>
      <c r="B539" s="146">
        <v>1000</v>
      </c>
      <c r="C539" s="146">
        <v>25</v>
      </c>
      <c r="D539" s="146">
        <v>800</v>
      </c>
      <c r="E539" s="252">
        <v>20.018444852747354</v>
      </c>
      <c r="F539" s="146">
        <v>1.0796632315952974</v>
      </c>
      <c r="G539" s="146">
        <v>21.150235604895087</v>
      </c>
      <c r="H539" s="146">
        <v>25.786614518040352</v>
      </c>
      <c r="J539" s="146">
        <v>0.95846860804911638</v>
      </c>
      <c r="K539" s="146">
        <v>0.36</v>
      </c>
      <c r="L539" s="146">
        <v>130.99786183350344</v>
      </c>
      <c r="M539" s="146">
        <v>48.318883463177499</v>
      </c>
      <c r="N539" s="146">
        <v>6.0438657694331113</v>
      </c>
      <c r="Z539" s="146">
        <v>0.23437996349636414</v>
      </c>
      <c r="AL539" s="146">
        <v>3690.889734051364</v>
      </c>
      <c r="AM539" s="146">
        <v>5.1047338278606046E-2</v>
      </c>
      <c r="AN539" s="146">
        <v>0.24644123950687985</v>
      </c>
      <c r="AO539" s="146">
        <v>718.7699068029217</v>
      </c>
      <c r="AP539" s="146">
        <v>668.95684933480845</v>
      </c>
      <c r="AQ539" s="146" t="s">
        <v>303</v>
      </c>
      <c r="AR539" s="146">
        <f t="shared" si="33"/>
        <v>19.525354503836514</v>
      </c>
      <c r="AS539" s="146">
        <f t="shared" si="34"/>
        <v>5.3287291164862003</v>
      </c>
      <c r="AT539" s="146">
        <v>0.4</v>
      </c>
      <c r="AU539" s="146">
        <v>1</v>
      </c>
      <c r="AV539" s="146">
        <v>0.5</v>
      </c>
      <c r="AW539" s="146">
        <v>3</v>
      </c>
      <c r="AX539" s="146">
        <v>0.95032574256150715</v>
      </c>
      <c r="AY539" s="146">
        <v>0.36</v>
      </c>
      <c r="AZ539" s="209">
        <v>668.95684933480845</v>
      </c>
      <c r="BA539" s="146">
        <v>0.95032574256150715</v>
      </c>
      <c r="BB539" s="252">
        <v>26.634893261711998</v>
      </c>
      <c r="BC539" s="244">
        <v>200.76467903765717</v>
      </c>
      <c r="BD539" s="229">
        <v>89884.941776048392</v>
      </c>
      <c r="BE539" s="244">
        <v>36.018975502376435</v>
      </c>
      <c r="BF539" s="146">
        <v>337369.72900117305</v>
      </c>
      <c r="BG539" t="s">
        <v>388</v>
      </c>
      <c r="BH539" s="146">
        <v>7.9523887833655573E-6</v>
      </c>
      <c r="BI539" s="146">
        <v>2098849.4177604839</v>
      </c>
      <c r="BJ539">
        <f t="shared" si="32"/>
        <v>0.16074032093314897</v>
      </c>
    </row>
    <row r="540" spans="1:62" s="146" customFormat="1" x14ac:dyDescent="0.3">
      <c r="A540">
        <v>-0.1</v>
      </c>
      <c r="B540" s="146">
        <v>1000</v>
      </c>
      <c r="C540" s="146">
        <v>25</v>
      </c>
      <c r="D540" s="146">
        <v>900</v>
      </c>
      <c r="E540" s="252">
        <v>20.079808389289894</v>
      </c>
      <c r="F540" s="146">
        <v>1.0252285084752246</v>
      </c>
      <c r="G540" s="146">
        <v>21.183711832308866</v>
      </c>
      <c r="H540" s="146">
        <v>25.728876697549317</v>
      </c>
      <c r="J540" s="146">
        <v>0.92755224197984609</v>
      </c>
      <c r="K540" s="146">
        <v>0.36</v>
      </c>
      <c r="L540" s="146">
        <v>130.67158440290493</v>
      </c>
      <c r="M540" s="146">
        <v>48.198535230579694</v>
      </c>
      <c r="N540" s="146">
        <v>6.4124448747214018</v>
      </c>
      <c r="Z540" s="146">
        <v>0.24923143556174721</v>
      </c>
      <c r="AL540" s="146">
        <v>3974.7908212159819</v>
      </c>
      <c r="AM540" s="146">
        <v>4.8397019209427301E-2</v>
      </c>
      <c r="AN540" s="146">
        <v>0.24648159563875624</v>
      </c>
      <c r="AO540" s="146">
        <v>818.53424862309441</v>
      </c>
      <c r="AP540" s="146">
        <v>768.56838385528044</v>
      </c>
      <c r="AQ540" s="146" t="s">
        <v>303</v>
      </c>
      <c r="AR540" s="146">
        <f t="shared" si="33"/>
        <v>19.525354503836514</v>
      </c>
      <c r="AS540" s="146">
        <f t="shared" si="34"/>
        <v>5.3287291164862003</v>
      </c>
      <c r="AT540" s="146">
        <v>0.4</v>
      </c>
      <c r="AU540" s="146">
        <v>1</v>
      </c>
      <c r="AV540" s="146">
        <v>0.5</v>
      </c>
      <c r="AW540" s="146">
        <v>3</v>
      </c>
      <c r="AX540" s="146">
        <v>0.91499281442321423</v>
      </c>
      <c r="AY540" s="146">
        <v>0.36</v>
      </c>
      <c r="AZ540" s="209">
        <v>768.56838385528044</v>
      </c>
      <c r="BA540" s="146">
        <v>0.91499281442321423</v>
      </c>
      <c r="BB540" s="252">
        <v>26.51370089500238</v>
      </c>
      <c r="BC540" s="244">
        <v>199.9750366365798</v>
      </c>
      <c r="BD540" s="229">
        <v>89888.913151016983</v>
      </c>
      <c r="BE540" s="244">
        <v>36.540638875963694</v>
      </c>
      <c r="BF540" s="146">
        <v>338618.49004745489</v>
      </c>
      <c r="BG540" t="s">
        <v>388</v>
      </c>
      <c r="BH540" s="146">
        <v>7.9730150302206083E-6</v>
      </c>
      <c r="BI540" s="146">
        <v>2098889.1315101697</v>
      </c>
      <c r="BJ540">
        <f t="shared" si="32"/>
        <v>0.16133224235804006</v>
      </c>
    </row>
    <row r="541" spans="1:62" s="146" customFormat="1" x14ac:dyDescent="0.3">
      <c r="A541">
        <v>-0.1</v>
      </c>
      <c r="B541" s="146">
        <v>1000</v>
      </c>
      <c r="C541" s="146">
        <v>25</v>
      </c>
      <c r="D541" s="146">
        <v>1000</v>
      </c>
      <c r="E541" s="252">
        <v>20.136109271935716</v>
      </c>
      <c r="F541" s="146">
        <v>0.97536738575184301</v>
      </c>
      <c r="G541" s="146">
        <v>21.214329834065229</v>
      </c>
      <c r="H541" s="146">
        <v>25.68099492976981</v>
      </c>
      <c r="J541" s="146">
        <v>0.90300734458417631</v>
      </c>
      <c r="K541" s="146">
        <v>0.36</v>
      </c>
      <c r="L541" s="146">
        <v>130.40331852987467</v>
      </c>
      <c r="M541" s="146">
        <v>48.099584703642293</v>
      </c>
      <c r="N541" s="146">
        <v>6.7364519933380826</v>
      </c>
      <c r="Z541" s="146">
        <v>0.26231273405724176</v>
      </c>
      <c r="AL541" s="146">
        <v>4236.4231706774035</v>
      </c>
      <c r="AM541" s="146">
        <v>4.5976818187564529E-2</v>
      </c>
      <c r="AN541" s="146">
        <v>0.24647535509479185</v>
      </c>
      <c r="AO541" s="146">
        <v>918.30376199603575</v>
      </c>
      <c r="AP541" s="146">
        <v>868.19717400836362</v>
      </c>
      <c r="AQ541" s="146" t="s">
        <v>303</v>
      </c>
      <c r="AR541" s="146">
        <f t="shared" si="33"/>
        <v>19.525354503836514</v>
      </c>
      <c r="AS541" s="146">
        <f t="shared" si="34"/>
        <v>5.3287291164862003</v>
      </c>
      <c r="AT541" s="146">
        <v>0.4</v>
      </c>
      <c r="AU541" s="146">
        <v>1</v>
      </c>
      <c r="AV541" s="146">
        <v>0.5</v>
      </c>
      <c r="AW541" s="146">
        <v>3</v>
      </c>
      <c r="AX541" s="146">
        <v>0.8878555726890387</v>
      </c>
      <c r="AY541" s="146">
        <v>0.36</v>
      </c>
      <c r="AZ541" s="209">
        <v>868.19717400836362</v>
      </c>
      <c r="BA541" s="146">
        <v>0.8878555726890387</v>
      </c>
      <c r="BB541" s="252">
        <v>26.372899495943624</v>
      </c>
      <c r="BC541" s="244">
        <v>199.32796454207389</v>
      </c>
      <c r="BD541" s="229">
        <v>89838.432053626544</v>
      </c>
      <c r="BE541" s="244">
        <v>36.886783159361549</v>
      </c>
      <c r="BF541" s="146">
        <v>339623.37927721074</v>
      </c>
      <c r="BG541" t="s">
        <v>388</v>
      </c>
      <c r="BH541" s="146">
        <v>7.99423924015284E-6</v>
      </c>
      <c r="BI541" s="146">
        <v>2098384.3205362651</v>
      </c>
      <c r="BJ541">
        <f t="shared" si="32"/>
        <v>0.1618499413827188</v>
      </c>
    </row>
    <row r="542" spans="1:62" s="140" customFormat="1" x14ac:dyDescent="0.3">
      <c r="A542" s="140">
        <v>-0.1</v>
      </c>
      <c r="B542" s="140">
        <v>1000</v>
      </c>
      <c r="C542" s="140">
        <v>25</v>
      </c>
      <c r="D542" s="140">
        <v>1100</v>
      </c>
      <c r="E542" s="253">
        <v>20.187517463653609</v>
      </c>
      <c r="F542" s="140">
        <v>0.92965117295786726</v>
      </c>
      <c r="G542" s="140">
        <v>21.242104782016263</v>
      </c>
      <c r="H542" s="140">
        <v>25.639784707686161</v>
      </c>
      <c r="J542" s="140">
        <v>0.88239102626106281</v>
      </c>
      <c r="K542" s="140">
        <v>0.36</v>
      </c>
      <c r="L542" s="140">
        <v>130.17439094938081</v>
      </c>
      <c r="M542" s="140">
        <v>48.015144202640464</v>
      </c>
      <c r="N542" s="140">
        <v>7.0310151996560748</v>
      </c>
      <c r="Z542" s="140">
        <v>0.27422286418607694</v>
      </c>
      <c r="AL542" s="140">
        <v>4483.3591977328288</v>
      </c>
      <c r="AM542" s="140">
        <v>4.3764550758873831E-2</v>
      </c>
      <c r="AN542" s="140">
        <v>0.24644635216052102</v>
      </c>
      <c r="AO542" s="140">
        <v>1018.085549708179</v>
      </c>
      <c r="AP542" s="140">
        <v>967.85159790479179</v>
      </c>
      <c r="AQ542" s="140" t="s">
        <v>303</v>
      </c>
      <c r="AR542" s="140">
        <f t="shared" si="33"/>
        <v>19.525354503836514</v>
      </c>
      <c r="AS542" s="140">
        <f t="shared" si="34"/>
        <v>5.3287291164862003</v>
      </c>
      <c r="AT542" s="140">
        <v>0.4</v>
      </c>
      <c r="AU542" s="140">
        <v>1</v>
      </c>
      <c r="AV542" s="140">
        <v>0.5</v>
      </c>
      <c r="AW542" s="140">
        <v>3</v>
      </c>
      <c r="AX542" s="140">
        <v>0.86562903956672022</v>
      </c>
      <c r="AY542" s="140">
        <v>0.36</v>
      </c>
      <c r="AZ542" s="209">
        <v>967.85159790479179</v>
      </c>
      <c r="BA542" s="140">
        <v>0.86562903956672022</v>
      </c>
      <c r="BB542" s="253">
        <v>26.226263000932654</v>
      </c>
      <c r="BC542" s="245">
        <v>198.77731965852271</v>
      </c>
      <c r="BD542" s="210">
        <v>89759.82448411001</v>
      </c>
      <c r="BE542" s="245">
        <v>37.127373094965634</v>
      </c>
      <c r="BF542" s="140">
        <v>340455.2670228284</v>
      </c>
      <c r="BG542" t="s">
        <v>388</v>
      </c>
      <c r="BH542" s="140">
        <v>8.0150117877153405E-6</v>
      </c>
      <c r="BI542" s="140">
        <v>2097598.2448411002</v>
      </c>
      <c r="BJ542">
        <f t="shared" si="32"/>
        <v>0.16230718530593496</v>
      </c>
    </row>
    <row r="543" spans="1:62" s="146" customFormat="1" x14ac:dyDescent="0.3">
      <c r="A543">
        <v>-0.1</v>
      </c>
      <c r="B543" s="146">
        <v>1000</v>
      </c>
      <c r="C543" s="146">
        <v>25</v>
      </c>
      <c r="D543" s="146">
        <v>400</v>
      </c>
      <c r="E543" s="252">
        <v>19.900009042369074</v>
      </c>
      <c r="F543" s="146">
        <v>1.224166509394371</v>
      </c>
      <c r="G543" s="146">
        <v>21.108990223482714</v>
      </c>
      <c r="H543" s="146">
        <v>25.927321017883685</v>
      </c>
      <c r="J543" s="146">
        <v>0.99999999919405791</v>
      </c>
      <c r="K543" s="146">
        <v>0.36</v>
      </c>
      <c r="L543" s="146">
        <v>132.13923292130005</v>
      </c>
      <c r="M543" s="146">
        <v>48.739880995561492</v>
      </c>
      <c r="N543" s="146">
        <v>5.7288630188977514</v>
      </c>
      <c r="Z543" s="146">
        <v>0.22095854079741592</v>
      </c>
      <c r="AL543" s="146">
        <v>3134.412549246741</v>
      </c>
      <c r="AM543" s="146">
        <v>5.7992660777896707E-2</v>
      </c>
      <c r="AN543" s="146">
        <v>0.24720332524156835</v>
      </c>
      <c r="AO543" s="146">
        <v>319.49942816132153</v>
      </c>
      <c r="AP543" s="146">
        <v>269.9810397978664</v>
      </c>
      <c r="AQ543" s="146" t="s">
        <v>303</v>
      </c>
      <c r="AR543" s="146">
        <f t="shared" si="33"/>
        <v>19.525354503836514</v>
      </c>
      <c r="AS543" s="146">
        <f t="shared" si="34"/>
        <v>5.3287291164862003</v>
      </c>
      <c r="AT543" s="146">
        <v>0.4</v>
      </c>
      <c r="AU543" s="146">
        <v>1</v>
      </c>
      <c r="AV543" s="146">
        <v>0.5</v>
      </c>
      <c r="AW543" s="146">
        <v>3</v>
      </c>
      <c r="AX543" s="146">
        <v>0.99999999900000003</v>
      </c>
      <c r="AY543" s="146">
        <v>0.36</v>
      </c>
      <c r="AZ543" s="209">
        <v>269.9810397978664</v>
      </c>
      <c r="BA543" s="146">
        <v>0.99999999900000003</v>
      </c>
      <c r="BB543" s="252">
        <v>27.125503810469823</v>
      </c>
      <c r="BC543" s="244">
        <v>203.55011048489646</v>
      </c>
      <c r="BD543" s="229">
        <v>90552.016765847191</v>
      </c>
      <c r="BE543" s="244">
        <v>35.209060081685308</v>
      </c>
      <c r="BF543" s="146">
        <v>336701.94253142597</v>
      </c>
      <c r="BG543" t="s">
        <v>389</v>
      </c>
      <c r="BH543" s="146">
        <v>7.8839827740535069E-6</v>
      </c>
      <c r="BI543" s="146">
        <v>2105520.167658472</v>
      </c>
      <c r="BJ543">
        <f t="shared" si="32"/>
        <v>0.15991390047138274</v>
      </c>
    </row>
    <row r="544" spans="1:62" s="146" customFormat="1" x14ac:dyDescent="0.3">
      <c r="A544">
        <v>-0.1</v>
      </c>
      <c r="B544" s="146">
        <v>1000</v>
      </c>
      <c r="C544" s="146">
        <v>25</v>
      </c>
      <c r="D544" s="146">
        <v>400</v>
      </c>
      <c r="E544" s="252">
        <v>19.183827382866848</v>
      </c>
      <c r="F544" s="146">
        <v>1.1852829862597889</v>
      </c>
      <c r="G544" s="146">
        <v>20.342701913593423</v>
      </c>
      <c r="H544" s="146">
        <v>25.041685163349346</v>
      </c>
      <c r="J544" s="146">
        <v>0.9999999991953783</v>
      </c>
      <c r="K544" s="146">
        <v>0.36</v>
      </c>
      <c r="L544" s="146">
        <v>127.67598493407075</v>
      </c>
      <c r="M544" s="146">
        <v>47.093601000272002</v>
      </c>
      <c r="N544" s="146">
        <v>5.5747412681287187</v>
      </c>
      <c r="Z544" s="146">
        <v>0.22261845525826796</v>
      </c>
      <c r="AL544" s="146">
        <v>3062.580236868313</v>
      </c>
      <c r="AM544" s="146">
        <v>5.8265759941542365E-2</v>
      </c>
      <c r="AN544" s="146">
        <v>0.24896541395357</v>
      </c>
      <c r="AO544" s="146">
        <v>322.94581372477512</v>
      </c>
      <c r="AP544" s="146">
        <v>275.20960280395468</v>
      </c>
      <c r="AQ544" s="146" t="s">
        <v>303</v>
      </c>
      <c r="AR544" s="146">
        <f t="shared" si="33"/>
        <v>19.525354503836514</v>
      </c>
      <c r="AS544" s="146">
        <f t="shared" si="34"/>
        <v>5.3287291164862003</v>
      </c>
      <c r="AT544" s="146">
        <v>0.4</v>
      </c>
      <c r="AU544" s="146">
        <v>1</v>
      </c>
      <c r="AV544" s="146">
        <v>0.5</v>
      </c>
      <c r="AW544" s="146">
        <v>2.5</v>
      </c>
      <c r="AX544" s="146">
        <v>0.99999999900000003</v>
      </c>
      <c r="AY544" s="146">
        <v>0.36</v>
      </c>
      <c r="AZ544" s="209">
        <v>275.20960280395468</v>
      </c>
      <c r="BA544" s="146">
        <v>0.99999999900000003</v>
      </c>
      <c r="BB544" s="252">
        <v>26.212351880168129</v>
      </c>
      <c r="BC544" s="244">
        <v>192.85801447028976</v>
      </c>
      <c r="BD544" s="229">
        <v>84921.525130427559</v>
      </c>
      <c r="BE544" s="244">
        <v>33.635200568382366</v>
      </c>
      <c r="BF544" s="146">
        <v>381859.70630203868</v>
      </c>
      <c r="BG544" t="s">
        <v>389</v>
      </c>
      <c r="BH544" s="146">
        <v>7.6177869946494331E-6</v>
      </c>
      <c r="BI544" s="146">
        <v>2049215.2513042756</v>
      </c>
      <c r="BJ544">
        <f t="shared" si="32"/>
        <v>0.18634436087619116</v>
      </c>
    </row>
    <row r="545" spans="1:62" s="146" customFormat="1" x14ac:dyDescent="0.3">
      <c r="A545">
        <v>-0.1</v>
      </c>
      <c r="B545" s="146">
        <v>1000</v>
      </c>
      <c r="C545" s="146">
        <v>25</v>
      </c>
      <c r="D545" s="146">
        <v>400</v>
      </c>
      <c r="E545" s="252">
        <v>16.681100390941879</v>
      </c>
      <c r="F545" s="146">
        <v>1.0534098086518393</v>
      </c>
      <c r="G545" s="146">
        <v>17.676309166060687</v>
      </c>
      <c r="H545" s="146">
        <v>21.928325925448785</v>
      </c>
      <c r="J545" s="146">
        <v>0.99999999920116844</v>
      </c>
      <c r="K545" s="146">
        <v>0.36</v>
      </c>
      <c r="L545" s="146">
        <v>111.95037731969722</v>
      </c>
      <c r="M545" s="146">
        <v>41.293171962183408</v>
      </c>
      <c r="N545" s="146">
        <v>5.0129736049816884</v>
      </c>
      <c r="Z545" s="146">
        <v>0.22860721890146263</v>
      </c>
      <c r="AL545" s="146">
        <v>2799.4294612351332</v>
      </c>
      <c r="AM545" s="146">
        <v>5.959444354336333E-2</v>
      </c>
      <c r="AN545" s="146">
        <v>0.25448363745911284</v>
      </c>
      <c r="AO545" s="146">
        <v>334.45118689164451</v>
      </c>
      <c r="AP545" s="146">
        <v>292.94265874428811</v>
      </c>
      <c r="AQ545" s="146" t="s">
        <v>303</v>
      </c>
      <c r="AR545" s="146">
        <f t="shared" si="33"/>
        <v>19.525354503836514</v>
      </c>
      <c r="AS545" s="146">
        <f t="shared" si="34"/>
        <v>5.3287291164862003</v>
      </c>
      <c r="AT545" s="146">
        <v>0.4</v>
      </c>
      <c r="AU545" s="146">
        <v>1</v>
      </c>
      <c r="AV545" s="146">
        <v>0.5</v>
      </c>
      <c r="AW545" s="146">
        <v>1.5</v>
      </c>
      <c r="AX545" s="146">
        <v>0.99999999900000003</v>
      </c>
      <c r="AY545" s="146">
        <v>0.36</v>
      </c>
      <c r="AZ545" s="209">
        <v>292.94265874428811</v>
      </c>
      <c r="BA545" s="146">
        <v>0.99999999900000003</v>
      </c>
      <c r="BB545" s="252">
        <v>23.042338756870098</v>
      </c>
      <c r="BC545" s="244">
        <v>158.9201469468139</v>
      </c>
      <c r="BD545" s="229">
        <v>67392.006729037108</v>
      </c>
      <c r="BE545" s="244">
        <v>28.48140137034078</v>
      </c>
      <c r="BF545" s="146">
        <v>499437.48156659357</v>
      </c>
      <c r="BG545" t="s">
        <v>389</v>
      </c>
      <c r="BH545" s="146">
        <v>6.7302788255112898E-6</v>
      </c>
      <c r="BI545" s="146">
        <v>1873920.0672903711</v>
      </c>
      <c r="BJ545">
        <f t="shared" si="32"/>
        <v>0.26652016288440966</v>
      </c>
    </row>
    <row r="546" spans="1:62" s="146" customFormat="1" x14ac:dyDescent="0.3">
      <c r="A546">
        <v>-0.1</v>
      </c>
      <c r="B546" s="146">
        <v>1000</v>
      </c>
      <c r="C546" s="146">
        <v>25</v>
      </c>
      <c r="D546" s="146">
        <v>400</v>
      </c>
      <c r="E546" s="252">
        <v>14.417632469168232</v>
      </c>
      <c r="F546" s="146">
        <v>0.93828643074384643</v>
      </c>
      <c r="G546" s="146">
        <v>15.276893836271769</v>
      </c>
      <c r="H546" s="146">
        <v>19.087168121197834</v>
      </c>
      <c r="J546" s="146">
        <v>0.99999999920828098</v>
      </c>
      <c r="K546" s="146">
        <v>0.36</v>
      </c>
      <c r="L546" s="146">
        <v>97.554921556698645</v>
      </c>
      <c r="M546" s="146">
        <v>35.983372705339669</v>
      </c>
      <c r="N546" s="146">
        <v>4.4744765814436658</v>
      </c>
      <c r="Z546" s="146">
        <v>0.23442328128678239</v>
      </c>
      <c r="AL546" s="146">
        <v>2545.6476653243176</v>
      </c>
      <c r="AM546" s="146">
        <v>6.1418665391002637E-2</v>
      </c>
      <c r="AN546" s="146">
        <v>0.25877752025615952</v>
      </c>
      <c r="AO546" s="146">
        <v>344.28560697661658</v>
      </c>
      <c r="AP546" s="146">
        <v>308.40937460248261</v>
      </c>
      <c r="AQ546" s="146" t="s">
        <v>303</v>
      </c>
      <c r="AR546" s="146">
        <f t="shared" si="33"/>
        <v>19.525354503836514</v>
      </c>
      <c r="AS546" s="146">
        <f t="shared" si="34"/>
        <v>5.3287291164862003</v>
      </c>
      <c r="AT546" s="146">
        <v>0.4</v>
      </c>
      <c r="AU546" s="146">
        <v>1</v>
      </c>
      <c r="AV546" s="146">
        <v>0.5</v>
      </c>
      <c r="AW546" s="146">
        <v>1</v>
      </c>
      <c r="AX546" s="146">
        <v>0.99999999899999992</v>
      </c>
      <c r="AY546" s="146">
        <v>0.36</v>
      </c>
      <c r="AZ546" s="209">
        <v>308.40937460248261</v>
      </c>
      <c r="BA546" s="146">
        <v>0.99999999899999992</v>
      </c>
      <c r="BB546" s="252">
        <v>20.193576424034934</v>
      </c>
      <c r="BC546" s="244">
        <v>131.86731333644099</v>
      </c>
      <c r="BD546" s="229">
        <v>53896.516573137655</v>
      </c>
      <c r="BE546" s="244">
        <v>24.179947356204508</v>
      </c>
      <c r="BF546" s="146">
        <v>569843.53256673063</v>
      </c>
      <c r="BG546" t="s">
        <v>389</v>
      </c>
      <c r="BH546" s="146">
        <v>5.9294404762661422E-6</v>
      </c>
      <c r="BI546" s="146">
        <v>1738965.1657313765</v>
      </c>
      <c r="BJ546">
        <f t="shared" si="32"/>
        <v>0.32769117162106293</v>
      </c>
    </row>
    <row r="547" spans="1:62" s="146" customFormat="1" x14ac:dyDescent="0.3">
      <c r="A547">
        <v>-0.1</v>
      </c>
      <c r="B547" s="146">
        <v>1000</v>
      </c>
      <c r="C547" s="146">
        <v>25</v>
      </c>
      <c r="D547" s="146">
        <v>400</v>
      </c>
      <c r="E547" s="252">
        <v>13.167649454809558</v>
      </c>
      <c r="F547" s="146">
        <v>0.87582206660517803</v>
      </c>
      <c r="G547" s="146">
        <v>13.955567857231088</v>
      </c>
      <c r="H547" s="146">
        <v>17.507553150795029</v>
      </c>
      <c r="J547" s="146">
        <v>0.99999999921314919</v>
      </c>
      <c r="K547" s="146">
        <v>0.36</v>
      </c>
      <c r="L547" s="146">
        <v>89.534445893873723</v>
      </c>
      <c r="M547" s="146">
        <v>33.025000534625562</v>
      </c>
      <c r="N547" s="146">
        <v>4.1649000163523926</v>
      </c>
      <c r="Z547" s="146">
        <v>0.23789161057970351</v>
      </c>
      <c r="AL547" s="146">
        <v>2399.2188262558898</v>
      </c>
      <c r="AM547" s="146">
        <v>6.2757895312111581E-2</v>
      </c>
      <c r="AN547" s="146">
        <v>0.26092446598768049</v>
      </c>
      <c r="AO547" s="146">
        <v>349.53463100914706</v>
      </c>
      <c r="AP547" s="146">
        <v>316.76881807969477</v>
      </c>
      <c r="AQ547" s="146" t="s">
        <v>303</v>
      </c>
      <c r="AR547" s="146">
        <f t="shared" si="33"/>
        <v>19.525354503836514</v>
      </c>
      <c r="AS547" s="146">
        <f t="shared" si="34"/>
        <v>5.3287291164862003</v>
      </c>
      <c r="AT547" s="146">
        <v>0.4</v>
      </c>
      <c r="AU547" s="146">
        <v>1</v>
      </c>
      <c r="AV547" s="146">
        <v>0.5</v>
      </c>
      <c r="AW547" s="146">
        <v>0.8</v>
      </c>
      <c r="AX547" s="146">
        <v>0.99999999900000003</v>
      </c>
      <c r="AY547" s="146">
        <v>0.36</v>
      </c>
      <c r="AZ547" s="209">
        <v>316.76881807969477</v>
      </c>
      <c r="BA547" s="146">
        <v>0.99999999900000003</v>
      </c>
      <c r="BB547" s="252">
        <v>18.623132041659911</v>
      </c>
      <c r="BC547" s="244">
        <v>118.08685244997334</v>
      </c>
      <c r="BD547" s="229">
        <v>47230.554721525266</v>
      </c>
      <c r="BE547" s="244">
        <v>21.91609519760296</v>
      </c>
      <c r="BF547" s="146">
        <v>598225.79598651978</v>
      </c>
      <c r="BG547" t="s">
        <v>389</v>
      </c>
      <c r="BH547" s="146">
        <v>5.476414666228711E-6</v>
      </c>
      <c r="BI547" s="146">
        <v>1672305.5472152526</v>
      </c>
      <c r="BJ547">
        <f t="shared" si="32"/>
        <v>0.35772517587033903</v>
      </c>
    </row>
    <row r="548" spans="1:62" s="146" customFormat="1" x14ac:dyDescent="0.3">
      <c r="A548">
        <v>-0.1</v>
      </c>
      <c r="B548" s="146">
        <v>1000</v>
      </c>
      <c r="C548" s="146">
        <v>25</v>
      </c>
      <c r="D548" s="146">
        <v>400</v>
      </c>
      <c r="E548" s="252">
        <v>11.623595714784958</v>
      </c>
      <c r="F548" s="146">
        <v>0.809102052013842</v>
      </c>
      <c r="G548" s="146">
        <v>12.330854677655458</v>
      </c>
      <c r="H548" s="146">
        <v>15.493866881578208</v>
      </c>
      <c r="J548" s="146">
        <v>0.99999999922196814</v>
      </c>
      <c r="K548" s="146">
        <v>0.36</v>
      </c>
      <c r="L548" s="146">
        <v>79.294743393060799</v>
      </c>
      <c r="M548" s="146">
        <v>29.248061087604391</v>
      </c>
      <c r="N548" s="146">
        <v>3.7189172028285764</v>
      </c>
      <c r="Z548" s="146">
        <v>0.24002511647045768</v>
      </c>
      <c r="AL548" s="146">
        <v>2185.9709913062215</v>
      </c>
      <c r="AM548" s="146">
        <v>6.5616056077605289E-2</v>
      </c>
      <c r="AN548" s="146">
        <v>0.26082992054276666</v>
      </c>
      <c r="AO548" s="146">
        <v>355.43611066323541</v>
      </c>
      <c r="AP548" s="146">
        <v>326.51238989193286</v>
      </c>
      <c r="AQ548" s="146" t="s">
        <v>303</v>
      </c>
      <c r="AR548" s="146">
        <f t="shared" si="33"/>
        <v>19.525354503836514</v>
      </c>
      <c r="AS548" s="146">
        <f t="shared" si="34"/>
        <v>5.3287291164862003</v>
      </c>
      <c r="AT548" s="146">
        <v>0.4</v>
      </c>
      <c r="AU548" s="146">
        <v>1</v>
      </c>
      <c r="AV548" s="146">
        <v>0.5</v>
      </c>
      <c r="AW548" s="146">
        <v>0.6</v>
      </c>
      <c r="AX548" s="146">
        <v>0.99999999900000003</v>
      </c>
      <c r="AY548" s="146">
        <v>0.36</v>
      </c>
      <c r="AZ548" s="209">
        <v>326.51238989193286</v>
      </c>
      <c r="BA548" s="146">
        <v>0.99999999900000003</v>
      </c>
      <c r="BB548" s="252">
        <v>16.740047412451023</v>
      </c>
      <c r="BC548" s="244">
        <v>101.59440041488253</v>
      </c>
      <c r="BD548" s="229">
        <v>39675.584055077758</v>
      </c>
      <c r="BE548" s="244">
        <v>19.488774330548917</v>
      </c>
      <c r="BF548" s="146">
        <v>626440.27461470361</v>
      </c>
      <c r="BG548" t="s">
        <v>389</v>
      </c>
      <c r="BH548" s="146">
        <v>4.8968319180970372E-6</v>
      </c>
      <c r="BI548" s="146">
        <v>1596755.8405507775</v>
      </c>
      <c r="BJ548">
        <f t="shared" si="32"/>
        <v>0.39232064083048679</v>
      </c>
    </row>
    <row r="549" spans="1:62" s="146" customFormat="1" x14ac:dyDescent="0.3">
      <c r="A549">
        <v>-0.1</v>
      </c>
      <c r="B549" s="146">
        <v>1000</v>
      </c>
      <c r="C549" s="146">
        <v>25</v>
      </c>
      <c r="D549" s="146">
        <v>400</v>
      </c>
      <c r="E549" s="252">
        <v>9.617328938720517</v>
      </c>
      <c r="F549" s="146">
        <v>0.72539690746862784</v>
      </c>
      <c r="G549" s="146">
        <v>10.224963698565245</v>
      </c>
      <c r="H549" s="146">
        <v>12.844587374741176</v>
      </c>
      <c r="J549" s="146">
        <v>0.99999999923682192</v>
      </c>
      <c r="K549" s="146">
        <v>0.36</v>
      </c>
      <c r="L549" s="146">
        <v>65.796782180499207</v>
      </c>
      <c r="M549" s="146">
        <v>24.26930490264315</v>
      </c>
      <c r="N549" s="146">
        <v>3.1047902868016717</v>
      </c>
      <c r="Z549" s="146">
        <v>0.24171973736635777</v>
      </c>
      <c r="AL549" s="146">
        <v>1891.2479244298956</v>
      </c>
      <c r="AM549" s="146">
        <v>7.0943714701932351E-2</v>
      </c>
      <c r="AN549" s="146">
        <v>0.25842168757675127</v>
      </c>
      <c r="AO549" s="146">
        <v>362.7843582754092</v>
      </c>
      <c r="AP549" s="146">
        <v>338.85278102905943</v>
      </c>
      <c r="AQ549" s="146" t="s">
        <v>303</v>
      </c>
      <c r="AR549" s="146">
        <f t="shared" si="33"/>
        <v>19.525354503836514</v>
      </c>
      <c r="AS549" s="146">
        <f t="shared" si="34"/>
        <v>5.3287291164862003</v>
      </c>
      <c r="AT549" s="146">
        <v>0.4</v>
      </c>
      <c r="AU549" s="146">
        <v>1</v>
      </c>
      <c r="AV549" s="146">
        <v>0.5</v>
      </c>
      <c r="AW549" s="146">
        <v>0.4</v>
      </c>
      <c r="AX549" s="146">
        <v>0.99999999900000003</v>
      </c>
      <c r="AY549" s="146">
        <v>0.36</v>
      </c>
      <c r="AZ549" s="209">
        <v>338.85278102905943</v>
      </c>
      <c r="BA549" s="146">
        <v>0.99999999900000003</v>
      </c>
      <c r="BB549" s="252">
        <v>14.304964432597016</v>
      </c>
      <c r="BC549" s="244">
        <v>81.432266352401754</v>
      </c>
      <c r="BD549" s="229">
        <v>30864.831061422501</v>
      </c>
      <c r="BE549" s="244">
        <v>16.542256091764276</v>
      </c>
      <c r="BF549" s="146">
        <v>650588.3427563844</v>
      </c>
      <c r="BG549" t="s">
        <v>389</v>
      </c>
      <c r="BH549" s="146">
        <v>4.1134322636174719E-6</v>
      </c>
      <c r="BI549" s="146">
        <v>1508648.310614225</v>
      </c>
      <c r="BJ549">
        <f t="shared" si="32"/>
        <v>0.43123923460432373</v>
      </c>
    </row>
    <row r="550" spans="1:62" s="146" customFormat="1" x14ac:dyDescent="0.3">
      <c r="A550">
        <v>-0.1</v>
      </c>
      <c r="B550" s="146">
        <v>1000</v>
      </c>
      <c r="C550" s="146">
        <v>25</v>
      </c>
      <c r="D550" s="146">
        <v>400</v>
      </c>
      <c r="E550" s="252">
        <v>8.3325398747114505</v>
      </c>
      <c r="F550" s="146">
        <v>0.66760822183243529</v>
      </c>
      <c r="G550" s="146">
        <v>8.8762489842192256</v>
      </c>
      <c r="H550" s="146">
        <v>11.154076584308683</v>
      </c>
      <c r="J550" s="146">
        <v>0.99999999924779681</v>
      </c>
      <c r="K550" s="146">
        <v>0.36</v>
      </c>
      <c r="L550" s="146">
        <v>57.16877266587332</v>
      </c>
      <c r="M550" s="146">
        <v>21.086842376756557</v>
      </c>
      <c r="N550" s="146">
        <v>2.7165842137129204</v>
      </c>
      <c r="Z550" s="146">
        <v>0.24355079447226971</v>
      </c>
      <c r="AL550" s="146">
        <v>1705.0928752097386</v>
      </c>
      <c r="AM550" s="146">
        <v>7.5212876860411726E-2</v>
      </c>
      <c r="AN550" s="146">
        <v>0.25666312337194946</v>
      </c>
      <c r="AO550" s="146">
        <v>367.53511075045964</v>
      </c>
      <c r="AP550" s="146">
        <v>346.80076835327822</v>
      </c>
      <c r="AQ550" s="146" t="s">
        <v>303</v>
      </c>
      <c r="AR550" s="146">
        <f t="shared" si="33"/>
        <v>19.525354503836514</v>
      </c>
      <c r="AS550" s="146">
        <f t="shared" si="34"/>
        <v>5.3287291164862003</v>
      </c>
      <c r="AT550" s="146">
        <v>0.4</v>
      </c>
      <c r="AU550" s="146">
        <v>1</v>
      </c>
      <c r="AV550" s="146">
        <v>0.5</v>
      </c>
      <c r="AW550" s="146">
        <v>0.3</v>
      </c>
      <c r="AX550" s="146">
        <v>0.99999999900000003</v>
      </c>
      <c r="AY550" s="146">
        <v>0.36</v>
      </c>
      <c r="AZ550" s="209">
        <v>346.80076835327822</v>
      </c>
      <c r="BA550" s="146">
        <v>0.99999999900000003</v>
      </c>
      <c r="BB550" s="252">
        <v>12.714841933121722</v>
      </c>
      <c r="BC550" s="244">
        <v>69.334737084234149</v>
      </c>
      <c r="BD550" s="229">
        <v>25754.574710589353</v>
      </c>
      <c r="BE550" s="244">
        <v>14.627262352388657</v>
      </c>
      <c r="BF550" s="146">
        <v>657249.95017531514</v>
      </c>
      <c r="BG550" t="s">
        <v>389</v>
      </c>
      <c r="BH550" s="146">
        <v>3.5950820694473416E-6</v>
      </c>
      <c r="BI550" s="146">
        <v>1457545.7471058934</v>
      </c>
      <c r="BJ550">
        <f t="shared" si="32"/>
        <v>0.45092920855510182</v>
      </c>
    </row>
    <row r="551" spans="1:62" s="146" customFormat="1" x14ac:dyDescent="0.3">
      <c r="A551">
        <v>-0.1</v>
      </c>
      <c r="B551" s="146">
        <v>1000</v>
      </c>
      <c r="C551" s="146">
        <v>25</v>
      </c>
      <c r="D551" s="146">
        <v>400</v>
      </c>
      <c r="E551" s="252">
        <v>6.7330886888790111</v>
      </c>
      <c r="F551" s="146">
        <v>0.58957128761853239</v>
      </c>
      <c r="G551" s="146">
        <v>7.1959180933826055</v>
      </c>
      <c r="H551" s="146">
        <v>9.0541205888006289</v>
      </c>
      <c r="J551" s="146">
        <v>0.9999999992633235</v>
      </c>
      <c r="K551" s="146">
        <v>0.36</v>
      </c>
      <c r="L551" s="146">
        <v>46.436126861656724</v>
      </c>
      <c r="M551" s="146">
        <v>17.128079580119287</v>
      </c>
      <c r="N551" s="146">
        <v>2.2370100224341982</v>
      </c>
      <c r="Z551" s="146">
        <v>0.24707093311759479</v>
      </c>
      <c r="AL551" s="146">
        <v>1475.2601366958359</v>
      </c>
      <c r="AM551" s="146">
        <v>8.1931350519498611E-2</v>
      </c>
      <c r="AN551" s="146">
        <v>0.25416945989263617</v>
      </c>
      <c r="AO551" s="146">
        <v>373.50945038116248</v>
      </c>
      <c r="AP551" s="146">
        <v>356.75512547873723</v>
      </c>
      <c r="AQ551" s="146" t="s">
        <v>303</v>
      </c>
      <c r="AR551" s="146">
        <f t="shared" si="33"/>
        <v>19.525354503836514</v>
      </c>
      <c r="AS551" s="146">
        <f t="shared" si="34"/>
        <v>5.3287291164862003</v>
      </c>
      <c r="AT551" s="146">
        <v>0.4</v>
      </c>
      <c r="AU551" s="146">
        <v>1</v>
      </c>
      <c r="AV551" s="146">
        <v>0.5</v>
      </c>
      <c r="AW551" s="146">
        <v>0.2</v>
      </c>
      <c r="AX551" s="146">
        <v>0.99999999900000003</v>
      </c>
      <c r="AY551" s="146">
        <v>0.36</v>
      </c>
      <c r="AZ551" s="209">
        <v>356.75512547873723</v>
      </c>
      <c r="BA551" s="146">
        <v>0.99999999900000003</v>
      </c>
      <c r="BB551" s="252">
        <v>10.687816652248983</v>
      </c>
      <c r="BC551" s="244">
        <v>55.014102847874938</v>
      </c>
      <c r="BD551" s="229">
        <v>19908.542961387848</v>
      </c>
      <c r="BE551" s="244">
        <v>12.203401429856314</v>
      </c>
      <c r="BF551" s="146">
        <v>654337.57628204662</v>
      </c>
      <c r="BG551" t="s">
        <v>389</v>
      </c>
      <c r="BH551" s="146">
        <v>2.93025184524815E-6</v>
      </c>
      <c r="BI551" s="146">
        <v>1399085.4296138785</v>
      </c>
      <c r="BJ551">
        <f t="shared" si="32"/>
        <v>0.46768950803999981</v>
      </c>
    </row>
    <row r="552" spans="1:62" s="140" customFormat="1" x14ac:dyDescent="0.3">
      <c r="A552" s="140">
        <v>-0.1</v>
      </c>
      <c r="B552" s="140">
        <v>1000</v>
      </c>
      <c r="C552" s="140">
        <v>25</v>
      </c>
      <c r="D552" s="140">
        <v>400</v>
      </c>
      <c r="E552" s="253">
        <v>4.5568519571508626</v>
      </c>
      <c r="F552" s="140">
        <v>0.4671536564172189</v>
      </c>
      <c r="G552" s="140">
        <v>4.9039655323214406</v>
      </c>
      <c r="H552" s="140">
        <v>6.1998392621517393</v>
      </c>
      <c r="J552" s="140">
        <v>0.99999999928784611</v>
      </c>
      <c r="K552" s="140">
        <v>0.36</v>
      </c>
      <c r="L552" s="140">
        <v>31.82383686665904</v>
      </c>
      <c r="M552" s="140">
        <v>11.738300483603744</v>
      </c>
      <c r="N552" s="140">
        <v>1.5862189335855756</v>
      </c>
      <c r="Z552" s="140">
        <v>0.25584839646875884</v>
      </c>
      <c r="AL552" s="140">
        <v>1163.560814646459</v>
      </c>
      <c r="AM552" s="140">
        <v>9.5260387402453364E-2</v>
      </c>
      <c r="AN552" s="140">
        <v>0.25024487247470495</v>
      </c>
      <c r="AO552" s="140">
        <v>381.79042826297479</v>
      </c>
      <c r="AP552" s="140">
        <v>370.45134785367156</v>
      </c>
      <c r="AQ552" s="140" t="s">
        <v>303</v>
      </c>
      <c r="AR552" s="140">
        <f t="shared" si="33"/>
        <v>19.525354503836514</v>
      </c>
      <c r="AS552" s="140">
        <f t="shared" si="34"/>
        <v>5.3287291164862003</v>
      </c>
      <c r="AT552" s="140">
        <v>0.4</v>
      </c>
      <c r="AU552" s="140">
        <v>1</v>
      </c>
      <c r="AV552" s="140">
        <v>0.5</v>
      </c>
      <c r="AW552" s="140">
        <v>0.1</v>
      </c>
      <c r="AX552" s="140">
        <v>0.99999999900000003</v>
      </c>
      <c r="AY552" s="140">
        <v>0.36</v>
      </c>
      <c r="AZ552" s="209">
        <v>370.45134785367156</v>
      </c>
      <c r="BA552" s="140">
        <v>0.99999999900000003</v>
      </c>
      <c r="BB552" s="253">
        <v>7.7979734930174409</v>
      </c>
      <c r="BC552" s="245">
        <v>36.620967383323475</v>
      </c>
      <c r="BD552" s="210">
        <v>12777.498724663792</v>
      </c>
      <c r="BE552" s="245">
        <v>8.7937314014638872</v>
      </c>
      <c r="BF552" s="140">
        <v>623470.17447887559</v>
      </c>
      <c r="BG552" t="s">
        <v>389</v>
      </c>
      <c r="BH552" s="140">
        <v>1.9862446056180487E-6</v>
      </c>
      <c r="BI552" s="140">
        <v>1327774.9872466379</v>
      </c>
      <c r="BJ552">
        <f t="shared" si="32"/>
        <v>0.46956011407606391</v>
      </c>
    </row>
    <row r="553" spans="1:62" s="146" customFormat="1" x14ac:dyDescent="0.3">
      <c r="A553">
        <v>-0.1</v>
      </c>
      <c r="B553" s="146">
        <v>1000</v>
      </c>
      <c r="C553" s="146">
        <v>25</v>
      </c>
      <c r="D553" s="146">
        <v>400</v>
      </c>
      <c r="E553" s="252">
        <v>19.900010920337188</v>
      </c>
      <c r="F553" s="146">
        <v>1.2241662168869081</v>
      </c>
      <c r="G553" s="146">
        <v>21.108992058268768</v>
      </c>
      <c r="H553" s="146">
        <v>25.927325304640767</v>
      </c>
      <c r="J553" s="146">
        <v>0.99999999919405802</v>
      </c>
      <c r="K553" s="146">
        <v>0.36</v>
      </c>
      <c r="L553" s="146">
        <v>132.13925445789982</v>
      </c>
      <c r="M553" s="146">
        <v>48.739888939389289</v>
      </c>
      <c r="N553" s="146">
        <v>5.7288653761508819</v>
      </c>
      <c r="Z553" s="146">
        <v>0.22095859518241415</v>
      </c>
      <c r="AL553" s="146">
        <v>3134.4137220682314</v>
      </c>
      <c r="AM553" s="146">
        <v>5.7992641880187754E-2</v>
      </c>
      <c r="AN553" s="146">
        <v>0.24720339549383114</v>
      </c>
      <c r="AO553" s="146">
        <v>319.49944344177186</v>
      </c>
      <c r="AP553" s="146">
        <v>269.98103399279131</v>
      </c>
      <c r="AQ553" s="146" t="s">
        <v>303</v>
      </c>
      <c r="AR553" s="146">
        <f t="shared" si="33"/>
        <v>19.525354503836514</v>
      </c>
      <c r="AS553" s="146">
        <f t="shared" si="34"/>
        <v>5.3287291164862003</v>
      </c>
      <c r="AT553" s="146">
        <v>0.4</v>
      </c>
      <c r="AU553" s="146">
        <v>1</v>
      </c>
      <c r="AV553" s="146">
        <v>0.5</v>
      </c>
      <c r="AW553" s="146">
        <v>3</v>
      </c>
      <c r="AX553" s="146">
        <v>0.99999999900000003</v>
      </c>
      <c r="AY553" s="146">
        <v>0.36</v>
      </c>
      <c r="AZ553" s="209">
        <v>269.98103399279131</v>
      </c>
      <c r="BA553" s="146">
        <v>0.99999999900000003</v>
      </c>
      <c r="BB553" s="252">
        <v>27.125504089331869</v>
      </c>
      <c r="BC553" s="244">
        <v>203.55016338676</v>
      </c>
      <c r="BD553" s="229">
        <v>90552.031896194458</v>
      </c>
      <c r="BE553" s="244">
        <v>35.20904840849127</v>
      </c>
      <c r="BF553" s="146">
        <v>336702.01946492755</v>
      </c>
      <c r="BG553" t="s">
        <v>390</v>
      </c>
      <c r="BH553" s="146">
        <v>7.8839827728259562E-6</v>
      </c>
      <c r="BI553" s="146">
        <v>2105520.3189619444</v>
      </c>
      <c r="BJ553">
        <f t="shared" si="32"/>
        <v>0.15991392551886038</v>
      </c>
    </row>
    <row r="554" spans="1:62" s="146" customFormat="1" x14ac:dyDescent="0.3">
      <c r="A554">
        <v>-0.2</v>
      </c>
      <c r="B554" s="146">
        <v>1000</v>
      </c>
      <c r="C554" s="146">
        <v>25</v>
      </c>
      <c r="D554" s="146">
        <v>400</v>
      </c>
      <c r="E554" s="252">
        <v>19.898317657826254</v>
      </c>
      <c r="F554" s="146">
        <v>1.2276356141536384</v>
      </c>
      <c r="G554" s="146">
        <v>21.109243644118362</v>
      </c>
      <c r="H554" s="146">
        <v>25.927904614735368</v>
      </c>
      <c r="J554" s="146">
        <v>0.99999999919420235</v>
      </c>
      <c r="K554" s="146">
        <v>0.36</v>
      </c>
      <c r="L554" s="146">
        <v>132.17160679607903</v>
      </c>
      <c r="M554" s="146">
        <v>48.751822178881611</v>
      </c>
      <c r="N554" s="146">
        <v>5.7310328737228424</v>
      </c>
      <c r="Z554" s="146">
        <v>0.2210372553771961</v>
      </c>
      <c r="AL554" s="146">
        <v>3125.4685759213612</v>
      </c>
      <c r="AM554" s="146">
        <v>5.8156305116867264E-2</v>
      </c>
      <c r="AN554" s="146">
        <v>0.21978895369329846</v>
      </c>
      <c r="AO554" s="146">
        <v>309.46625240505443</v>
      </c>
      <c r="AP554" s="146">
        <v>259.95213905994007</v>
      </c>
      <c r="AQ554" s="146" t="s">
        <v>303</v>
      </c>
      <c r="AR554" s="146">
        <f t="shared" si="33"/>
        <v>19.525354503836514</v>
      </c>
      <c r="AS554" s="146">
        <f t="shared" si="34"/>
        <v>5.3287291164862003</v>
      </c>
      <c r="AT554" s="146">
        <v>0.4</v>
      </c>
      <c r="AU554" s="146">
        <v>1</v>
      </c>
      <c r="AV554" s="146">
        <v>0.5</v>
      </c>
      <c r="AW554" s="146">
        <v>3</v>
      </c>
      <c r="AX554" s="146">
        <v>0.99999999900000003</v>
      </c>
      <c r="AY554" s="146">
        <v>0.36</v>
      </c>
      <c r="AZ554" s="209">
        <v>259.95213905994007</v>
      </c>
      <c r="BA554" s="146">
        <v>0.99999999900000003</v>
      </c>
      <c r="BB554" s="252">
        <v>27.142904676142869</v>
      </c>
      <c r="BC554" s="244">
        <v>203.62964747403967</v>
      </c>
      <c r="BD554" s="229">
        <v>90589.394978090233</v>
      </c>
      <c r="BE554" s="244">
        <v>35.213624212075217</v>
      </c>
      <c r="BF554" s="146">
        <v>336763.78144677129</v>
      </c>
      <c r="BG554" t="s">
        <v>390</v>
      </c>
      <c r="BH554" s="146">
        <v>7.8818368345705852E-6</v>
      </c>
      <c r="BI554" s="146">
        <v>2105893.9497809024</v>
      </c>
      <c r="BJ554">
        <f t="shared" si="32"/>
        <v>0.15991488150759361</v>
      </c>
    </row>
    <row r="555" spans="1:62" s="146" customFormat="1" x14ac:dyDescent="0.3">
      <c r="A555">
        <v>-0.3</v>
      </c>
      <c r="B555" s="146">
        <v>1000</v>
      </c>
      <c r="C555" s="146">
        <v>25</v>
      </c>
      <c r="D555" s="146">
        <v>400</v>
      </c>
      <c r="E555" s="252">
        <v>19.896209712051832</v>
      </c>
      <c r="F555" s="146">
        <v>1.2322159912985799</v>
      </c>
      <c r="G555" s="146">
        <v>21.109710842244827</v>
      </c>
      <c r="H555" s="146">
        <v>25.928299464665088</v>
      </c>
      <c r="J555" s="146">
        <v>0.99999999919435567</v>
      </c>
      <c r="K555" s="146">
        <v>0.36</v>
      </c>
      <c r="L555" s="146">
        <v>132.21519674888322</v>
      </c>
      <c r="M555" s="146">
        <v>48.767900440161846</v>
      </c>
      <c r="N555" s="146">
        <v>5.7333931915387488</v>
      </c>
      <c r="Z555" s="146">
        <v>0.22112492180029694</v>
      </c>
      <c r="AL555" s="146">
        <v>3113.766292556385</v>
      </c>
      <c r="AM555" s="146">
        <v>5.8371997632135492E-2</v>
      </c>
      <c r="AN555" s="146">
        <v>0.1923799346436986</v>
      </c>
      <c r="AO555" s="146">
        <v>296.57856081040347</v>
      </c>
      <c r="AP555" s="146">
        <v>247.06969678701083</v>
      </c>
      <c r="AQ555" s="146" t="s">
        <v>303</v>
      </c>
      <c r="AR555" s="146">
        <f t="shared" si="33"/>
        <v>19.525354503836514</v>
      </c>
      <c r="AS555" s="146">
        <f t="shared" si="34"/>
        <v>5.3287291164862003</v>
      </c>
      <c r="AT555" s="146">
        <v>0.4</v>
      </c>
      <c r="AU555" s="146">
        <v>1</v>
      </c>
      <c r="AV555" s="146">
        <v>0.5</v>
      </c>
      <c r="AW555" s="146">
        <v>3</v>
      </c>
      <c r="AX555" s="146">
        <v>0.99999999900000003</v>
      </c>
      <c r="AY555" s="146">
        <v>0.36</v>
      </c>
      <c r="AZ555" s="209">
        <v>247.06969678701083</v>
      </c>
      <c r="BA555" s="146">
        <v>0.99999999900000003</v>
      </c>
      <c r="BB555" s="252">
        <v>27.166005127577225</v>
      </c>
      <c r="BC555" s="244">
        <v>203.73678712784232</v>
      </c>
      <c r="BD555" s="229">
        <v>90640.208328554741</v>
      </c>
      <c r="BE555" s="244">
        <v>35.220466689639316</v>
      </c>
      <c r="BF555" s="146">
        <v>336851.65643017116</v>
      </c>
      <c r="BG555" t="s">
        <v>390</v>
      </c>
      <c r="BH555" s="146">
        <v>7.8789858014015062E-6</v>
      </c>
      <c r="BI555" s="146">
        <v>2106402.0832855473</v>
      </c>
      <c r="BJ555">
        <f t="shared" si="32"/>
        <v>0.15991802282342643</v>
      </c>
    </row>
    <row r="556" spans="1:62" s="146" customFormat="1" x14ac:dyDescent="0.3">
      <c r="A556">
        <v>-0.4</v>
      </c>
      <c r="B556" s="146">
        <v>1000</v>
      </c>
      <c r="C556" s="146">
        <v>25</v>
      </c>
      <c r="D556" s="146">
        <v>400</v>
      </c>
      <c r="E556" s="252">
        <v>19.893423535797201</v>
      </c>
      <c r="F556" s="146">
        <v>1.2385648201478692</v>
      </c>
      <c r="G556" s="146">
        <v>21.110504078977627</v>
      </c>
      <c r="H556" s="146">
        <v>25.927930051880274</v>
      </c>
      <c r="J556" s="146">
        <v>0.99999999919449289</v>
      </c>
      <c r="K556" s="146">
        <v>0.36</v>
      </c>
      <c r="L556" s="146">
        <v>132.27659701368125</v>
      </c>
      <c r="M556" s="146">
        <v>48.790548078816862</v>
      </c>
      <c r="N556" s="146">
        <v>5.7356074554185419</v>
      </c>
      <c r="Z556" s="146">
        <v>0.22121347303629429</v>
      </c>
      <c r="AL556" s="146">
        <v>3097.7212424327549</v>
      </c>
      <c r="AM556" s="146">
        <v>5.8670546923664572E-2</v>
      </c>
      <c r="AN556" s="146">
        <v>0.16498037062870369</v>
      </c>
      <c r="AO556" s="146">
        <v>279.41945178091328</v>
      </c>
      <c r="AP556" s="146">
        <v>229.91751472348238</v>
      </c>
      <c r="AQ556" s="146" t="s">
        <v>303</v>
      </c>
      <c r="AR556" s="146">
        <f t="shared" si="33"/>
        <v>19.525354503836514</v>
      </c>
      <c r="AS556" s="146">
        <f t="shared" si="34"/>
        <v>5.3287291164862003</v>
      </c>
      <c r="AT556" s="146">
        <v>0.4</v>
      </c>
      <c r="AU556" s="146">
        <v>1</v>
      </c>
      <c r="AV556" s="146">
        <v>0.5</v>
      </c>
      <c r="AW556" s="146">
        <v>3</v>
      </c>
      <c r="AX556" s="146">
        <v>0.99999999900000003</v>
      </c>
      <c r="AY556" s="146">
        <v>0.36</v>
      </c>
      <c r="AZ556" s="209">
        <v>229.91751472348238</v>
      </c>
      <c r="BA556" s="146">
        <v>0.99999999900000003</v>
      </c>
      <c r="BB556" s="252">
        <v>27.198162942295035</v>
      </c>
      <c r="BC556" s="244">
        <v>203.88779374094239</v>
      </c>
      <c r="BD556" s="229">
        <v>90712.726782283324</v>
      </c>
      <c r="BE556" s="244">
        <v>35.231459501653063</v>
      </c>
      <c r="BF556" s="146">
        <v>336981.43958094344</v>
      </c>
      <c r="BG556" t="s">
        <v>390</v>
      </c>
      <c r="BH556" s="146">
        <v>7.8749949750082586E-6</v>
      </c>
      <c r="BI556" s="146">
        <v>2107127.2678228333</v>
      </c>
      <c r="BJ556">
        <f t="shared" si="32"/>
        <v>0.15992457822878725</v>
      </c>
    </row>
    <row r="557" spans="1:62" s="146" customFormat="1" x14ac:dyDescent="0.3">
      <c r="A557">
        <v>-0.5</v>
      </c>
      <c r="B557" s="146">
        <v>1000</v>
      </c>
      <c r="C557" s="146">
        <v>25</v>
      </c>
      <c r="D557" s="146">
        <v>400</v>
      </c>
      <c r="E557" s="252">
        <v>19.889501896504338</v>
      </c>
      <c r="F557" s="146">
        <v>1.248028636407392</v>
      </c>
      <c r="G557" s="146">
        <v>21.11193915860666</v>
      </c>
      <c r="H557" s="146">
        <v>25.925112319788845</v>
      </c>
      <c r="J557" s="146">
        <v>0.99999999919451599</v>
      </c>
      <c r="K557" s="146">
        <v>0.36</v>
      </c>
      <c r="L557" s="146">
        <v>132.37012153832183</v>
      </c>
      <c r="M557" s="146">
        <v>48.825044829708879</v>
      </c>
      <c r="N557" s="146">
        <v>5.7363989567718185</v>
      </c>
      <c r="Z557" s="146">
        <v>0.22126804644133324</v>
      </c>
      <c r="AL557" s="146">
        <v>3074.1622899101717</v>
      </c>
      <c r="AM557" s="146">
        <v>5.9114827256339965E-2</v>
      </c>
      <c r="AN557" s="146">
        <v>0.13760077903705342</v>
      </c>
      <c r="AO557" s="146">
        <v>255.45501969034308</v>
      </c>
      <c r="AP557" s="146">
        <v>205.96281152426272</v>
      </c>
      <c r="AQ557" s="146" t="s">
        <v>303</v>
      </c>
      <c r="AR557" s="146">
        <f t="shared" si="33"/>
        <v>19.525354503836514</v>
      </c>
      <c r="AS557" s="146">
        <f t="shared" si="34"/>
        <v>5.3287291164862003</v>
      </c>
      <c r="AT557" s="146">
        <v>0.4</v>
      </c>
      <c r="AU557" s="146">
        <v>1</v>
      </c>
      <c r="AV557" s="146">
        <v>0.5</v>
      </c>
      <c r="AW557" s="146">
        <v>3</v>
      </c>
      <c r="AX557" s="146">
        <v>0.99999999900000003</v>
      </c>
      <c r="AY557" s="146">
        <v>0.36</v>
      </c>
      <c r="AZ557" s="209">
        <v>205.96281152426272</v>
      </c>
      <c r="BA557" s="146">
        <v>0.99999999900000003</v>
      </c>
      <c r="BB557" s="252">
        <v>27.246339254917043</v>
      </c>
      <c r="BC557" s="244">
        <v>204.11801105455945</v>
      </c>
      <c r="BD557" s="229">
        <v>90825.253746080358</v>
      </c>
      <c r="BE557" s="244">
        <v>35.251166504890506</v>
      </c>
      <c r="BF557" s="146">
        <v>337190.67726313858</v>
      </c>
      <c r="BG557" t="s">
        <v>390</v>
      </c>
      <c r="BH557" s="146">
        <v>7.8689447738177695E-6</v>
      </c>
      <c r="BI557" s="146">
        <v>2108252.5374608035</v>
      </c>
      <c r="BJ557">
        <f t="shared" si="32"/>
        <v>0.15993846622817481</v>
      </c>
    </row>
    <row r="558" spans="1:62" s="146" customFormat="1" x14ac:dyDescent="0.3">
      <c r="A558">
        <v>-0.6</v>
      </c>
      <c r="B558" s="146">
        <v>1000</v>
      </c>
      <c r="C558" s="146">
        <v>25</v>
      </c>
      <c r="D558" s="146">
        <v>400</v>
      </c>
      <c r="E558" s="252">
        <v>19.884536636741139</v>
      </c>
      <c r="F558" s="146">
        <v>1.2640837111334302</v>
      </c>
      <c r="G558" s="146">
        <v>21.116171384772503</v>
      </c>
      <c r="H558" s="146">
        <v>25.914713692833988</v>
      </c>
      <c r="J558" s="146">
        <v>0.99999999919398019</v>
      </c>
      <c r="K558" s="146">
        <v>0.36</v>
      </c>
      <c r="L558" s="146">
        <v>132.54170498280851</v>
      </c>
      <c r="M558" s="146">
        <v>48.888333805134295</v>
      </c>
      <c r="N558" s="146">
        <v>5.7303806145726419</v>
      </c>
      <c r="Z558" s="146">
        <v>0.22112459672503437</v>
      </c>
      <c r="AL558" s="146">
        <v>3035.3928934061978</v>
      </c>
      <c r="AM558" s="146">
        <v>5.9863300410840502E-2</v>
      </c>
      <c r="AN558" s="146">
        <v>0.11027507363854833</v>
      </c>
      <c r="AO558" s="146">
        <v>219.68239983300998</v>
      </c>
      <c r="AP558" s="146">
        <v>170.20258611987711</v>
      </c>
      <c r="AQ558" s="146" t="s">
        <v>303</v>
      </c>
      <c r="AR558" s="146">
        <f t="shared" si="33"/>
        <v>19.525354503836514</v>
      </c>
      <c r="AS558" s="146">
        <f t="shared" si="34"/>
        <v>5.3287291164862003</v>
      </c>
      <c r="AT558" s="146">
        <v>0.4</v>
      </c>
      <c r="AU558" s="146">
        <v>1</v>
      </c>
      <c r="AV558" s="146">
        <v>0.5</v>
      </c>
      <c r="AW558" s="146">
        <v>3</v>
      </c>
      <c r="AX558" s="146">
        <v>0.99999999900000003</v>
      </c>
      <c r="AY558" s="146">
        <v>0.36</v>
      </c>
      <c r="AZ558" s="209">
        <v>170.20258611987711</v>
      </c>
      <c r="BA558" s="146">
        <v>0.99999999900000003</v>
      </c>
      <c r="BB558" s="252">
        <v>27.329764052837543</v>
      </c>
      <c r="BC558" s="244">
        <v>204.54102097793978</v>
      </c>
      <c r="BD558" s="229">
        <v>91037.872323879215</v>
      </c>
      <c r="BE558" s="244">
        <v>35.296136007920438</v>
      </c>
      <c r="BF558" s="146">
        <v>337634.78261234926</v>
      </c>
      <c r="BG558" t="s">
        <v>390</v>
      </c>
      <c r="BH558" s="146">
        <v>7.8583598460703353E-6</v>
      </c>
      <c r="BI558" s="146">
        <v>2110378.7232387923</v>
      </c>
      <c r="BJ558">
        <f t="shared" si="32"/>
        <v>0.1599877684959703</v>
      </c>
    </row>
    <row r="559" spans="1:62" s="146" customFormat="1" x14ac:dyDescent="0.3">
      <c r="A559">
        <v>-0.7</v>
      </c>
      <c r="B559" s="146">
        <v>1000</v>
      </c>
      <c r="C559" s="146">
        <v>25</v>
      </c>
      <c r="D559" s="146">
        <v>400</v>
      </c>
      <c r="E559" s="252">
        <v>19.879669277243579</v>
      </c>
      <c r="F559" s="146">
        <v>1.301013954547152</v>
      </c>
      <c r="G559" s="146">
        <v>21.133025517867207</v>
      </c>
      <c r="H559" s="146">
        <v>25.860563331111798</v>
      </c>
      <c r="J559" s="146">
        <v>0.99999999918952365</v>
      </c>
      <c r="K559" s="146">
        <v>0.36</v>
      </c>
      <c r="L559" s="146">
        <v>133.00499557024807</v>
      </c>
      <c r="M559" s="146">
        <v>49.059219677550516</v>
      </c>
      <c r="N559" s="146">
        <v>5.6794694255716216</v>
      </c>
      <c r="Z559" s="146">
        <v>0.21961893686743017</v>
      </c>
      <c r="AL559" s="146">
        <v>2951.3455163517551</v>
      </c>
      <c r="AM559" s="146">
        <v>6.1563071196180208E-2</v>
      </c>
      <c r="AN559" s="146">
        <v>8.3205863693602028E-2</v>
      </c>
      <c r="AO559" s="146">
        <v>161.07850583164858</v>
      </c>
      <c r="AP559" s="146">
        <v>111.61080356594647</v>
      </c>
      <c r="AQ559" s="146" t="s">
        <v>303</v>
      </c>
      <c r="AR559" s="146">
        <f t="shared" si="33"/>
        <v>19.525354503836514</v>
      </c>
      <c r="AS559" s="146">
        <f t="shared" si="34"/>
        <v>5.3287291164862003</v>
      </c>
      <c r="AT559" s="146">
        <v>0.4</v>
      </c>
      <c r="AU559" s="146">
        <v>1</v>
      </c>
      <c r="AV559" s="146">
        <v>0.5</v>
      </c>
      <c r="AW559" s="146">
        <v>3</v>
      </c>
      <c r="AX559" s="146">
        <v>0.99999999900000003</v>
      </c>
      <c r="AY559" s="146">
        <v>0.36</v>
      </c>
      <c r="AZ559" s="209">
        <v>111.61080356594647</v>
      </c>
      <c r="BA559" s="146">
        <v>0.99999999900000003</v>
      </c>
      <c r="BB559" s="252">
        <v>27.528359736025436</v>
      </c>
      <c r="BC559" s="244">
        <v>205.68737994787139</v>
      </c>
      <c r="BD559" s="229">
        <v>91637.215047856123</v>
      </c>
      <c r="BE559" s="244">
        <v>35.452325392149866</v>
      </c>
      <c r="BF559" s="146">
        <v>339067.71142561326</v>
      </c>
      <c r="BG559" t="s">
        <v>390</v>
      </c>
      <c r="BH559" s="146">
        <v>7.8317331263346322E-6</v>
      </c>
      <c r="BI559" s="146">
        <v>2116372.1504785614</v>
      </c>
      <c r="BJ559">
        <f t="shared" si="32"/>
        <v>0.16021176207074078</v>
      </c>
    </row>
    <row r="560" spans="1:62" s="146" customFormat="1" x14ac:dyDescent="0.3">
      <c r="A560">
        <v>-0.8</v>
      </c>
      <c r="B560" s="146">
        <v>1000</v>
      </c>
      <c r="C560" s="146">
        <v>25</v>
      </c>
      <c r="D560" s="146">
        <v>400</v>
      </c>
      <c r="E560" s="252">
        <v>20.835039530969055</v>
      </c>
      <c r="F560" s="146">
        <v>1.7339881908200681</v>
      </c>
      <c r="G560" s="146">
        <v>22.43637518237616</v>
      </c>
      <c r="H560" s="146">
        <v>25.977674662263791</v>
      </c>
      <c r="J560" s="146">
        <v>0.99999999903497672</v>
      </c>
      <c r="K560" s="146">
        <v>0.36</v>
      </c>
      <c r="L560" s="146">
        <v>150.61732512130655</v>
      </c>
      <c r="M560" s="146">
        <v>55.55557074146553</v>
      </c>
      <c r="N560" s="146">
        <v>4.7754643543693511</v>
      </c>
      <c r="Z560" s="146">
        <v>0.18382955427902026</v>
      </c>
      <c r="AL560" s="146">
        <v>2411.1028871427243</v>
      </c>
      <c r="AM560" s="146">
        <v>7.7284685102882431E-2</v>
      </c>
      <c r="AN560" s="146">
        <v>6.4150401006712043E-2</v>
      </c>
      <c r="AO560" s="146">
        <v>75.215755412205624</v>
      </c>
      <c r="AP560" s="146">
        <v>23.37070995805016</v>
      </c>
      <c r="AQ560" s="146" t="s">
        <v>303</v>
      </c>
      <c r="AR560" s="146">
        <f t="shared" si="33"/>
        <v>19.525354503836514</v>
      </c>
      <c r="AS560" s="146">
        <f t="shared" si="34"/>
        <v>5.3287291164862003</v>
      </c>
      <c r="AT560" s="146">
        <v>0.4</v>
      </c>
      <c r="AU560" s="146">
        <v>1</v>
      </c>
      <c r="AV560" s="146">
        <v>0.5</v>
      </c>
      <c r="AW560" s="146">
        <v>3</v>
      </c>
      <c r="AX560" s="146">
        <v>0.99999999900000003</v>
      </c>
      <c r="AY560" s="146">
        <v>0.36</v>
      </c>
      <c r="AZ560" s="209">
        <v>23.37070995805016</v>
      </c>
      <c r="BA560" s="146">
        <v>0.99999999900000003</v>
      </c>
      <c r="BB560" s="252">
        <v>30.873508867211324</v>
      </c>
      <c r="BC560" s="244">
        <v>254.56415302887788</v>
      </c>
      <c r="BD560" s="229">
        <v>115682.53000289631</v>
      </c>
      <c r="BE560" s="244">
        <v>39.172469369949333</v>
      </c>
      <c r="BF560" s="146">
        <v>426762.6798668626</v>
      </c>
      <c r="BG560" t="s">
        <v>390</v>
      </c>
      <c r="BH560" s="146">
        <v>7.2134116696646118E-6</v>
      </c>
      <c r="BI560" s="146">
        <v>2356825.300028963</v>
      </c>
      <c r="BJ560">
        <f t="shared" si="32"/>
        <v>0.18107522855496253</v>
      </c>
    </row>
    <row r="561" spans="1:62" s="227" customFormat="1" x14ac:dyDescent="0.3">
      <c r="A561" s="280">
        <v>-0.85</v>
      </c>
      <c r="B561" s="227">
        <v>1000</v>
      </c>
      <c r="C561" s="227">
        <v>25</v>
      </c>
      <c r="D561" s="227">
        <v>400</v>
      </c>
      <c r="E561" s="281">
        <v>14.131091546204477</v>
      </c>
      <c r="F561" s="227">
        <v>1.0850160278152079</v>
      </c>
      <c r="G561" s="227">
        <v>15.070908525594385</v>
      </c>
      <c r="H561" s="227">
        <v>18.529185653159789</v>
      </c>
      <c r="J561" s="227">
        <v>0.99999999916142113</v>
      </c>
      <c r="K561" s="227">
        <v>0.36</v>
      </c>
      <c r="L561" s="227">
        <v>98.955399783353911</v>
      </c>
      <c r="M561" s="227">
        <v>36.499942543040376</v>
      </c>
      <c r="N561" s="227">
        <v>4.1994396256013236</v>
      </c>
      <c r="Z561" s="227">
        <v>0.22663918988178477</v>
      </c>
      <c r="AL561" s="227">
        <v>2153.8233268736885</v>
      </c>
      <c r="AM561" s="227">
        <v>7.199406896887231E-2</v>
      </c>
      <c r="AN561" s="227">
        <v>4.547659468045312E-2</v>
      </c>
      <c r="AO561" s="227">
        <v>89.2667174070898</v>
      </c>
      <c r="AP561" s="227">
        <v>54.103514073024634</v>
      </c>
      <c r="AQ561" s="227" t="s">
        <v>303</v>
      </c>
      <c r="AR561" s="227">
        <f t="shared" si="33"/>
        <v>19.525354503836514</v>
      </c>
      <c r="AS561" s="227">
        <f t="shared" si="34"/>
        <v>5.3287291164862003</v>
      </c>
      <c r="AT561" s="227">
        <v>0.4</v>
      </c>
      <c r="AU561" s="227">
        <v>1</v>
      </c>
      <c r="AV561" s="227">
        <v>0.5</v>
      </c>
      <c r="AW561" s="227">
        <v>3</v>
      </c>
      <c r="AX561" s="227">
        <v>0.99999999900000003</v>
      </c>
      <c r="AY561" s="227">
        <v>0.36</v>
      </c>
      <c r="AZ561" s="282">
        <v>54.103514073024634</v>
      </c>
      <c r="BA561" s="227">
        <v>0.99999999900000003</v>
      </c>
      <c r="BB561" s="281">
        <v>20.777421312895086</v>
      </c>
      <c r="BC561" s="283">
        <v>134.36073211081484</v>
      </c>
      <c r="BD561" s="284">
        <v>55106.061878968547</v>
      </c>
      <c r="BE561" s="283">
        <v>24.562854082106892</v>
      </c>
      <c r="BF561" s="227">
        <v>640707.88994223415</v>
      </c>
      <c r="BG561" s="280" t="s">
        <v>390</v>
      </c>
      <c r="BH561" s="227">
        <v>5.5832078984231114E-6</v>
      </c>
      <c r="BI561" s="227">
        <v>1751060.6187896854</v>
      </c>
      <c r="BJ561">
        <f t="shared" si="32"/>
        <v>0.36589703581197813</v>
      </c>
    </row>
    <row r="562" spans="1:62" s="256" customFormat="1" ht="15" thickBot="1" x14ac:dyDescent="0.35">
      <c r="A562" s="256">
        <v>-0.87</v>
      </c>
      <c r="B562" s="256">
        <v>1000</v>
      </c>
      <c r="C562" s="256">
        <v>25</v>
      </c>
      <c r="D562" s="256">
        <v>400</v>
      </c>
      <c r="E562" s="257">
        <v>4.4300866174326297</v>
      </c>
      <c r="F562" s="256">
        <v>0.49879324804325731</v>
      </c>
      <c r="G562" s="256">
        <v>4.7914800936393993</v>
      </c>
      <c r="H562" s="256">
        <v>6.0736352322953371</v>
      </c>
      <c r="J562" s="256">
        <v>0.99999999929886385</v>
      </c>
      <c r="K562" s="256">
        <v>0.36</v>
      </c>
      <c r="L562" s="256">
        <v>31.263901133374986</v>
      </c>
      <c r="M562" s="256">
        <v>11.531766811490773</v>
      </c>
      <c r="N562" s="256">
        <v>1.5875501904182281</v>
      </c>
      <c r="Z562" s="256">
        <v>0.26138385492377753</v>
      </c>
      <c r="AL562" s="256">
        <v>1059.1811885899613</v>
      </c>
      <c r="AM562" s="256">
        <v>0.10410003554129257</v>
      </c>
      <c r="AN562" s="256">
        <v>3.585076536204107E-2</v>
      </c>
      <c r="AO562" s="256">
        <v>276.42978963781837</v>
      </c>
      <c r="AP562" s="256">
        <v>265.40609338084727</v>
      </c>
      <c r="AQ562" s="256" t="s">
        <v>303</v>
      </c>
      <c r="AR562" s="256">
        <f t="shared" si="33"/>
        <v>19.525354503836514</v>
      </c>
      <c r="AS562" s="256">
        <f t="shared" si="34"/>
        <v>5.3287291164862003</v>
      </c>
      <c r="AT562" s="256">
        <v>0.4</v>
      </c>
      <c r="AU562" s="256">
        <v>1</v>
      </c>
      <c r="AV562" s="256">
        <v>0.5</v>
      </c>
      <c r="AW562" s="256">
        <v>3</v>
      </c>
      <c r="AX562" s="256">
        <v>0.99999999900000003</v>
      </c>
      <c r="AY562" s="256">
        <v>0.36</v>
      </c>
      <c r="AZ562" s="258">
        <v>265.40609338084727</v>
      </c>
      <c r="BA562" s="256">
        <v>0.99999999900000003</v>
      </c>
      <c r="BB562" s="257">
        <v>7.8901092881848616</v>
      </c>
      <c r="BC562" s="259">
        <v>35.938611258138465</v>
      </c>
      <c r="BD562" s="258">
        <v>12610.818780277501</v>
      </c>
      <c r="BE562" s="259">
        <v>8.8601296159176748</v>
      </c>
      <c r="BF562" s="256">
        <v>896720.11487929092</v>
      </c>
      <c r="BG562" s="254" t="s">
        <v>390</v>
      </c>
      <c r="BH562" s="256">
        <v>1.604735536995161E-6</v>
      </c>
      <c r="BI562" s="256">
        <v>1326108.1878027751</v>
      </c>
      <c r="BJ562">
        <f t="shared" si="32"/>
        <v>0.67620434224530657</v>
      </c>
    </row>
    <row r="563" spans="1:62" x14ac:dyDescent="0.3">
      <c r="A563">
        <v>-0.1</v>
      </c>
      <c r="B563" s="146">
        <v>100</v>
      </c>
      <c r="C563" s="146">
        <v>25</v>
      </c>
      <c r="D563" s="146">
        <v>400</v>
      </c>
      <c r="E563" s="249">
        <v>3.208257852112208</v>
      </c>
      <c r="F563">
        <v>0.73436579431093774</v>
      </c>
      <c r="G563">
        <v>3.7922834820213414</v>
      </c>
      <c r="H563">
        <v>1.8715667081388703</v>
      </c>
      <c r="J563">
        <v>0.330474947603629</v>
      </c>
      <c r="K563">
        <v>0.18</v>
      </c>
      <c r="L563">
        <v>18.830333401300905</v>
      </c>
      <c r="M563">
        <v>9.3760996189050179</v>
      </c>
      <c r="N563">
        <v>0.73609012675769825</v>
      </c>
      <c r="Z563">
        <v>0.39330157111508118</v>
      </c>
      <c r="AL563">
        <v>743.99882635570953</v>
      </c>
      <c r="AM563">
        <v>0.1936473889128959</v>
      </c>
      <c r="AN563">
        <v>0.19973209825860574</v>
      </c>
      <c r="AO563">
        <v>383.93719447157525</v>
      </c>
      <c r="AP563">
        <v>375.95376297686067</v>
      </c>
      <c r="AQ563" t="s">
        <v>326</v>
      </c>
      <c r="AR563">
        <f t="shared" ref="AR563:AR602" si="35">0.3*Jsat_t</f>
        <v>9.762677251918257</v>
      </c>
      <c r="AS563">
        <f t="shared" ref="AS563:AS602" si="36">0.1*Jatp</f>
        <v>2.6643645582431001</v>
      </c>
      <c r="AT563">
        <v>0.2</v>
      </c>
      <c r="AU563">
        <v>1</v>
      </c>
      <c r="AV563">
        <v>0.3</v>
      </c>
      <c r="AW563">
        <v>3</v>
      </c>
      <c r="AX563">
        <v>0.22356616019490186</v>
      </c>
      <c r="AY563">
        <v>0.18</v>
      </c>
      <c r="AZ563" s="209">
        <v>375.95376297686067</v>
      </c>
      <c r="BA563">
        <v>0.22356616019490186</v>
      </c>
      <c r="BB563" s="249">
        <v>8.8503566319735896</v>
      </c>
      <c r="BC563" s="243">
        <v>70.156494462442311</v>
      </c>
      <c r="BD563" s="209">
        <v>25494.823288566451</v>
      </c>
      <c r="BE563" s="243">
        <v>16.580598639023485</v>
      </c>
      <c r="BF563">
        <v>18055.160505200824</v>
      </c>
      <c r="BG563" t="s">
        <v>387</v>
      </c>
      <c r="BH563">
        <v>1.9723182206505825E-6</v>
      </c>
      <c r="BI563">
        <v>1454948.2328856646</v>
      </c>
      <c r="BJ563">
        <f t="shared" si="32"/>
        <v>1.240948653505782E-2</v>
      </c>
    </row>
    <row r="564" spans="1:62" x14ac:dyDescent="0.3">
      <c r="A564">
        <v>-0.1</v>
      </c>
      <c r="B564" s="146">
        <v>200</v>
      </c>
      <c r="C564" s="146">
        <v>25</v>
      </c>
      <c r="D564" s="146">
        <v>400</v>
      </c>
      <c r="E564" s="252">
        <v>5.95364175077873</v>
      </c>
      <c r="F564" s="146">
        <v>1.3053274191799102</v>
      </c>
      <c r="G564" s="146">
        <v>6.9257953542238138</v>
      </c>
      <c r="H564" s="146">
        <v>3.4589931490118979</v>
      </c>
      <c r="I564" s="146"/>
      <c r="J564" s="146">
        <v>0.33087287587680847</v>
      </c>
      <c r="K564" s="146">
        <v>0.18</v>
      </c>
      <c r="L564" s="146">
        <v>34.870937914978043</v>
      </c>
      <c r="M564" s="146">
        <v>17.363122613267077</v>
      </c>
      <c r="N564" s="146">
        <v>1.1448650179145683</v>
      </c>
      <c r="O564" s="146"/>
      <c r="P564" s="146"/>
      <c r="Q564" s="146"/>
      <c r="R564" s="146"/>
      <c r="S564" s="146"/>
      <c r="T564" s="146"/>
      <c r="U564" s="146"/>
      <c r="V564" s="146"/>
      <c r="W564" s="146"/>
      <c r="X564" s="146"/>
      <c r="Y564" s="146"/>
      <c r="Z564" s="146">
        <v>0.33098215827389321</v>
      </c>
      <c r="AA564" s="146"/>
      <c r="AB564" s="146"/>
      <c r="AC564" s="146"/>
      <c r="AD564" s="146"/>
      <c r="AE564" s="146"/>
      <c r="AF564" s="146"/>
      <c r="AG564" s="146"/>
      <c r="AH564" s="146"/>
      <c r="AI564" s="146"/>
      <c r="AJ564" s="146"/>
      <c r="AK564" s="146"/>
      <c r="AL564" s="146">
        <v>931.02407839387615</v>
      </c>
      <c r="AM564" s="146">
        <v>0.18847328753134962</v>
      </c>
      <c r="AN564" s="146">
        <v>0.22387491319202479</v>
      </c>
      <c r="AO564" s="146">
        <v>373.40639169484746</v>
      </c>
      <c r="AP564" s="146">
        <v>358.59156943659207</v>
      </c>
      <c r="AQ564" t="s">
        <v>326</v>
      </c>
      <c r="AR564">
        <f t="shared" si="35"/>
        <v>9.762677251918257</v>
      </c>
      <c r="AS564">
        <f t="shared" si="36"/>
        <v>2.6643645582431001</v>
      </c>
      <c r="AT564">
        <v>0.2</v>
      </c>
      <c r="AU564">
        <v>1</v>
      </c>
      <c r="AV564">
        <v>0.3</v>
      </c>
      <c r="AW564" s="146">
        <v>3</v>
      </c>
      <c r="AX564" s="146">
        <v>0.23564239927249389</v>
      </c>
      <c r="AY564">
        <v>0.18</v>
      </c>
      <c r="AZ564" s="209">
        <v>358.59156943659207</v>
      </c>
      <c r="BA564">
        <v>0.23564239927249389</v>
      </c>
      <c r="BB564" s="249">
        <v>15.843592743622292</v>
      </c>
      <c r="BC564" s="243">
        <v>102.12573774351308</v>
      </c>
      <c r="BD564" s="209">
        <v>40890.52717923306</v>
      </c>
      <c r="BE564" s="243">
        <v>25.670219798538167</v>
      </c>
      <c r="BF564">
        <v>50385.801826643059</v>
      </c>
      <c r="BG564" t="s">
        <v>387</v>
      </c>
      <c r="BH564">
        <v>3.373892773170376E-6</v>
      </c>
      <c r="BI564">
        <v>1608905.2717923305</v>
      </c>
      <c r="BJ564">
        <f t="shared" si="32"/>
        <v>3.1316823128134177E-2</v>
      </c>
    </row>
    <row r="565" spans="1:62" x14ac:dyDescent="0.3">
      <c r="A565">
        <v>-0.1</v>
      </c>
      <c r="B565" s="146">
        <v>300</v>
      </c>
      <c r="C565" s="146">
        <v>25</v>
      </c>
      <c r="D565" s="146">
        <v>400</v>
      </c>
      <c r="E565" s="252">
        <v>8.318769161100386</v>
      </c>
      <c r="F565" s="146">
        <v>1.8037139994973577</v>
      </c>
      <c r="G565" s="146">
        <v>9.61563513645849</v>
      </c>
      <c r="H565" s="146">
        <v>4.8564796651787931</v>
      </c>
      <c r="I565" s="146"/>
      <c r="J565" s="146">
        <v>0.33234234912910493</v>
      </c>
      <c r="K565" s="146">
        <v>0.18</v>
      </c>
      <c r="L565" s="146">
        <v>49.032233690835419</v>
      </c>
      <c r="M565" s="146">
        <v>24.414390219503115</v>
      </c>
      <c r="N565" s="146">
        <v>1.4420177604745898</v>
      </c>
      <c r="O565" s="146"/>
      <c r="P565" s="146"/>
      <c r="Q565" s="146"/>
      <c r="R565" s="146"/>
      <c r="S565" s="146"/>
      <c r="T565" s="146"/>
      <c r="U565" s="146"/>
      <c r="V565" s="146"/>
      <c r="W565" s="146"/>
      <c r="X565" s="146"/>
      <c r="Y565" s="146"/>
      <c r="Z565" s="146">
        <v>0.29692655171891913</v>
      </c>
      <c r="AA565" s="146"/>
      <c r="AB565" s="146"/>
      <c r="AC565" s="146"/>
      <c r="AD565" s="146"/>
      <c r="AE565" s="146"/>
      <c r="AF565" s="146"/>
      <c r="AG565" s="146"/>
      <c r="AH565" s="146"/>
      <c r="AI565" s="146"/>
      <c r="AJ565" s="146"/>
      <c r="AK565" s="146"/>
      <c r="AL565" s="146">
        <v>1065.2412573440138</v>
      </c>
      <c r="AM565" s="146">
        <v>0.18758136866678979</v>
      </c>
      <c r="AN565" s="146">
        <v>0.23722336227014779</v>
      </c>
      <c r="AO565" s="146">
        <v>364.93275754338629</v>
      </c>
      <c r="AP565" s="146">
        <v>344.23237710671918</v>
      </c>
      <c r="AQ565" t="s">
        <v>326</v>
      </c>
      <c r="AR565">
        <f t="shared" si="35"/>
        <v>9.762677251918257</v>
      </c>
      <c r="AS565">
        <f t="shared" si="36"/>
        <v>2.6643645582431001</v>
      </c>
      <c r="AT565">
        <v>0.2</v>
      </c>
      <c r="AU565">
        <v>1</v>
      </c>
      <c r="AV565">
        <v>0.3</v>
      </c>
      <c r="AW565" s="146">
        <v>3</v>
      </c>
      <c r="AX565" s="146">
        <v>0.24346396880105642</v>
      </c>
      <c r="AY565">
        <v>0.18</v>
      </c>
      <c r="AZ565" s="209">
        <v>344.23237710671918</v>
      </c>
      <c r="BA565">
        <v>0.24346396880105642</v>
      </c>
      <c r="BB565" s="249">
        <v>21.858917215900988</v>
      </c>
      <c r="BC565" s="243">
        <v>125.09428496915726</v>
      </c>
      <c r="BD565" s="209">
        <v>53271.792705865628</v>
      </c>
      <c r="BE565" s="243">
        <v>32.909305274613047</v>
      </c>
      <c r="BF565">
        <v>87453.185121716189</v>
      </c>
      <c r="BG565" t="s">
        <v>387</v>
      </c>
      <c r="BH565">
        <v>4.3479008096080233E-6</v>
      </c>
      <c r="BI565">
        <v>1732717.9270586562</v>
      </c>
      <c r="BJ565">
        <f t="shared" si="32"/>
        <v>5.0471680217547443E-2</v>
      </c>
    </row>
    <row r="566" spans="1:62" x14ac:dyDescent="0.3">
      <c r="A566">
        <v>-0.1</v>
      </c>
      <c r="B566" s="146">
        <v>400</v>
      </c>
      <c r="C566" s="146">
        <v>25</v>
      </c>
      <c r="D566" s="146">
        <v>400</v>
      </c>
      <c r="E566" s="252">
        <v>10.38394416950972</v>
      </c>
      <c r="F566" s="146">
        <v>2.2519199856248271</v>
      </c>
      <c r="G566" s="146">
        <v>11.965932090860115</v>
      </c>
      <c r="H566" s="146">
        <v>6.1052200880744385</v>
      </c>
      <c r="I566" s="146"/>
      <c r="J566" s="146">
        <v>0.33396073525654196</v>
      </c>
      <c r="K566" s="146">
        <v>0.18</v>
      </c>
      <c r="L566" s="146">
        <v>61.7146905814243</v>
      </c>
      <c r="M566" s="146">
        <v>30.729306513572268</v>
      </c>
      <c r="N566" s="146">
        <v>1.6765505791630302</v>
      </c>
      <c r="O566" s="146"/>
      <c r="P566" s="146"/>
      <c r="Q566" s="146"/>
      <c r="R566" s="146"/>
      <c r="S566" s="146"/>
      <c r="T566" s="146"/>
      <c r="U566" s="146"/>
      <c r="V566" s="146"/>
      <c r="W566" s="146"/>
      <c r="X566" s="146"/>
      <c r="Y566" s="146"/>
      <c r="Z566" s="146">
        <v>0.27460935969170069</v>
      </c>
      <c r="AA566" s="146"/>
      <c r="AB566" s="146"/>
      <c r="AC566" s="146"/>
      <c r="AD566" s="146"/>
      <c r="AE566" s="146"/>
      <c r="AF566" s="146"/>
      <c r="AG566" s="146"/>
      <c r="AH566" s="146"/>
      <c r="AI566" s="146"/>
      <c r="AJ566" s="146"/>
      <c r="AK566" s="146"/>
      <c r="AL566" s="146">
        <v>1170.237896170717</v>
      </c>
      <c r="AM566" s="146">
        <v>0.18819428094071344</v>
      </c>
      <c r="AN566" s="146">
        <v>0.24607428464897793</v>
      </c>
      <c r="AO566" s="146">
        <v>357.80158749898516</v>
      </c>
      <c r="AP566" s="146">
        <v>331.96260658920153</v>
      </c>
      <c r="AQ566" t="s">
        <v>326</v>
      </c>
      <c r="AR566">
        <f t="shared" si="35"/>
        <v>9.762677251918257</v>
      </c>
      <c r="AS566">
        <f t="shared" si="36"/>
        <v>2.6643645582431001</v>
      </c>
      <c r="AT566">
        <v>0.2</v>
      </c>
      <c r="AU566">
        <v>1</v>
      </c>
      <c r="AV566">
        <v>0.3</v>
      </c>
      <c r="AW566" s="146">
        <v>3</v>
      </c>
      <c r="AX566" s="146">
        <v>0.24909207820994417</v>
      </c>
      <c r="AY566">
        <v>0.18</v>
      </c>
      <c r="AZ566" s="209">
        <v>331.96260658920153</v>
      </c>
      <c r="BA566">
        <v>0.24909207820994417</v>
      </c>
      <c r="BB566" s="249">
        <v>27.170377873695749</v>
      </c>
      <c r="BC566" s="243">
        <v>143.35014220440036</v>
      </c>
      <c r="BD566" s="209">
        <v>63822.178660691257</v>
      </c>
      <c r="BE566" s="243">
        <v>39.061029210792213</v>
      </c>
      <c r="BF566">
        <v>126336.63564231498</v>
      </c>
      <c r="BG566" t="s">
        <v>387</v>
      </c>
      <c r="BH566">
        <v>5.0556274000014414E-6</v>
      </c>
      <c r="BI566">
        <v>1838221.7866069125</v>
      </c>
      <c r="BJ566">
        <f t="shared" si="32"/>
        <v>6.872763480597946E-2</v>
      </c>
    </row>
    <row r="567" spans="1:62" x14ac:dyDescent="0.3">
      <c r="A567">
        <v>-0.1</v>
      </c>
      <c r="B567" s="146">
        <v>600</v>
      </c>
      <c r="C567" s="146">
        <v>25</v>
      </c>
      <c r="D567" s="146">
        <v>400</v>
      </c>
      <c r="E567" s="252">
        <v>13.802306747788155</v>
      </c>
      <c r="F567" s="146">
        <v>3.0294880502442836</v>
      </c>
      <c r="G567" s="146">
        <v>15.867412440338029</v>
      </c>
      <c r="H567" s="146">
        <v>8.2416334209200031</v>
      </c>
      <c r="I567" s="146"/>
      <c r="J567" s="146">
        <v>0.33727805414001788</v>
      </c>
      <c r="K567" s="146">
        <v>0.18</v>
      </c>
      <c r="L567" s="146">
        <v>83.47356691336644</v>
      </c>
      <c r="M567" s="146">
        <v>41.563601782589103</v>
      </c>
      <c r="N567" s="146">
        <v>2.0294236101055407</v>
      </c>
      <c r="O567" s="146"/>
      <c r="P567" s="146"/>
      <c r="Q567" s="146"/>
      <c r="R567" s="146"/>
      <c r="S567" s="146"/>
      <c r="T567" s="146"/>
      <c r="U567" s="146"/>
      <c r="V567" s="146"/>
      <c r="W567" s="146"/>
      <c r="X567" s="146"/>
      <c r="Y567" s="146"/>
      <c r="Z567" s="146">
        <v>0.24624046065361141</v>
      </c>
      <c r="AA567" s="146"/>
      <c r="AB567" s="146"/>
      <c r="AC567" s="146"/>
      <c r="AD567" s="146"/>
      <c r="AE567" s="146"/>
      <c r="AF567" s="146"/>
      <c r="AG567" s="146"/>
      <c r="AH567" s="146"/>
      <c r="AI567" s="146"/>
      <c r="AJ567" s="146"/>
      <c r="AK567" s="146"/>
      <c r="AL567" s="146">
        <v>1326.8119810588732</v>
      </c>
      <c r="AM567" s="146">
        <v>0.19092514684642214</v>
      </c>
      <c r="AN567" s="146">
        <v>0.25772324835926536</v>
      </c>
      <c r="AO567" s="146">
        <v>346.44523986230462</v>
      </c>
      <c r="AP567" s="146">
        <v>312.10017600610212</v>
      </c>
      <c r="AQ567" t="s">
        <v>326</v>
      </c>
      <c r="AR567">
        <f t="shared" si="35"/>
        <v>9.762677251918257</v>
      </c>
      <c r="AS567">
        <f t="shared" si="36"/>
        <v>2.6643645582431001</v>
      </c>
      <c r="AT567">
        <v>0.2</v>
      </c>
      <c r="AU567">
        <v>1</v>
      </c>
      <c r="AV567">
        <v>0.3</v>
      </c>
      <c r="AW567" s="146">
        <v>3</v>
      </c>
      <c r="AX567" s="146">
        <v>0.2570832024445468</v>
      </c>
      <c r="AY567">
        <v>0.18</v>
      </c>
      <c r="AZ567" s="209">
        <v>312.10017600610212</v>
      </c>
      <c r="BA567">
        <v>0.2570832024445468</v>
      </c>
      <c r="BB567" s="249">
        <v>36.151462190145601</v>
      </c>
      <c r="BC567" s="243">
        <v>171.09950131429977</v>
      </c>
      <c r="BD567" s="209">
        <v>80935.394927796355</v>
      </c>
      <c r="BE567" s="243">
        <v>49.045165656793145</v>
      </c>
      <c r="BF567">
        <v>203854.34583915025</v>
      </c>
      <c r="BG567" t="s">
        <v>387</v>
      </c>
      <c r="BH567">
        <v>5.9933505083869913E-6</v>
      </c>
      <c r="BI567">
        <v>2009353.9492779635</v>
      </c>
      <c r="BJ567">
        <f t="shared" si="32"/>
        <v>0.10145268130206865</v>
      </c>
    </row>
    <row r="568" spans="1:62" x14ac:dyDescent="0.3">
      <c r="A568">
        <v>-0.1</v>
      </c>
      <c r="B568" s="146">
        <v>800</v>
      </c>
      <c r="C568" s="146">
        <v>25</v>
      </c>
      <c r="D568" s="146">
        <v>400</v>
      </c>
      <c r="E568" s="252">
        <v>16.458492407754303</v>
      </c>
      <c r="F568" s="146">
        <v>3.6675212998178139</v>
      </c>
      <c r="G568" s="146">
        <v>18.910769162741325</v>
      </c>
      <c r="H568" s="146">
        <v>9.9760484259843523</v>
      </c>
      <c r="I568" s="146"/>
      <c r="J568" s="146">
        <v>0.34058490378984252</v>
      </c>
      <c r="K568" s="146">
        <v>0.18</v>
      </c>
      <c r="L568" s="146">
        <v>101.1993166910765</v>
      </c>
      <c r="M568" s="146">
        <v>50.389701256967562</v>
      </c>
      <c r="N568" s="146">
        <v>2.2820584756012696</v>
      </c>
      <c r="O568" s="146"/>
      <c r="P568" s="146"/>
      <c r="Q568" s="146"/>
      <c r="R568" s="146"/>
      <c r="S568" s="146"/>
      <c r="T568" s="146"/>
      <c r="U568" s="146"/>
      <c r="V568" s="146"/>
      <c r="W568" s="146"/>
      <c r="X568" s="146"/>
      <c r="Y568" s="146"/>
      <c r="Z568" s="146">
        <v>0.22875374879468824</v>
      </c>
      <c r="AA568" s="146"/>
      <c r="AB568" s="146"/>
      <c r="AC568" s="146"/>
      <c r="AD568" s="146"/>
      <c r="AE568" s="146"/>
      <c r="AF568" s="146"/>
      <c r="AG568" s="146"/>
      <c r="AH568" s="146"/>
      <c r="AI568" s="146"/>
      <c r="AJ568" s="146"/>
      <c r="AK568" s="146"/>
      <c r="AL568" s="146">
        <v>1438.1165703987579</v>
      </c>
      <c r="AM568" s="146">
        <v>0.19393824060016004</v>
      </c>
      <c r="AN568" s="146">
        <v>0.26563919244631762</v>
      </c>
      <c r="AO568" s="146">
        <v>338.04192726161688</v>
      </c>
      <c r="AP568" s="146">
        <v>297.08733259812266</v>
      </c>
      <c r="AQ568" t="s">
        <v>326</v>
      </c>
      <c r="AR568">
        <f t="shared" si="35"/>
        <v>9.762677251918257</v>
      </c>
      <c r="AS568">
        <f t="shared" si="36"/>
        <v>2.6643645582431001</v>
      </c>
      <c r="AT568">
        <v>0.2</v>
      </c>
      <c r="AU568">
        <v>1</v>
      </c>
      <c r="AV568">
        <v>0.3</v>
      </c>
      <c r="AW568" s="146">
        <v>3</v>
      </c>
      <c r="AX568" s="146">
        <v>0.2628968667103489</v>
      </c>
      <c r="AY568">
        <v>0.18</v>
      </c>
      <c r="AZ568" s="209">
        <v>297.08733259812266</v>
      </c>
      <c r="BA568">
        <v>0.2628968667103489</v>
      </c>
      <c r="BB568" s="249">
        <v>43.312782453248559</v>
      </c>
      <c r="BC568" s="243">
        <v>190.82777079763508</v>
      </c>
      <c r="BD568" s="209">
        <v>93803.922876222656</v>
      </c>
      <c r="BE568" s="243">
        <v>56.578671233610649</v>
      </c>
      <c r="BF568">
        <v>275421.34525189269</v>
      </c>
      <c r="BG568" t="s">
        <v>387</v>
      </c>
      <c r="BH568">
        <v>6.5662022833364176E-6</v>
      </c>
      <c r="BI568">
        <v>2138039.2287622266</v>
      </c>
      <c r="BJ568">
        <f t="shared" si="32"/>
        <v>0.12881959392828454</v>
      </c>
    </row>
    <row r="569" spans="1:62" x14ac:dyDescent="0.3">
      <c r="A569">
        <v>-0.1</v>
      </c>
      <c r="B569" s="146">
        <v>1000</v>
      </c>
      <c r="C569" s="146">
        <v>25</v>
      </c>
      <c r="D569" s="146">
        <v>400</v>
      </c>
      <c r="E569" s="252">
        <v>18.566654399983829</v>
      </c>
      <c r="F569" s="146">
        <v>4.2042560577186725</v>
      </c>
      <c r="G569" s="146">
        <v>21.339345550559589</v>
      </c>
      <c r="H569" s="146">
        <v>11.39493917840068</v>
      </c>
      <c r="I569" s="146"/>
      <c r="J569" s="146">
        <v>0.34420227999810055</v>
      </c>
      <c r="K569" s="146">
        <v>0.18</v>
      </c>
      <c r="L569" s="146">
        <v>115.74437413547153</v>
      </c>
      <c r="M569" s="146">
        <v>57.632053511438116</v>
      </c>
      <c r="N569" s="146">
        <v>2.4568729442010842</v>
      </c>
      <c r="O569" s="146"/>
      <c r="P569" s="146"/>
      <c r="Q569" s="146"/>
      <c r="R569" s="146"/>
      <c r="S569" s="146"/>
      <c r="T569" s="146"/>
      <c r="U569" s="146"/>
      <c r="V569" s="146"/>
      <c r="W569" s="146"/>
      <c r="X569" s="146"/>
      <c r="Y569" s="146"/>
      <c r="Z569" s="146">
        <v>0.21561088705573195</v>
      </c>
      <c r="AA569" s="146"/>
      <c r="AB569" s="146"/>
      <c r="AC569" s="146"/>
      <c r="AD569" s="146"/>
      <c r="AE569" s="146"/>
      <c r="AF569" s="146"/>
      <c r="AG569" s="146"/>
      <c r="AH569" s="146"/>
      <c r="AI569" s="146"/>
      <c r="AJ569" s="146"/>
      <c r="AK569" s="146"/>
      <c r="AL569" s="146">
        <v>1513.629269404169</v>
      </c>
      <c r="AM569" s="146">
        <v>0.19701897828860188</v>
      </c>
      <c r="AN569" s="146">
        <v>0.27062436549181867</v>
      </c>
      <c r="AO569" s="146">
        <v>331.39326399438664</v>
      </c>
      <c r="AP569" s="146">
        <v>285.19279730362734</v>
      </c>
      <c r="AQ569" t="s">
        <v>326</v>
      </c>
      <c r="AR569">
        <f t="shared" si="35"/>
        <v>9.762677251918257</v>
      </c>
      <c r="AS569">
        <f t="shared" si="36"/>
        <v>2.6643645582431001</v>
      </c>
      <c r="AT569">
        <v>0.2</v>
      </c>
      <c r="AU569">
        <v>1</v>
      </c>
      <c r="AV569">
        <v>0.3</v>
      </c>
      <c r="AW569" s="146">
        <v>3</v>
      </c>
      <c r="AX569" s="146">
        <v>0.26762249902436536</v>
      </c>
      <c r="AY569">
        <v>0.18</v>
      </c>
      <c r="AZ569" s="209">
        <v>285.19279730362734</v>
      </c>
      <c r="BA569">
        <v>0.26762249902436536</v>
      </c>
      <c r="BB569" s="249">
        <v>49.167867353579702</v>
      </c>
      <c r="BC569" s="243">
        <v>205.49263905419994</v>
      </c>
      <c r="BD569" s="209">
        <v>103930.18560277276</v>
      </c>
      <c r="BE569" s="243">
        <v>62.732609632368884</v>
      </c>
      <c r="BF569">
        <v>340016.40354308201</v>
      </c>
      <c r="BG569" t="s">
        <v>387</v>
      </c>
      <c r="BH569">
        <v>6.9367618206965349E-6</v>
      </c>
      <c r="BI569">
        <v>2239301.8560277275</v>
      </c>
      <c r="BJ569">
        <f t="shared" si="32"/>
        <v>0.15184036159655281</v>
      </c>
    </row>
    <row r="570" spans="1:62" x14ac:dyDescent="0.3">
      <c r="A570">
        <v>-0.1</v>
      </c>
      <c r="B570" s="146">
        <v>1300</v>
      </c>
      <c r="C570" s="146">
        <v>25</v>
      </c>
      <c r="D570" s="146">
        <v>400</v>
      </c>
      <c r="E570" s="252">
        <v>20.875955661987287</v>
      </c>
      <c r="F570" s="146">
        <v>4.813796131060915</v>
      </c>
      <c r="G570" s="146">
        <v>24.006001297208854</v>
      </c>
      <c r="H570" s="146">
        <v>13.02177431743522</v>
      </c>
      <c r="I570" s="146"/>
      <c r="J570" s="146">
        <v>0.34927314090307426</v>
      </c>
      <c r="K570" s="146">
        <v>0.18</v>
      </c>
      <c r="L570" s="146">
        <v>132.48360120846758</v>
      </c>
      <c r="M570" s="146">
        <v>65.966938361062702</v>
      </c>
      <c r="N570" s="146">
        <v>2.6363069628656852</v>
      </c>
      <c r="O570" s="146"/>
      <c r="P570" s="146"/>
      <c r="Q570" s="146"/>
      <c r="R570" s="146"/>
      <c r="S570" s="146"/>
      <c r="T570" s="146"/>
      <c r="U570" s="146"/>
      <c r="V570" s="146"/>
      <c r="W570" s="146"/>
      <c r="X570" s="146"/>
      <c r="Y570" s="146"/>
      <c r="Z570" s="146">
        <v>0.20245374390614801</v>
      </c>
      <c r="AA570" s="146"/>
      <c r="AB570" s="146"/>
      <c r="AC570" s="146"/>
      <c r="AD570" s="146"/>
      <c r="AE570" s="146"/>
      <c r="AF570" s="146"/>
      <c r="AG570" s="146"/>
      <c r="AH570" s="146"/>
      <c r="AI570" s="146"/>
      <c r="AJ570" s="146"/>
      <c r="AK570" s="146"/>
      <c r="AL570" s="146">
        <v>1590.6997941220186</v>
      </c>
      <c r="AM570" s="146">
        <v>0.20052469678157556</v>
      </c>
      <c r="AN570" s="146">
        <v>0.27647767716398908</v>
      </c>
      <c r="AO570" s="146">
        <v>324.49316025754592</v>
      </c>
      <c r="AP570" s="146">
        <v>272.54631268917763</v>
      </c>
      <c r="AQ570" t="s">
        <v>326</v>
      </c>
      <c r="AR570">
        <f t="shared" si="35"/>
        <v>9.762677251918257</v>
      </c>
      <c r="AS570">
        <f t="shared" si="36"/>
        <v>2.6643645582431001</v>
      </c>
      <c r="AT570">
        <v>0.2</v>
      </c>
      <c r="AU570">
        <v>1</v>
      </c>
      <c r="AV570">
        <v>0.3</v>
      </c>
      <c r="AW570" s="146">
        <v>3</v>
      </c>
      <c r="AX570" s="146">
        <v>0.27342778182521454</v>
      </c>
      <c r="AY570">
        <v>0.18</v>
      </c>
      <c r="AZ570" s="209">
        <v>272.54631268917763</v>
      </c>
      <c r="BA570">
        <v>0.27342778182521454</v>
      </c>
      <c r="BB570" s="249">
        <v>55.680716977016516</v>
      </c>
      <c r="BC570" s="243">
        <v>220.13223810438461</v>
      </c>
      <c r="BD570" s="209">
        <v>114352.23681226114</v>
      </c>
      <c r="BE570" s="243">
        <v>69.126789772059396</v>
      </c>
      <c r="BF570">
        <v>417905.46892130194</v>
      </c>
      <c r="BG570" t="s">
        <v>387</v>
      </c>
      <c r="BH570">
        <v>7.289217292733163E-6</v>
      </c>
      <c r="BI570">
        <v>2343522.3681226112</v>
      </c>
      <c r="BJ570">
        <f t="shared" si="32"/>
        <v>0.17832365272283907</v>
      </c>
    </row>
    <row r="571" spans="1:62" x14ac:dyDescent="0.3">
      <c r="A571">
        <v>-0.1</v>
      </c>
      <c r="B571" s="227">
        <v>1600</v>
      </c>
      <c r="C571" s="146">
        <v>25</v>
      </c>
      <c r="D571" s="146">
        <v>400</v>
      </c>
      <c r="E571" s="252">
        <v>22.503201869774177</v>
      </c>
      <c r="F571" s="146">
        <v>5.2533453346500982</v>
      </c>
      <c r="G571" s="146">
        <v>25.88740545068049</v>
      </c>
      <c r="H571" s="146">
        <v>14.204064633375596</v>
      </c>
      <c r="I571" s="146"/>
      <c r="J571" s="146">
        <v>0.35049118111935662</v>
      </c>
      <c r="K571" s="146">
        <v>0.18</v>
      </c>
      <c r="L571" s="146">
        <v>144.69911326812414</v>
      </c>
      <c r="M571" s="146">
        <v>72.049351004875106</v>
      </c>
      <c r="N571" s="146">
        <v>2.7970491712590153</v>
      </c>
      <c r="O571" s="146"/>
      <c r="P571" s="146"/>
      <c r="Q571" s="146"/>
      <c r="R571" s="146"/>
      <c r="S571" s="146"/>
      <c r="T571" s="146"/>
      <c r="U571" s="146"/>
      <c r="V571" s="146"/>
      <c r="W571" s="146"/>
      <c r="X571" s="146"/>
      <c r="Y571" s="146"/>
      <c r="Z571" s="146">
        <v>0.19691892732498054</v>
      </c>
      <c r="AA571" s="146"/>
      <c r="AB571" s="146"/>
      <c r="AC571" s="146"/>
      <c r="AD571" s="146"/>
      <c r="AE571" s="146"/>
      <c r="AF571" s="146"/>
      <c r="AG571" s="146"/>
      <c r="AH571" s="146"/>
      <c r="AI571" s="146"/>
      <c r="AJ571" s="146"/>
      <c r="AK571" s="146"/>
      <c r="AL571" s="146">
        <v>1662.309994046914</v>
      </c>
      <c r="AM571" s="146">
        <v>0.20293054646432349</v>
      </c>
      <c r="AN571" s="146">
        <v>0.28052349320453668</v>
      </c>
      <c r="AO571" s="146">
        <v>319.78140007914942</v>
      </c>
      <c r="AP571" s="146">
        <v>263.78540841740835</v>
      </c>
      <c r="AQ571" t="s">
        <v>326</v>
      </c>
      <c r="AR571">
        <f t="shared" si="35"/>
        <v>9.762677251918257</v>
      </c>
      <c r="AS571">
        <f t="shared" si="36"/>
        <v>2.6643645582431001</v>
      </c>
      <c r="AT571">
        <v>0.2</v>
      </c>
      <c r="AU571">
        <v>1</v>
      </c>
      <c r="AV571">
        <v>0.3</v>
      </c>
      <c r="AW571" s="146">
        <v>3</v>
      </c>
      <c r="AX571" s="146">
        <v>0.27613721954171527</v>
      </c>
      <c r="AY571">
        <v>0.18</v>
      </c>
      <c r="AZ571" s="209">
        <v>263.78540841740835</v>
      </c>
      <c r="BA571">
        <v>0.27613721954171527</v>
      </c>
      <c r="BB571" s="249">
        <v>60.3442217528425</v>
      </c>
      <c r="BC571" s="243">
        <v>229.31206503571693</v>
      </c>
      <c r="BD571" s="209">
        <v>121339.76655571538</v>
      </c>
      <c r="BE571" s="243">
        <v>73.700300396787995</v>
      </c>
      <c r="BF571">
        <v>477572.46688101592</v>
      </c>
      <c r="BG571" t="s">
        <v>387</v>
      </c>
      <c r="BH571">
        <v>7.5068712916007821E-6</v>
      </c>
      <c r="BI571">
        <v>2413397.6655571535</v>
      </c>
      <c r="BJ571">
        <f t="shared" si="32"/>
        <v>0.19788386874517186</v>
      </c>
    </row>
    <row r="572" spans="1:62" s="140" customFormat="1" x14ac:dyDescent="0.3">
      <c r="A572" s="140">
        <v>-0.1</v>
      </c>
      <c r="B572" s="140">
        <v>1900</v>
      </c>
      <c r="C572" s="140">
        <v>25</v>
      </c>
      <c r="D572" s="140">
        <v>400</v>
      </c>
      <c r="E572" s="253">
        <v>23.658857253933192</v>
      </c>
      <c r="F572" s="140">
        <v>5.5779577176709498</v>
      </c>
      <c r="G572" s="140">
        <v>27.228026116150705</v>
      </c>
      <c r="H572" s="140">
        <v>15.072994976127482</v>
      </c>
      <c r="J572" s="140">
        <v>0.35355526579427832</v>
      </c>
      <c r="K572" s="140">
        <v>0.18</v>
      </c>
      <c r="L572" s="140">
        <v>153.71023766288701</v>
      </c>
      <c r="M572" s="140">
        <v>76.53621792342922</v>
      </c>
      <c r="N572" s="140">
        <v>2.8797759334424722</v>
      </c>
      <c r="Z572" s="140">
        <v>0.19105532364360525</v>
      </c>
      <c r="AL572" s="140">
        <v>1697.4683631292153</v>
      </c>
      <c r="AM572" s="140">
        <v>0.2048608920042978</v>
      </c>
      <c r="AN572" s="140">
        <v>0.28317704529980608</v>
      </c>
      <c r="AO572" s="140">
        <v>316.45206542470623</v>
      </c>
      <c r="AP572" s="140">
        <v>257.58039640797887</v>
      </c>
      <c r="AQ572" t="s">
        <v>326</v>
      </c>
      <c r="AR572">
        <f t="shared" si="35"/>
        <v>9.762677251918257</v>
      </c>
      <c r="AS572">
        <f t="shared" si="36"/>
        <v>2.6643645582431001</v>
      </c>
      <c r="AT572" s="140">
        <v>0.2</v>
      </c>
      <c r="AU572" s="140">
        <v>1</v>
      </c>
      <c r="AV572">
        <v>0.3</v>
      </c>
      <c r="AW572" s="140">
        <v>3</v>
      </c>
      <c r="AX572" s="140">
        <v>0.27935304312787407</v>
      </c>
      <c r="AY572">
        <v>0.18</v>
      </c>
      <c r="AZ572" s="209">
        <v>257.58039640797887</v>
      </c>
      <c r="BA572" s="140">
        <v>0.27935304312787407</v>
      </c>
      <c r="BB572" s="253">
        <v>63.70094603958016</v>
      </c>
      <c r="BC572" s="245">
        <v>235.19364489404563</v>
      </c>
      <c r="BD572" s="210">
        <v>126182.887364011</v>
      </c>
      <c r="BE572" s="245">
        <v>76.882356458769493</v>
      </c>
      <c r="BF572" s="140">
        <v>522595.73576783214</v>
      </c>
      <c r="BG572" t="s">
        <v>387</v>
      </c>
      <c r="BH572" s="140">
        <v>7.645726499538995E-6</v>
      </c>
      <c r="BI572" s="140">
        <v>2461828.8736401098</v>
      </c>
      <c r="BJ572">
        <f t="shared" si="32"/>
        <v>0.21227947294123314</v>
      </c>
    </row>
    <row r="573" spans="1:62" x14ac:dyDescent="0.3">
      <c r="A573">
        <v>-0.1</v>
      </c>
      <c r="B573" s="146">
        <v>1000</v>
      </c>
      <c r="C573" s="146">
        <v>25</v>
      </c>
      <c r="D573" s="146">
        <v>200</v>
      </c>
      <c r="E573" s="252">
        <v>15.114384495113114</v>
      </c>
      <c r="F573" s="146">
        <v>6.7479874108703797</v>
      </c>
      <c r="G573" s="146">
        <v>19.226699746471912</v>
      </c>
      <c r="H573" s="146">
        <v>11.804264934331474</v>
      </c>
      <c r="I573" s="146"/>
      <c r="J573" s="146">
        <v>0.39624233485756472</v>
      </c>
      <c r="K573" s="146">
        <v>0.18</v>
      </c>
      <c r="L573" s="146">
        <v>120.77391410293802</v>
      </c>
      <c r="M573" s="146">
        <v>60.1363887649484</v>
      </c>
      <c r="N573" s="146">
        <v>1.7097719255705979</v>
      </c>
      <c r="O573" s="146"/>
      <c r="P573" s="146"/>
      <c r="Q573" s="146"/>
      <c r="R573" s="146"/>
      <c r="S573" s="146"/>
      <c r="T573" s="146"/>
      <c r="U573" s="146"/>
      <c r="V573" s="146"/>
      <c r="W573" s="146"/>
      <c r="X573" s="146"/>
      <c r="Y573" s="146"/>
      <c r="Z573" s="146">
        <v>0.14484357434217732</v>
      </c>
      <c r="AA573" s="146"/>
      <c r="AB573" s="146"/>
      <c r="AC573" s="146"/>
      <c r="AD573" s="146"/>
      <c r="AE573" s="146"/>
      <c r="AF573" s="146"/>
      <c r="AG573" s="146"/>
      <c r="AH573" s="146"/>
      <c r="AI573" s="146"/>
      <c r="AJ573" s="146"/>
      <c r="AK573" s="146"/>
      <c r="AL573" s="146">
        <v>961.54867689905416</v>
      </c>
      <c r="AM573" s="146">
        <v>0.35096961516282227</v>
      </c>
      <c r="AN573" s="146">
        <v>0.27122041763503824</v>
      </c>
      <c r="AO573" s="146">
        <v>144.27268925066161</v>
      </c>
      <c r="AP573" s="146">
        <v>106.6627141137554</v>
      </c>
      <c r="AQ573" t="s">
        <v>326</v>
      </c>
      <c r="AR573">
        <f t="shared" si="35"/>
        <v>9.762677251918257</v>
      </c>
      <c r="AS573">
        <f t="shared" si="36"/>
        <v>2.6643645582431001</v>
      </c>
      <c r="AT573">
        <v>0.2</v>
      </c>
      <c r="AU573">
        <v>1</v>
      </c>
      <c r="AV573">
        <v>0.3</v>
      </c>
      <c r="AW573" s="146">
        <v>3</v>
      </c>
      <c r="AX573" s="146">
        <v>0.28021343299545443</v>
      </c>
      <c r="AY573">
        <v>0.18</v>
      </c>
      <c r="AZ573" s="209">
        <v>106.6627141137554</v>
      </c>
      <c r="BA573">
        <v>0.28021343299545443</v>
      </c>
      <c r="BB573" s="249">
        <v>62.945380353018756</v>
      </c>
      <c r="BC573" s="243">
        <v>220.31224759044747</v>
      </c>
      <c r="BD573" s="209">
        <v>118521.37740082279</v>
      </c>
      <c r="BE573" s="243">
        <v>75.016370778995508</v>
      </c>
      <c r="BF573">
        <v>288908.93707073492</v>
      </c>
      <c r="BG573" t="s">
        <v>388</v>
      </c>
      <c r="BH573">
        <v>5.4016727513735189E-6</v>
      </c>
      <c r="BI573">
        <v>2385213.774008228</v>
      </c>
      <c r="BJ573">
        <f t="shared" si="32"/>
        <v>0.12112496591248441</v>
      </c>
    </row>
    <row r="574" spans="1:62" x14ac:dyDescent="0.3">
      <c r="A574">
        <v>-0.1</v>
      </c>
      <c r="B574" s="146">
        <v>1000</v>
      </c>
      <c r="C574" s="146">
        <v>25</v>
      </c>
      <c r="D574" s="146">
        <v>300</v>
      </c>
      <c r="E574" s="252">
        <v>17.140882923266791</v>
      </c>
      <c r="F574" s="146">
        <v>5.1389136633851358</v>
      </c>
      <c r="G574" s="146">
        <v>20.404679517583865</v>
      </c>
      <c r="H574" s="146">
        <v>11.571402602061983</v>
      </c>
      <c r="I574" s="146"/>
      <c r="J574" s="146">
        <v>0.36172977646359294</v>
      </c>
      <c r="K574" s="146">
        <v>0.18</v>
      </c>
      <c r="L574" s="146">
        <v>117.75357373480496</v>
      </c>
      <c r="M574" s="146">
        <v>58.632484847205788</v>
      </c>
      <c r="N574" s="146">
        <v>2.1602466578463293</v>
      </c>
      <c r="O574" s="146"/>
      <c r="P574" s="146"/>
      <c r="Q574" s="146"/>
      <c r="R574" s="146"/>
      <c r="S574" s="146"/>
      <c r="T574" s="146"/>
      <c r="U574" s="146"/>
      <c r="V574" s="146"/>
      <c r="W574" s="146"/>
      <c r="X574" s="146"/>
      <c r="Y574" s="146"/>
      <c r="Z574" s="146">
        <v>0.18668840175532228</v>
      </c>
      <c r="AA574" s="146"/>
      <c r="AB574" s="146"/>
      <c r="AC574" s="146"/>
      <c r="AD574" s="146"/>
      <c r="AE574" s="146"/>
      <c r="AF574" s="146"/>
      <c r="AG574" s="146"/>
      <c r="AH574" s="146"/>
      <c r="AI574" s="146"/>
      <c r="AJ574" s="146"/>
      <c r="AK574" s="146"/>
      <c r="AL574" s="146">
        <v>1274.978239078976</v>
      </c>
      <c r="AM574" s="146">
        <v>0.25184976117643226</v>
      </c>
      <c r="AN574" s="146">
        <v>0.27428719750413694</v>
      </c>
      <c r="AO574" s="146">
        <v>237.50753560778838</v>
      </c>
      <c r="AP574" s="146">
        <v>194.85491015581061</v>
      </c>
      <c r="AQ574" t="s">
        <v>326</v>
      </c>
      <c r="AR574">
        <f t="shared" si="35"/>
        <v>9.762677251918257</v>
      </c>
      <c r="AS574">
        <f t="shared" si="36"/>
        <v>2.6643645582431001</v>
      </c>
      <c r="AT574">
        <v>0.2</v>
      </c>
      <c r="AU574">
        <v>1</v>
      </c>
      <c r="AV574">
        <v>0.3</v>
      </c>
      <c r="AW574" s="146">
        <v>3</v>
      </c>
      <c r="AX574" s="146">
        <v>0.27107930967687682</v>
      </c>
      <c r="AY574">
        <v>0.18</v>
      </c>
      <c r="AZ574" s="209">
        <v>194.85491015581061</v>
      </c>
      <c r="BA574">
        <v>0.27107930967687682</v>
      </c>
      <c r="BB574" s="249">
        <v>54.189522297369393</v>
      </c>
      <c r="BC574" s="243">
        <v>211.29015975070118</v>
      </c>
      <c r="BD574" s="209">
        <v>108843.75662224009</v>
      </c>
      <c r="BE574" s="243">
        <v>66.445745299100807</v>
      </c>
      <c r="BF574">
        <v>318323.5259947569</v>
      </c>
      <c r="BG574" t="s">
        <v>388</v>
      </c>
      <c r="BH574">
        <v>6.318561288643663E-6</v>
      </c>
      <c r="BI574">
        <v>2288437.5662224009</v>
      </c>
      <c r="BJ574">
        <f t="shared" si="32"/>
        <v>0.1391008130146299</v>
      </c>
    </row>
    <row r="575" spans="1:62" x14ac:dyDescent="0.3">
      <c r="A575">
        <v>-0.1</v>
      </c>
      <c r="B575" s="146">
        <v>1000</v>
      </c>
      <c r="C575" s="146">
        <v>25</v>
      </c>
      <c r="D575" s="146">
        <v>400</v>
      </c>
      <c r="E575" s="252">
        <v>18.561049411078333</v>
      </c>
      <c r="F575" s="146">
        <v>4.2018376804034574</v>
      </c>
      <c r="G575" s="146">
        <v>21.332236311031856</v>
      </c>
      <c r="H575" s="146">
        <v>11.392682021379549</v>
      </c>
      <c r="I575" s="146"/>
      <c r="J575" s="146">
        <v>0.34415085080139207</v>
      </c>
      <c r="K575" s="146">
        <v>0.18</v>
      </c>
      <c r="L575" s="146">
        <v>115.72161711512192</v>
      </c>
      <c r="M575" s="146">
        <v>57.620722214998466</v>
      </c>
      <c r="N575" s="146">
        <v>2.4581027887369782</v>
      </c>
      <c r="O575" s="146"/>
      <c r="P575" s="146"/>
      <c r="Q575" s="146"/>
      <c r="R575" s="146"/>
      <c r="S575" s="146"/>
      <c r="T575" s="146"/>
      <c r="U575" s="146"/>
      <c r="V575" s="146"/>
      <c r="W575" s="146"/>
      <c r="X575" s="146"/>
      <c r="Y575" s="146"/>
      <c r="Z575" s="146">
        <v>0.21576155501611416</v>
      </c>
      <c r="AA575" s="146"/>
      <c r="AB575" s="146"/>
      <c r="AC575" s="146"/>
      <c r="AD575" s="146"/>
      <c r="AE575" s="146"/>
      <c r="AF575" s="146"/>
      <c r="AG575" s="146"/>
      <c r="AH575" s="146"/>
      <c r="AI575" s="146"/>
      <c r="AJ575" s="146"/>
      <c r="AK575" s="146"/>
      <c r="AL575" s="146">
        <v>1514.3028936352869</v>
      </c>
      <c r="AM575" s="146">
        <v>0.19697127010685225</v>
      </c>
      <c r="AN575" s="146">
        <v>0.27072005400047655</v>
      </c>
      <c r="AO575" s="146">
        <v>331.43821768354974</v>
      </c>
      <c r="AP575" s="146">
        <v>285.25149926679723</v>
      </c>
      <c r="AQ575" t="s">
        <v>326</v>
      </c>
      <c r="AR575">
        <f t="shared" si="35"/>
        <v>9.762677251918257</v>
      </c>
      <c r="AS575">
        <f t="shared" si="36"/>
        <v>2.6643645582431001</v>
      </c>
      <c r="AT575">
        <v>0.2</v>
      </c>
      <c r="AU575">
        <v>1</v>
      </c>
      <c r="AV575">
        <v>0.3</v>
      </c>
      <c r="AW575" s="146">
        <v>3</v>
      </c>
      <c r="AX575" s="146">
        <v>0.26761007664007674</v>
      </c>
      <c r="AY575">
        <v>0.18</v>
      </c>
      <c r="AZ575" s="209">
        <v>285.25149926679723</v>
      </c>
      <c r="BA575">
        <v>0.26761007664007674</v>
      </c>
      <c r="BB575" s="249">
        <v>49.145747001317368</v>
      </c>
      <c r="BC575" s="243">
        <v>205.42786561371932</v>
      </c>
      <c r="BD575" s="209">
        <v>103867.52124853847</v>
      </c>
      <c r="BE575" s="243">
        <v>62.679358286999154</v>
      </c>
      <c r="BF575">
        <v>339757.85355417262</v>
      </c>
      <c r="BG575" t="s">
        <v>388</v>
      </c>
      <c r="BH575">
        <v>6.9370849173728608E-6</v>
      </c>
      <c r="BI575">
        <v>2238675.2124853847</v>
      </c>
      <c r="BJ575">
        <f t="shared" si="32"/>
        <v>0.15176737190785811</v>
      </c>
    </row>
    <row r="576" spans="1:62" x14ac:dyDescent="0.3">
      <c r="A576">
        <v>-0.1</v>
      </c>
      <c r="B576" s="146">
        <v>1000</v>
      </c>
      <c r="C576" s="146">
        <v>25</v>
      </c>
      <c r="D576" s="146">
        <v>500</v>
      </c>
      <c r="E576" s="252">
        <v>19.51738864868225</v>
      </c>
      <c r="F576" s="146">
        <v>3.5301362807633039</v>
      </c>
      <c r="G576" s="146">
        <v>21.93558092865328</v>
      </c>
      <c r="H576" s="146">
        <v>11.27830581201796</v>
      </c>
      <c r="I576" s="146"/>
      <c r="J576" s="146">
        <v>0.33557889452798612</v>
      </c>
      <c r="K576" s="146">
        <v>0.18</v>
      </c>
      <c r="L576" s="146">
        <v>114.4518609204945</v>
      </c>
      <c r="M576" s="146">
        <v>56.988478466636266</v>
      </c>
      <c r="N576" s="146">
        <v>2.6742321922565928</v>
      </c>
      <c r="O576" s="146"/>
      <c r="P576" s="146"/>
      <c r="Q576" s="146"/>
      <c r="R576" s="146"/>
      <c r="S576" s="146"/>
      <c r="T576" s="146"/>
      <c r="U576" s="146"/>
      <c r="V576" s="146"/>
      <c r="W576" s="146"/>
      <c r="X576" s="146"/>
      <c r="Y576" s="146"/>
      <c r="Z576" s="146">
        <v>0.23711293494160968</v>
      </c>
      <c r="AA576" s="146"/>
      <c r="AB576" s="146"/>
      <c r="AC576" s="146"/>
      <c r="AD576" s="146"/>
      <c r="AE576" s="146"/>
      <c r="AF576" s="146"/>
      <c r="AG576" s="146"/>
      <c r="AH576" s="146"/>
      <c r="AI576" s="146"/>
      <c r="AJ576" s="146"/>
      <c r="AK576" s="146"/>
      <c r="AL576" s="146">
        <v>1715.7569547969106</v>
      </c>
      <c r="AM576" s="146">
        <v>0.16093197131387912</v>
      </c>
      <c r="AN576" s="146">
        <v>0.26812283334566639</v>
      </c>
      <c r="AO576" s="146">
        <v>427.20728628314822</v>
      </c>
      <c r="AP576" s="146">
        <v>378.64085866861438</v>
      </c>
      <c r="AQ576" t="s">
        <v>326</v>
      </c>
      <c r="AR576">
        <f t="shared" si="35"/>
        <v>9.762677251918257</v>
      </c>
      <c r="AS576">
        <f t="shared" si="36"/>
        <v>2.6643645582431001</v>
      </c>
      <c r="AT576">
        <v>0.2</v>
      </c>
      <c r="AU576">
        <v>1</v>
      </c>
      <c r="AV576">
        <v>0.3</v>
      </c>
      <c r="AW576" s="146">
        <v>3</v>
      </c>
      <c r="AX576" s="146">
        <v>0.26790424668393159</v>
      </c>
      <c r="AY576">
        <v>0.18</v>
      </c>
      <c r="AZ576" s="209">
        <v>378.64085866861438</v>
      </c>
      <c r="BA576">
        <v>0.26790424668393159</v>
      </c>
      <c r="BB576" s="249">
        <v>45.382482561141394</v>
      </c>
      <c r="BC576" s="243">
        <v>201.8444643484855</v>
      </c>
      <c r="BD576" s="209">
        <v>100188.76325122394</v>
      </c>
      <c r="BE576" s="243">
        <v>59.405191487267111</v>
      </c>
      <c r="BF576">
        <v>352416.68980748771</v>
      </c>
      <c r="BG576" t="s">
        <v>388</v>
      </c>
      <c r="BH576">
        <v>7.3765942834863379E-6</v>
      </c>
      <c r="BI576">
        <v>2201887.6325122393</v>
      </c>
      <c r="BJ576">
        <f t="shared" si="32"/>
        <v>0.16005207741023486</v>
      </c>
    </row>
    <row r="577" spans="1:62" s="146" customFormat="1" x14ac:dyDescent="0.3">
      <c r="A577">
        <v>-0.1</v>
      </c>
      <c r="B577" s="146">
        <v>1000</v>
      </c>
      <c r="C577" s="146">
        <v>25</v>
      </c>
      <c r="D577" s="146">
        <v>600</v>
      </c>
      <c r="E577" s="252">
        <v>20.202660099109227</v>
      </c>
      <c r="F577" s="146">
        <v>3.0395277541084971</v>
      </c>
      <c r="G577" s="146">
        <v>22.362814340590642</v>
      </c>
      <c r="H577" s="146">
        <v>11.19667936887099</v>
      </c>
      <c r="J577" s="146">
        <v>0.33052935578948606</v>
      </c>
      <c r="K577" s="146">
        <v>0.18</v>
      </c>
      <c r="L577" s="146">
        <v>113.55946961568962</v>
      </c>
      <c r="M577" s="146">
        <v>56.544134248476169</v>
      </c>
      <c r="N577" s="146">
        <v>2.8354285821831304</v>
      </c>
      <c r="Z577" s="146">
        <v>0.25323834761815089</v>
      </c>
      <c r="AL577" s="146">
        <v>1891.5566922432474</v>
      </c>
      <c r="AM577" s="146">
        <v>0.13591883864954618</v>
      </c>
      <c r="AN577" s="146">
        <v>0.26622318375242976</v>
      </c>
      <c r="AO577" s="146">
        <v>524.11382128952232</v>
      </c>
      <c r="AP577" s="146">
        <v>473.84240115168222</v>
      </c>
      <c r="AQ577" t="s">
        <v>326</v>
      </c>
      <c r="AR577">
        <f t="shared" si="35"/>
        <v>9.762677251918257</v>
      </c>
      <c r="AS577">
        <f t="shared" si="36"/>
        <v>2.6643645582431001</v>
      </c>
      <c r="AT577">
        <v>0.2</v>
      </c>
      <c r="AU577">
        <v>1</v>
      </c>
      <c r="AV577">
        <v>0.3</v>
      </c>
      <c r="AW577" s="146">
        <v>3</v>
      </c>
      <c r="AX577" s="146">
        <v>0.26909928128279842</v>
      </c>
      <c r="AY577">
        <v>0.18</v>
      </c>
      <c r="AZ577" s="209">
        <v>473.84240115168222</v>
      </c>
      <c r="BA577" s="146">
        <v>0.26909928128279842</v>
      </c>
      <c r="BB577" s="252">
        <v>42.588698283652505</v>
      </c>
      <c r="BC577" s="244">
        <v>199.36144071008954</v>
      </c>
      <c r="BD577" s="229">
        <v>97422.478624920317</v>
      </c>
      <c r="BE577" s="244">
        <v>56.794705060777368</v>
      </c>
      <c r="BF577" s="146">
        <v>360529.36085818091</v>
      </c>
      <c r="BG577" t="s">
        <v>388</v>
      </c>
      <c r="BH577" s="146">
        <v>7.7038880701329505E-6</v>
      </c>
      <c r="BI577" s="146">
        <v>2174224.7862492031</v>
      </c>
      <c r="BJ577">
        <f t="shared" si="32"/>
        <v>0.16581972716820004</v>
      </c>
    </row>
    <row r="578" spans="1:62" s="140" customFormat="1" x14ac:dyDescent="0.3">
      <c r="A578">
        <v>-0.1</v>
      </c>
      <c r="B578" s="146">
        <v>1000</v>
      </c>
      <c r="C578" s="146">
        <v>25</v>
      </c>
      <c r="D578" s="146">
        <v>700</v>
      </c>
      <c r="E578" s="252">
        <v>20.716078869423779</v>
      </c>
      <c r="F578" s="146">
        <v>2.6682259854290828</v>
      </c>
      <c r="G578" s="146">
        <v>22.680887342162464</v>
      </c>
      <c r="H578" s="146">
        <v>11.135925978639074</v>
      </c>
      <c r="I578" s="146"/>
      <c r="J578" s="146">
        <v>0.32694736370902078</v>
      </c>
      <c r="K578" s="146">
        <v>0.18</v>
      </c>
      <c r="L578" s="146">
        <v>112.90122431957211</v>
      </c>
      <c r="M578" s="146">
        <v>56.216377254558729</v>
      </c>
      <c r="N578" s="146">
        <v>2.9636968401763824</v>
      </c>
      <c r="O578" s="146"/>
      <c r="P578" s="146"/>
      <c r="Q578" s="146"/>
      <c r="R578" s="146"/>
      <c r="S578" s="146"/>
      <c r="T578" s="146"/>
      <c r="U578" s="146"/>
      <c r="V578" s="146"/>
      <c r="W578" s="146"/>
      <c r="X578" s="146"/>
      <c r="Y578" s="146"/>
      <c r="Z578" s="146">
        <v>0.26613833873010145</v>
      </c>
      <c r="AA578" s="146"/>
      <c r="AB578" s="146"/>
      <c r="AC578" s="146"/>
      <c r="AD578" s="146"/>
      <c r="AE578" s="146"/>
      <c r="AF578" s="146"/>
      <c r="AG578" s="146"/>
      <c r="AH578" s="146"/>
      <c r="AI578" s="146"/>
      <c r="AJ578" s="146"/>
      <c r="AK578" s="146"/>
      <c r="AL578" s="146">
        <v>2052.0555511104844</v>
      </c>
      <c r="AM578" s="146">
        <v>0.11764204570907613</v>
      </c>
      <c r="AN578" s="146">
        <v>0.26476431152198421</v>
      </c>
      <c r="AO578" s="146">
        <v>621.75652847493507</v>
      </c>
      <c r="AP578" s="146">
        <v>570.20713102229251</v>
      </c>
      <c r="AQ578" t="s">
        <v>326</v>
      </c>
      <c r="AR578">
        <f t="shared" si="35"/>
        <v>9.762677251918257</v>
      </c>
      <c r="AS578">
        <f t="shared" si="36"/>
        <v>2.6643645582431001</v>
      </c>
      <c r="AT578">
        <v>0.2</v>
      </c>
      <c r="AU578">
        <v>1</v>
      </c>
      <c r="AV578">
        <v>0.3</v>
      </c>
      <c r="AW578" s="146">
        <v>3</v>
      </c>
      <c r="AX578" s="146">
        <v>0.27034201371883509</v>
      </c>
      <c r="AY578">
        <v>0.18</v>
      </c>
      <c r="AZ578" s="209">
        <v>570.20713102229251</v>
      </c>
      <c r="BA578" s="140">
        <v>0.27034201371883509</v>
      </c>
      <c r="BB578" s="253">
        <v>40.456066089362935</v>
      </c>
      <c r="BC578" s="245">
        <v>197.54818015654766</v>
      </c>
      <c r="BD578" s="210">
        <v>95304.181986996176</v>
      </c>
      <c r="BE578" s="245">
        <v>54.730011853110653</v>
      </c>
      <c r="BF578" s="140">
        <v>366093.20066653157</v>
      </c>
      <c r="BG578" t="s">
        <v>388</v>
      </c>
      <c r="BH578" s="140">
        <v>7.955670580691596E-6</v>
      </c>
      <c r="BI578" s="140">
        <v>2153041.8198699616</v>
      </c>
      <c r="BJ578">
        <f t="shared" si="32"/>
        <v>0.17003534129617728</v>
      </c>
    </row>
    <row r="579" spans="1:62" x14ac:dyDescent="0.3">
      <c r="A579">
        <v>-0.1</v>
      </c>
      <c r="B579" s="146">
        <v>1000</v>
      </c>
      <c r="C579" s="146">
        <v>25</v>
      </c>
      <c r="D579" s="146">
        <v>800</v>
      </c>
      <c r="E579" s="252">
        <v>21.117786091196553</v>
      </c>
      <c r="F579" s="146">
        <v>2.3788626451694124</v>
      </c>
      <c r="G579" s="146">
        <v>22.93045044350951</v>
      </c>
      <c r="H579" s="146">
        <v>11.089894959883834</v>
      </c>
      <c r="I579" s="146"/>
      <c r="J579" s="146">
        <v>0.32404971181752334</v>
      </c>
      <c r="K579" s="146">
        <v>0.18</v>
      </c>
      <c r="L579" s="146">
        <v>112.40486204378725</v>
      </c>
      <c r="M579" s="146">
        <v>55.969225913918969</v>
      </c>
      <c r="N579" s="146">
        <v>3.0702422570196166</v>
      </c>
      <c r="O579" s="146"/>
      <c r="P579" s="146"/>
      <c r="Q579" s="146"/>
      <c r="R579" s="146"/>
      <c r="S579" s="146"/>
      <c r="T579" s="146"/>
      <c r="U579" s="146"/>
      <c r="V579" s="146"/>
      <c r="W579" s="146"/>
      <c r="X579" s="146"/>
      <c r="Y579" s="146"/>
      <c r="Z579" s="146">
        <v>0.27685043619671734</v>
      </c>
      <c r="AA579" s="146"/>
      <c r="AB579" s="146"/>
      <c r="AC579" s="146"/>
      <c r="AD579" s="146"/>
      <c r="AE579" s="146"/>
      <c r="AF579" s="146"/>
      <c r="AG579" s="146"/>
      <c r="AH579" s="146"/>
      <c r="AI579" s="146"/>
      <c r="AJ579" s="146"/>
      <c r="AK579" s="146"/>
      <c r="AL579" s="146">
        <v>2202.4434630527112</v>
      </c>
      <c r="AM579" s="146">
        <v>0.10374251700941846</v>
      </c>
      <c r="AN579" s="146">
        <v>0.26354718264633925</v>
      </c>
      <c r="AO579" s="146">
        <v>719.87094728485465</v>
      </c>
      <c r="AP579" s="146">
        <v>667.32233454290076</v>
      </c>
      <c r="AQ579" t="s">
        <v>326</v>
      </c>
      <c r="AR579">
        <f t="shared" si="35"/>
        <v>9.762677251918257</v>
      </c>
      <c r="AS579">
        <f t="shared" si="36"/>
        <v>2.6643645582431001</v>
      </c>
      <c r="AT579">
        <v>0.2</v>
      </c>
      <c r="AU579">
        <v>1</v>
      </c>
      <c r="AV579">
        <v>0.3</v>
      </c>
      <c r="AW579" s="146">
        <v>3</v>
      </c>
      <c r="AX579" s="146">
        <v>0.27138012399096356</v>
      </c>
      <c r="AY579">
        <v>0.18</v>
      </c>
      <c r="AZ579" s="209">
        <v>667.32233454290076</v>
      </c>
      <c r="BA579">
        <v>0.27138012399096356</v>
      </c>
      <c r="BB579" s="249">
        <v>38.789624237123739</v>
      </c>
      <c r="BC579" s="243">
        <v>196.19092888417305</v>
      </c>
      <c r="BD579" s="209">
        <v>93668.596708817218</v>
      </c>
      <c r="BE579" s="243">
        <v>53.102283007126992</v>
      </c>
      <c r="BF579">
        <v>370253.22046957712</v>
      </c>
      <c r="BG579" t="s">
        <v>388</v>
      </c>
      <c r="BH579">
        <v>8.1548102638189461E-6</v>
      </c>
      <c r="BI579">
        <v>2136685.9670881722</v>
      </c>
      <c r="BJ579">
        <f t="shared" si="32"/>
        <v>0.17328387333125508</v>
      </c>
    </row>
    <row r="580" spans="1:62" x14ac:dyDescent="0.3">
      <c r="A580">
        <v>-0.1</v>
      </c>
      <c r="B580" s="146">
        <v>1000</v>
      </c>
      <c r="C580" s="146">
        <v>25</v>
      </c>
      <c r="D580" s="146">
        <v>900</v>
      </c>
      <c r="E580" s="252">
        <v>21.438087600820175</v>
      </c>
      <c r="F580" s="146">
        <v>2.1467808539339148</v>
      </c>
      <c r="G580" s="146">
        <v>23.128712384605617</v>
      </c>
      <c r="H580" s="146">
        <v>11.053263922579015</v>
      </c>
      <c r="I580" s="146"/>
      <c r="J580" s="146">
        <v>0.32153744684776836</v>
      </c>
      <c r="K580" s="146">
        <v>0.18</v>
      </c>
      <c r="L580" s="146">
        <v>112.01162144506606</v>
      </c>
      <c r="M580" s="146">
        <v>55.773421466422938</v>
      </c>
      <c r="N580" s="146">
        <v>3.1614985955763615</v>
      </c>
      <c r="O580" s="146"/>
      <c r="P580" s="146"/>
      <c r="Q580" s="146"/>
      <c r="R580" s="146"/>
      <c r="S580" s="146"/>
      <c r="T580" s="146"/>
      <c r="U580" s="146"/>
      <c r="V580" s="146"/>
      <c r="W580" s="146"/>
      <c r="X580" s="146"/>
      <c r="Y580" s="146"/>
      <c r="Z580" s="146">
        <v>0.28602398510707971</v>
      </c>
      <c r="AA580" s="146"/>
      <c r="AB580" s="146"/>
      <c r="AC580" s="146"/>
      <c r="AD580" s="146"/>
      <c r="AE580" s="146"/>
      <c r="AF580" s="146"/>
      <c r="AG580" s="146"/>
      <c r="AH580" s="146"/>
      <c r="AI580" s="146"/>
      <c r="AJ580" s="146"/>
      <c r="AK580" s="146"/>
      <c r="AL580" s="146">
        <v>2345.7546977080106</v>
      </c>
      <c r="AM580" s="146">
        <v>9.2818865928861821E-2</v>
      </c>
      <c r="AN580" s="146">
        <v>0.26256405863957183</v>
      </c>
      <c r="AO580" s="146">
        <v>818.35101989244936</v>
      </c>
      <c r="AP580" s="146">
        <v>765.00539991982942</v>
      </c>
      <c r="AQ580" t="s">
        <v>326</v>
      </c>
      <c r="AR580">
        <f t="shared" si="35"/>
        <v>9.762677251918257</v>
      </c>
      <c r="AS580">
        <f t="shared" si="36"/>
        <v>2.6643645582431001</v>
      </c>
      <c r="AT580">
        <v>0.2</v>
      </c>
      <c r="AU580">
        <v>1</v>
      </c>
      <c r="AV580">
        <v>0.3</v>
      </c>
      <c r="AW580" s="146">
        <v>3</v>
      </c>
      <c r="AX580" s="146">
        <v>0.27219051071218575</v>
      </c>
      <c r="AY580">
        <v>0.18</v>
      </c>
      <c r="AZ580" s="209">
        <v>765.00539991982942</v>
      </c>
      <c r="BA580">
        <v>0.27219051071218575</v>
      </c>
      <c r="BB580" s="249">
        <v>37.447981180760806</v>
      </c>
      <c r="BC580" s="243">
        <v>195.12171804862996</v>
      </c>
      <c r="BD580" s="209">
        <v>92351.414079463648</v>
      </c>
      <c r="BE580" s="243">
        <v>51.772024678763785</v>
      </c>
      <c r="BF580">
        <v>373372.1935812179</v>
      </c>
      <c r="BG580" t="s">
        <v>388</v>
      </c>
      <c r="BH580">
        <v>8.3161454692854175E-6</v>
      </c>
      <c r="BI580">
        <v>2123514.1407946367</v>
      </c>
      <c r="BJ580">
        <f t="shared" ref="BJ580:BJ643" si="37">BF580/BI580</f>
        <v>0.17582750517568907</v>
      </c>
    </row>
    <row r="581" spans="1:62" x14ac:dyDescent="0.3">
      <c r="A581">
        <v>-0.1</v>
      </c>
      <c r="B581" s="146">
        <v>1000</v>
      </c>
      <c r="C581" s="146">
        <v>25</v>
      </c>
      <c r="D581" s="146">
        <v>1000</v>
      </c>
      <c r="E581" s="252">
        <v>21.699311006599284</v>
      </c>
      <c r="F581" s="146">
        <v>1.9566047377153177</v>
      </c>
      <c r="G581" s="146">
        <v>23.289926198071974</v>
      </c>
      <c r="H581" s="146">
        <v>11.023440930057596</v>
      </c>
      <c r="I581" s="146"/>
      <c r="J581" s="146">
        <v>0.31925946277748962</v>
      </c>
      <c r="K581" s="146">
        <v>0.18</v>
      </c>
      <c r="L581" s="146">
        <v>111.69253370288162</v>
      </c>
      <c r="M581" s="146">
        <v>55.614539603094592</v>
      </c>
      <c r="N581" s="146">
        <v>3.2413932497405291</v>
      </c>
      <c r="O581" s="146"/>
      <c r="P581" s="146"/>
      <c r="Q581" s="146"/>
      <c r="R581" s="146"/>
      <c r="S581" s="146"/>
      <c r="T581" s="146"/>
      <c r="U581" s="146"/>
      <c r="V581" s="146"/>
      <c r="W581" s="146"/>
      <c r="X581" s="146"/>
      <c r="Y581" s="146"/>
      <c r="Z581" s="146">
        <v>0.29404550451231865</v>
      </c>
      <c r="AA581" s="146"/>
      <c r="AB581" s="146"/>
      <c r="AC581" s="146"/>
      <c r="AD581" s="146"/>
      <c r="AE581" s="146"/>
      <c r="AF581" s="146"/>
      <c r="AG581" s="146"/>
      <c r="AH581" s="146"/>
      <c r="AI581" s="146"/>
      <c r="AJ581" s="146"/>
      <c r="AK581" s="146"/>
      <c r="AL581" s="146">
        <v>2483.8011918314569</v>
      </c>
      <c r="AM581" s="146">
        <v>8.4010774490015025E-2</v>
      </c>
      <c r="AN581" s="146">
        <v>0.26175609162203078</v>
      </c>
      <c r="AO581" s="146">
        <v>917.10102763173688</v>
      </c>
      <c r="AP581" s="146">
        <v>863.10456696119149</v>
      </c>
      <c r="AQ581" t="s">
        <v>326</v>
      </c>
      <c r="AR581">
        <f t="shared" si="35"/>
        <v>9.762677251918257</v>
      </c>
      <c r="AS581">
        <f t="shared" si="36"/>
        <v>2.6643645582431001</v>
      </c>
      <c r="AT581">
        <v>0.2</v>
      </c>
      <c r="AU581">
        <v>1</v>
      </c>
      <c r="AV581">
        <v>0.3</v>
      </c>
      <c r="AW581" s="146">
        <v>3</v>
      </c>
      <c r="AX581" s="146">
        <v>0.27278340752661789</v>
      </c>
      <c r="AY581">
        <v>0.18</v>
      </c>
      <c r="AZ581" s="209">
        <v>863.10456696119149</v>
      </c>
      <c r="BA581">
        <v>0.27278340752661789</v>
      </c>
      <c r="BB581" s="249">
        <v>36.345561030596961</v>
      </c>
      <c r="BC581" s="243">
        <v>194.25802592331388</v>
      </c>
      <c r="BD581" s="209">
        <v>91269.466305374284</v>
      </c>
      <c r="BE581" s="243">
        <v>50.66710312269872</v>
      </c>
      <c r="BF581">
        <v>375783.51991316304</v>
      </c>
      <c r="BG581" t="s">
        <v>388</v>
      </c>
      <c r="BH581">
        <v>8.4494410565058945E-6</v>
      </c>
      <c r="BI581">
        <v>2112694.6630537426</v>
      </c>
      <c r="BJ581">
        <f t="shared" si="37"/>
        <v>0.17786929956551126</v>
      </c>
    </row>
    <row r="582" spans="1:62" s="140" customFormat="1" x14ac:dyDescent="0.3">
      <c r="A582" s="140">
        <v>-0.1</v>
      </c>
      <c r="B582" s="140">
        <v>1000</v>
      </c>
      <c r="C582" s="140">
        <v>25</v>
      </c>
      <c r="D582" s="140">
        <v>1100</v>
      </c>
      <c r="E582" s="253">
        <v>21.91822855574836</v>
      </c>
      <c r="F582" s="140">
        <v>1.7981587104578538</v>
      </c>
      <c r="G582" s="140">
        <v>23.425573540929946</v>
      </c>
      <c r="H582" s="140">
        <v>10.999081116542218</v>
      </c>
      <c r="J582" s="140">
        <v>0.31713467943237117</v>
      </c>
      <c r="K582" s="140">
        <v>0.18</v>
      </c>
      <c r="L582" s="140">
        <v>111.43233615139009</v>
      </c>
      <c r="M582" s="140">
        <v>55.484980656293828</v>
      </c>
      <c r="N582" s="140">
        <v>3.3123971626755342</v>
      </c>
      <c r="Z582" s="140">
        <v>0.30115217149310858</v>
      </c>
      <c r="AL582" s="140">
        <v>2617.6950511367609</v>
      </c>
      <c r="AM582" s="140">
        <v>7.676049883329647E-2</v>
      </c>
      <c r="AN582" s="140">
        <v>0.26104578251498162</v>
      </c>
      <c r="AO582" s="140">
        <v>1016.0368409534046</v>
      </c>
      <c r="AP582" s="140">
        <v>961.49646979899546</v>
      </c>
      <c r="AQ582" t="s">
        <v>326</v>
      </c>
      <c r="AR582">
        <f t="shared" si="35"/>
        <v>9.762677251918257</v>
      </c>
      <c r="AS582">
        <f t="shared" si="36"/>
        <v>2.6643645582431001</v>
      </c>
      <c r="AT582" s="140">
        <v>0.2</v>
      </c>
      <c r="AU582" s="140">
        <v>1</v>
      </c>
      <c r="AV582">
        <v>0.3</v>
      </c>
      <c r="AW582" s="140">
        <v>3</v>
      </c>
      <c r="AX582" s="140">
        <v>0.27318000085047156</v>
      </c>
      <c r="AY582">
        <v>0.18</v>
      </c>
      <c r="AZ582" s="209">
        <v>961.49646979899546</v>
      </c>
      <c r="BA582" s="140">
        <v>0.27318000085047156</v>
      </c>
      <c r="BB582" s="253">
        <v>35.427337767008964</v>
      </c>
      <c r="BC582" s="245">
        <v>193.55629882048149</v>
      </c>
      <c r="BD582" s="210">
        <v>90379.065838441296</v>
      </c>
      <c r="BE582" s="245">
        <v>49.749953160582024</v>
      </c>
      <c r="BF582" s="140">
        <v>377774.00536083896</v>
      </c>
      <c r="BG582" t="s">
        <v>388</v>
      </c>
      <c r="BH582" s="140">
        <v>8.561381211440898E-6</v>
      </c>
      <c r="BI582" s="140">
        <v>2103790.658384413</v>
      </c>
      <c r="BJ582">
        <f t="shared" si="37"/>
        <v>0.17956824927198178</v>
      </c>
    </row>
    <row r="583" spans="1:62" x14ac:dyDescent="0.3">
      <c r="A583">
        <v>-0.1</v>
      </c>
      <c r="B583" s="146">
        <v>1000</v>
      </c>
      <c r="C583" s="146">
        <v>25</v>
      </c>
      <c r="D583" s="146">
        <v>400</v>
      </c>
      <c r="E583" s="252">
        <v>18.559438217319414</v>
      </c>
      <c r="F583" s="146">
        <v>4.2011428476035544</v>
      </c>
      <c r="G583" s="146">
        <v>21.330193001252482</v>
      </c>
      <c r="H583" s="146">
        <v>11.392034613946791</v>
      </c>
      <c r="I583" s="146"/>
      <c r="J583" s="146">
        <v>0.34413609630996395</v>
      </c>
      <c r="K583" s="146">
        <v>0.18</v>
      </c>
      <c r="L583" s="146">
        <v>115.71508981513566</v>
      </c>
      <c r="M583" s="146">
        <v>57.6174721071215</v>
      </c>
      <c r="N583" s="146">
        <v>2.4584566255475728</v>
      </c>
      <c r="O583" s="146"/>
      <c r="P583" s="146"/>
      <c r="Q583" s="146"/>
      <c r="R583" s="146"/>
      <c r="S583" s="146"/>
      <c r="T583" s="146"/>
      <c r="U583" s="146"/>
      <c r="V583" s="146"/>
      <c r="W583" s="146"/>
      <c r="X583" s="146"/>
      <c r="Y583" s="146"/>
      <c r="Z583" s="146">
        <v>0.21580487672832274</v>
      </c>
      <c r="AA583" s="146"/>
      <c r="AB583" s="146"/>
      <c r="AC583" s="146"/>
      <c r="AD583" s="146"/>
      <c r="AE583" s="146"/>
      <c r="AF583" s="146"/>
      <c r="AG583" s="146"/>
      <c r="AH583" s="146"/>
      <c r="AI583" s="146"/>
      <c r="AJ583" s="146"/>
      <c r="AK583" s="146"/>
      <c r="AL583" s="146">
        <v>1514.4966592579628</v>
      </c>
      <c r="AM583" s="146">
        <v>0.19695756373872794</v>
      </c>
      <c r="AN583" s="146">
        <v>0.27074759071506471</v>
      </c>
      <c r="AO583" s="146">
        <v>331.45114175050446</v>
      </c>
      <c r="AP583" s="146">
        <v>285.26834648417605</v>
      </c>
      <c r="AQ583" t="s">
        <v>326</v>
      </c>
      <c r="AR583">
        <f t="shared" si="35"/>
        <v>9.762677251918257</v>
      </c>
      <c r="AS583">
        <f t="shared" si="36"/>
        <v>2.6643645582431001</v>
      </c>
      <c r="AT583">
        <v>0.2</v>
      </c>
      <c r="AU583">
        <v>1</v>
      </c>
      <c r="AV583">
        <v>0.3</v>
      </c>
      <c r="AW583" s="146">
        <v>3</v>
      </c>
      <c r="AX583" s="146">
        <v>0.26760652885776293</v>
      </c>
      <c r="AY583">
        <v>0.18</v>
      </c>
      <c r="AZ583" s="209">
        <v>285.26834648417605</v>
      </c>
      <c r="BA583">
        <v>0.26760652885776293</v>
      </c>
      <c r="BB583" s="249">
        <v>49.139390458056731</v>
      </c>
      <c r="BC583" s="243">
        <v>205.40929053947477</v>
      </c>
      <c r="BD583" s="209">
        <v>103849.52909636374</v>
      </c>
      <c r="BE583" s="243">
        <v>62.664053513041736</v>
      </c>
      <c r="BF583">
        <v>339683.59179311106</v>
      </c>
      <c r="BG583" t="s">
        <v>389</v>
      </c>
      <c r="BH583">
        <v>6.9371770713367089E-6</v>
      </c>
      <c r="BI583">
        <v>2238495.2909636376</v>
      </c>
      <c r="BJ583">
        <f t="shared" si="37"/>
        <v>0.15174639552039554</v>
      </c>
    </row>
    <row r="584" spans="1:62" x14ac:dyDescent="0.3">
      <c r="A584">
        <v>-0.1</v>
      </c>
      <c r="B584" s="146">
        <v>1000</v>
      </c>
      <c r="C584" s="146">
        <v>25</v>
      </c>
      <c r="D584" s="146">
        <v>400</v>
      </c>
      <c r="E584" s="252">
        <v>17.92031341893118</v>
      </c>
      <c r="F584" s="146">
        <v>4.0190154832915876</v>
      </c>
      <c r="G584" s="146">
        <v>20.564860928709734</v>
      </c>
      <c r="H584" s="146">
        <v>10.997151089008485</v>
      </c>
      <c r="I584" s="146"/>
      <c r="J584" s="146">
        <v>0.34738959222084925</v>
      </c>
      <c r="K584" s="146">
        <v>0.18</v>
      </c>
      <c r="L584" s="146">
        <v>111.74236382238713</v>
      </c>
      <c r="M584" s="146">
        <v>55.639351280856665</v>
      </c>
      <c r="N584" s="146">
        <v>2.3752724055629226</v>
      </c>
      <c r="O584" s="146"/>
      <c r="P584" s="146"/>
      <c r="Q584" s="146"/>
      <c r="R584" s="146"/>
      <c r="S584" s="146"/>
      <c r="T584" s="146"/>
      <c r="U584" s="146"/>
      <c r="V584" s="146"/>
      <c r="W584" s="146"/>
      <c r="X584" s="146"/>
      <c r="Y584" s="146"/>
      <c r="Z584" s="146">
        <v>0.21598979466027141</v>
      </c>
      <c r="AA584" s="146"/>
      <c r="AB584" s="146"/>
      <c r="AC584" s="146"/>
      <c r="AD584" s="146"/>
      <c r="AE584" s="146"/>
      <c r="AF584" s="146"/>
      <c r="AG584" s="146"/>
      <c r="AH584" s="146"/>
      <c r="AI584" s="146"/>
      <c r="AJ584" s="146"/>
      <c r="AK584" s="146"/>
      <c r="AL584" s="146">
        <v>1477.2001578589011</v>
      </c>
      <c r="AM584" s="146">
        <v>0.19543120166112135</v>
      </c>
      <c r="AN584" s="146">
        <v>0.2721636463264312</v>
      </c>
      <c r="AO584" s="146">
        <v>334.15610916147972</v>
      </c>
      <c r="AP584" s="146">
        <v>289.5639550774398</v>
      </c>
      <c r="AQ584" t="s">
        <v>326</v>
      </c>
      <c r="AR584">
        <f t="shared" si="35"/>
        <v>9.762677251918257</v>
      </c>
      <c r="AS584">
        <f t="shared" si="36"/>
        <v>2.6643645582431001</v>
      </c>
      <c r="AT584">
        <v>0.2</v>
      </c>
      <c r="AU584">
        <v>1</v>
      </c>
      <c r="AV584">
        <v>0.3</v>
      </c>
      <c r="AW584" s="146">
        <v>2.5</v>
      </c>
      <c r="AX584" s="146">
        <v>0.26963003340329295</v>
      </c>
      <c r="AY584">
        <v>0.18</v>
      </c>
      <c r="AZ584" s="209">
        <v>289.5639550774398</v>
      </c>
      <c r="BA584">
        <v>0.26963003340329295</v>
      </c>
      <c r="BB584" s="249">
        <v>47.176681077697168</v>
      </c>
      <c r="BC584" s="243">
        <v>194.39267498541881</v>
      </c>
      <c r="BD584" s="209">
        <v>97286.187916865732</v>
      </c>
      <c r="BE584" s="243">
        <v>59.623232267684671</v>
      </c>
      <c r="BF584">
        <v>386697.35338127322</v>
      </c>
      <c r="BG584" t="s">
        <v>389</v>
      </c>
      <c r="BH584">
        <v>6.7308240373663077E-6</v>
      </c>
      <c r="BI584">
        <v>2172861.8791686576</v>
      </c>
      <c r="BJ584">
        <f t="shared" si="37"/>
        <v>0.17796683585301087</v>
      </c>
    </row>
    <row r="585" spans="1:62" x14ac:dyDescent="0.3">
      <c r="A585">
        <v>-0.1</v>
      </c>
      <c r="B585" s="146">
        <v>1000</v>
      </c>
      <c r="C585" s="146">
        <v>25</v>
      </c>
      <c r="D585" s="146">
        <v>400</v>
      </c>
      <c r="E585" s="252">
        <v>15.615578958702825</v>
      </c>
      <c r="F585" s="146">
        <v>3.4014115960792992</v>
      </c>
      <c r="G585" s="146">
        <v>17.837531057580353</v>
      </c>
      <c r="H585" s="146">
        <v>9.5841311648249636</v>
      </c>
      <c r="I585" s="146"/>
      <c r="J585" s="146">
        <v>0.35930354975392925</v>
      </c>
      <c r="K585" s="146">
        <v>0.18</v>
      </c>
      <c r="L585" s="146">
        <v>97.497357820748348</v>
      </c>
      <c r="M585" s="146">
        <v>48.546402234397526</v>
      </c>
      <c r="N585" s="146">
        <v>2.0825449116206531</v>
      </c>
      <c r="O585" s="146"/>
      <c r="P585" s="146"/>
      <c r="Q585" s="146"/>
      <c r="R585" s="146"/>
      <c r="S585" s="146"/>
      <c r="T585" s="146"/>
      <c r="U585" s="146"/>
      <c r="V585" s="146"/>
      <c r="W585" s="146"/>
      <c r="X585" s="146"/>
      <c r="Y585" s="146"/>
      <c r="Z585" s="146">
        <v>0.21729094435433752</v>
      </c>
      <c r="AA585" s="146"/>
      <c r="AB585" s="146"/>
      <c r="AC585" s="146"/>
      <c r="AD585" s="146"/>
      <c r="AE585" s="146"/>
      <c r="AF585" s="146"/>
      <c r="AG585" s="146"/>
      <c r="AH585" s="146"/>
      <c r="AI585" s="146"/>
      <c r="AJ585" s="146"/>
      <c r="AK585" s="146"/>
      <c r="AL585" s="146">
        <v>1346.0043193327256</v>
      </c>
      <c r="AM585" s="146">
        <v>0.19068847505293135</v>
      </c>
      <c r="AN585" s="146">
        <v>0.27681806522063884</v>
      </c>
      <c r="AO585" s="146">
        <v>343.58901776783836</v>
      </c>
      <c r="AP585" s="146">
        <v>304.73186352239827</v>
      </c>
      <c r="AQ585" t="s">
        <v>326</v>
      </c>
      <c r="AR585">
        <f t="shared" si="35"/>
        <v>9.762677251918257</v>
      </c>
      <c r="AS585">
        <f t="shared" si="36"/>
        <v>2.6643645582431001</v>
      </c>
      <c r="AT585">
        <v>0.2</v>
      </c>
      <c r="AU585">
        <v>1</v>
      </c>
      <c r="AV585">
        <v>0.3</v>
      </c>
      <c r="AW585" s="146">
        <v>1.5</v>
      </c>
      <c r="AX585" s="146">
        <v>0.27689236550944385</v>
      </c>
      <c r="AY585">
        <v>0.18</v>
      </c>
      <c r="AZ585" s="209">
        <v>304.73186352239827</v>
      </c>
      <c r="BA585">
        <v>0.27689236550944385</v>
      </c>
      <c r="BB585" s="249">
        <v>40.396377373804675</v>
      </c>
      <c r="BC585" s="243">
        <v>158.96077688600016</v>
      </c>
      <c r="BD585" s="209">
        <v>76468.486193779783</v>
      </c>
      <c r="BE585" s="243">
        <v>49.537743449151307</v>
      </c>
      <c r="BF585">
        <v>507218.7315599469</v>
      </c>
      <c r="BG585" t="s">
        <v>389</v>
      </c>
      <c r="BH585">
        <v>6.021471146540036E-6</v>
      </c>
      <c r="BI585">
        <v>1964684.8619377979</v>
      </c>
      <c r="BJ585">
        <f t="shared" si="37"/>
        <v>0.25816798479307745</v>
      </c>
    </row>
    <row r="586" spans="1:62" x14ac:dyDescent="0.3">
      <c r="A586">
        <v>-0.1</v>
      </c>
      <c r="B586" s="146">
        <v>1000</v>
      </c>
      <c r="C586" s="146">
        <v>25</v>
      </c>
      <c r="D586" s="146">
        <v>400</v>
      </c>
      <c r="E586" s="252">
        <v>13.52329017091183</v>
      </c>
      <c r="F586" s="146">
        <v>2.8886740375253583</v>
      </c>
      <c r="G586" s="146">
        <v>15.398957728836688</v>
      </c>
      <c r="H586" s="146">
        <v>8.305512842161729</v>
      </c>
      <c r="I586" s="146"/>
      <c r="J586" s="146">
        <v>0.37122905064838829</v>
      </c>
      <c r="K586" s="146">
        <v>0.18</v>
      </c>
      <c r="L586" s="146">
        <v>84.571583637308521</v>
      </c>
      <c r="M586" s="146">
        <v>42.110332101564417</v>
      </c>
      <c r="N586" s="146">
        <v>1.8132597257897878</v>
      </c>
      <c r="O586" s="146"/>
      <c r="P586" s="146"/>
      <c r="Q586" s="146"/>
      <c r="R586" s="146"/>
      <c r="S586" s="146"/>
      <c r="T586" s="146"/>
      <c r="U586" s="146"/>
      <c r="V586" s="146"/>
      <c r="W586" s="146"/>
      <c r="X586" s="146"/>
      <c r="Y586" s="146"/>
      <c r="Z586" s="146">
        <v>0.21832001951583752</v>
      </c>
      <c r="AA586" s="146"/>
      <c r="AB586" s="146"/>
      <c r="AC586" s="146"/>
      <c r="AD586" s="146"/>
      <c r="AE586" s="146"/>
      <c r="AF586" s="146"/>
      <c r="AG586" s="146"/>
      <c r="AH586" s="146"/>
      <c r="AI586" s="146"/>
      <c r="AJ586" s="146"/>
      <c r="AK586" s="146"/>
      <c r="AL586" s="146">
        <v>1224.6984623424773</v>
      </c>
      <c r="AM586" s="146">
        <v>0.18758893221168566</v>
      </c>
      <c r="AN586" s="146">
        <v>0.28009794352430051</v>
      </c>
      <c r="AO586" s="146">
        <v>351.71942356749724</v>
      </c>
      <c r="AP586" s="146">
        <v>318.06859944758389</v>
      </c>
      <c r="AQ586" t="s">
        <v>326</v>
      </c>
      <c r="AR586">
        <f t="shared" si="35"/>
        <v>9.762677251918257</v>
      </c>
      <c r="AS586">
        <f t="shared" si="36"/>
        <v>2.6643645582431001</v>
      </c>
      <c r="AT586">
        <v>0.2</v>
      </c>
      <c r="AU586">
        <v>1</v>
      </c>
      <c r="AV586">
        <v>0.3</v>
      </c>
      <c r="AW586" s="146">
        <v>1</v>
      </c>
      <c r="AX586" s="146">
        <v>0.28385750277222682</v>
      </c>
      <c r="AY586">
        <v>0.18</v>
      </c>
      <c r="AZ586" s="209">
        <v>318.06859944758389</v>
      </c>
      <c r="BA586">
        <v>0.28385750277222682</v>
      </c>
      <c r="BB586" s="249">
        <v>34.595843942656728</v>
      </c>
      <c r="BC586" s="243">
        <v>131.10929553863198</v>
      </c>
      <c r="BD586" s="209">
        <v>60665.61824504126</v>
      </c>
      <c r="BE586" s="243">
        <v>41.422920126239767</v>
      </c>
      <c r="BF586">
        <v>579086.56548410642</v>
      </c>
      <c r="BG586" t="s">
        <v>389</v>
      </c>
      <c r="BH586">
        <v>5.3551042899155312E-6</v>
      </c>
      <c r="BI586">
        <v>1806656.1824504125</v>
      </c>
      <c r="BJ586">
        <f t="shared" si="37"/>
        <v>0.32052947932720488</v>
      </c>
    </row>
    <row r="587" spans="1:62" x14ac:dyDescent="0.3">
      <c r="A587">
        <v>-0.1</v>
      </c>
      <c r="B587" s="146">
        <v>1000</v>
      </c>
      <c r="C587" s="146">
        <v>25</v>
      </c>
      <c r="D587" s="146">
        <v>400</v>
      </c>
      <c r="E587" s="252">
        <v>12.347294913175672</v>
      </c>
      <c r="F587" s="146">
        <v>2.6151956161183052</v>
      </c>
      <c r="G587" s="146">
        <v>14.039605334490254</v>
      </c>
      <c r="H587" s="146">
        <v>7.5671887225923617</v>
      </c>
      <c r="I587" s="146"/>
      <c r="J587" s="146">
        <v>0.37405355136634005</v>
      </c>
      <c r="K587" s="146">
        <v>0.18</v>
      </c>
      <c r="L587" s="146">
        <v>77.094167893645036</v>
      </c>
      <c r="M587" s="146">
        <v>38.387137540404176</v>
      </c>
      <c r="N587" s="146">
        <v>1.688932345168352</v>
      </c>
      <c r="O587" s="146"/>
      <c r="P587" s="146"/>
      <c r="Q587" s="146"/>
      <c r="R587" s="146"/>
      <c r="S587" s="146"/>
      <c r="T587" s="146"/>
      <c r="U587" s="146"/>
      <c r="V587" s="146"/>
      <c r="W587" s="146"/>
      <c r="X587" s="146"/>
      <c r="Y587" s="146"/>
      <c r="Z587" s="146">
        <v>0.22319151894889688</v>
      </c>
      <c r="AA587" s="146"/>
      <c r="AB587" s="146"/>
      <c r="AC587" s="146"/>
      <c r="AD587" s="146"/>
      <c r="AE587" s="146"/>
      <c r="AF587" s="146"/>
      <c r="AG587" s="146"/>
      <c r="AH587" s="146"/>
      <c r="AI587" s="146"/>
      <c r="AJ587" s="146"/>
      <c r="AK587" s="146"/>
      <c r="AL587" s="146">
        <v>1169.7704100012675</v>
      </c>
      <c r="AM587" s="146">
        <v>0.1862727301666886</v>
      </c>
      <c r="AN587" s="146">
        <v>0.28080357643236431</v>
      </c>
      <c r="AO587" s="146">
        <v>356.02871206254133</v>
      </c>
      <c r="AP587" s="146">
        <v>325.304237417092</v>
      </c>
      <c r="AQ587" t="s">
        <v>326</v>
      </c>
      <c r="AR587">
        <f t="shared" si="35"/>
        <v>9.762677251918257</v>
      </c>
      <c r="AS587">
        <f t="shared" si="36"/>
        <v>2.6643645582431001</v>
      </c>
      <c r="AT587">
        <v>0.2</v>
      </c>
      <c r="AU587">
        <v>1</v>
      </c>
      <c r="AV587">
        <v>0.3</v>
      </c>
      <c r="AW587" s="146">
        <v>0.8</v>
      </c>
      <c r="AX587" s="146">
        <v>0.28514975351168498</v>
      </c>
      <c r="AY587">
        <v>0.18</v>
      </c>
      <c r="AZ587" s="209">
        <v>325.304237417092</v>
      </c>
      <c r="BA587">
        <v>0.28514975351168498</v>
      </c>
      <c r="BB587" s="249">
        <v>31.463061600251066</v>
      </c>
      <c r="BC587" s="243">
        <v>116.43170179088294</v>
      </c>
      <c r="BD587" s="209">
        <v>52834.880449634562</v>
      </c>
      <c r="BE587" s="243">
        <v>37.453343511288821</v>
      </c>
      <c r="BF587">
        <v>605626.322910371</v>
      </c>
      <c r="BG587" t="s">
        <v>389</v>
      </c>
      <c r="BH587">
        <v>4.9691507566417692E-6</v>
      </c>
      <c r="BI587">
        <v>1728348.8044963456</v>
      </c>
      <c r="BJ587">
        <f t="shared" si="37"/>
        <v>0.35040746482123164</v>
      </c>
    </row>
    <row r="588" spans="1:62" x14ac:dyDescent="0.3">
      <c r="A588">
        <v>-0.1</v>
      </c>
      <c r="B588" s="146">
        <v>1000</v>
      </c>
      <c r="C588" s="146">
        <v>25</v>
      </c>
      <c r="D588" s="146">
        <v>400</v>
      </c>
      <c r="E588" s="252">
        <v>10.91121274683432</v>
      </c>
      <c r="F588" s="146">
        <v>2.2936536899160154</v>
      </c>
      <c r="G588" s="146">
        <v>12.389210061274074</v>
      </c>
      <c r="H588" s="146">
        <v>6.660006140817571</v>
      </c>
      <c r="I588" s="146"/>
      <c r="J588" s="146">
        <v>0.37585598680229648</v>
      </c>
      <c r="K588" s="146">
        <v>0.18</v>
      </c>
      <c r="L588" s="146">
        <v>67.893773114928464</v>
      </c>
      <c r="M588" s="146">
        <v>33.806028107018321</v>
      </c>
      <c r="N588" s="146">
        <v>1.5413690089861722</v>
      </c>
      <c r="O588" s="146"/>
      <c r="P588" s="146"/>
      <c r="Q588" s="146"/>
      <c r="R588" s="146"/>
      <c r="S588" s="146"/>
      <c r="T588" s="146"/>
      <c r="U588" s="146"/>
      <c r="V588" s="146"/>
      <c r="W588" s="146"/>
      <c r="X588" s="146"/>
      <c r="Y588" s="146"/>
      <c r="Z588" s="146">
        <v>0.23143657474119933</v>
      </c>
      <c r="AA588" s="146"/>
      <c r="AB588" s="146"/>
      <c r="AC588" s="146"/>
      <c r="AD588" s="146"/>
      <c r="AE588" s="146"/>
      <c r="AF588" s="146"/>
      <c r="AG588" s="146"/>
      <c r="AH588" s="146"/>
      <c r="AI588" s="146"/>
      <c r="AJ588" s="146"/>
      <c r="AK588" s="146"/>
      <c r="AL588" s="146">
        <v>1104.680439053061</v>
      </c>
      <c r="AM588" s="146">
        <v>0.18513316656769496</v>
      </c>
      <c r="AN588" s="146">
        <v>0.28083273373978851</v>
      </c>
      <c r="AO588" s="146">
        <v>361.14693397193389</v>
      </c>
      <c r="AP588" s="146">
        <v>333.9959345599745</v>
      </c>
      <c r="AQ588" t="s">
        <v>326</v>
      </c>
      <c r="AR588">
        <f t="shared" si="35"/>
        <v>9.762677251918257</v>
      </c>
      <c r="AS588">
        <f t="shared" si="36"/>
        <v>2.6643645582431001</v>
      </c>
      <c r="AT588">
        <v>0.2</v>
      </c>
      <c r="AU588">
        <v>1</v>
      </c>
      <c r="AV588">
        <v>0.3</v>
      </c>
      <c r="AW588" s="146">
        <v>0.6</v>
      </c>
      <c r="AX588" s="146">
        <v>0.28548618745080384</v>
      </c>
      <c r="AY588">
        <v>0.18</v>
      </c>
      <c r="AZ588" s="209">
        <v>333.9959345599745</v>
      </c>
      <c r="BA588">
        <v>0.28548618745080384</v>
      </c>
      <c r="BB588" s="249">
        <v>27.727757731409088</v>
      </c>
      <c r="BC588" s="243">
        <v>99.545097909248639</v>
      </c>
      <c r="BD588" s="209">
        <v>44129.603290997657</v>
      </c>
      <c r="BE588" s="243">
        <v>32.923089883449983</v>
      </c>
      <c r="BF588">
        <v>632838.23966476438</v>
      </c>
      <c r="BG588" t="s">
        <v>389</v>
      </c>
      <c r="BH588">
        <v>4.4681008958066549E-6</v>
      </c>
      <c r="BI588">
        <v>1641296.0329099766</v>
      </c>
      <c r="BJ588">
        <f t="shared" si="37"/>
        <v>0.3855722715315153</v>
      </c>
    </row>
    <row r="589" spans="1:62" x14ac:dyDescent="0.3">
      <c r="A589">
        <v>-0.1</v>
      </c>
      <c r="B589" s="146">
        <v>1000</v>
      </c>
      <c r="C589" s="146">
        <v>25</v>
      </c>
      <c r="D589" s="146">
        <v>400</v>
      </c>
      <c r="E589" s="252">
        <v>9.0219760151665334</v>
      </c>
      <c r="F589" s="146">
        <v>1.8885874994206941</v>
      </c>
      <c r="G589" s="146">
        <v>10.232049056747069</v>
      </c>
      <c r="H589" s="146">
        <v>5.4827289141205702</v>
      </c>
      <c r="I589" s="146"/>
      <c r="J589" s="146">
        <v>0.38098057962572018</v>
      </c>
      <c r="K589" s="146">
        <v>0.18</v>
      </c>
      <c r="L589" s="146">
        <v>55.934263172962083</v>
      </c>
      <c r="M589" s="146">
        <v>27.851085397325519</v>
      </c>
      <c r="N589" s="146">
        <v>1.3228495701814911</v>
      </c>
      <c r="O589" s="146"/>
      <c r="P589" s="146"/>
      <c r="Q589" s="146"/>
      <c r="R589" s="146"/>
      <c r="S589" s="146"/>
      <c r="T589" s="146"/>
      <c r="U589" s="146"/>
      <c r="V589" s="146"/>
      <c r="W589" s="146"/>
      <c r="X589" s="146"/>
      <c r="Y589" s="146"/>
      <c r="Z589" s="146">
        <v>0.2412757571826212</v>
      </c>
      <c r="AA589" s="146"/>
      <c r="AB589" s="146"/>
      <c r="AC589" s="146"/>
      <c r="AD589" s="146"/>
      <c r="AE589" s="146"/>
      <c r="AF589" s="146"/>
      <c r="AG589" s="146"/>
      <c r="AH589" s="146"/>
      <c r="AI589" s="146"/>
      <c r="AJ589" s="146"/>
      <c r="AK589" s="146"/>
      <c r="AL589" s="146">
        <v>1006.8135119994881</v>
      </c>
      <c r="AM589" s="146">
        <v>0.1845756885005696</v>
      </c>
      <c r="AN589" s="146">
        <v>0.2805224931837822</v>
      </c>
      <c r="AO589" s="146">
        <v>367.83867164172159</v>
      </c>
      <c r="AP589" s="146">
        <v>345.38872690874257</v>
      </c>
      <c r="AQ589" t="s">
        <v>326</v>
      </c>
      <c r="AR589">
        <f t="shared" si="35"/>
        <v>9.762677251918257</v>
      </c>
      <c r="AS589">
        <f t="shared" si="36"/>
        <v>2.6643645582431001</v>
      </c>
      <c r="AT589">
        <v>0.2</v>
      </c>
      <c r="AU589">
        <v>1</v>
      </c>
      <c r="AV589">
        <v>0.3</v>
      </c>
      <c r="AW589" s="146">
        <v>0.4</v>
      </c>
      <c r="AX589" s="146">
        <v>0.28748934990286495</v>
      </c>
      <c r="AY589">
        <v>0.18</v>
      </c>
      <c r="AZ589" s="209">
        <v>345.38872690874257</v>
      </c>
      <c r="BA589">
        <v>0.28748934990286495</v>
      </c>
      <c r="BB589" s="249">
        <v>22.923079227651723</v>
      </c>
      <c r="BC589" s="243">
        <v>79.204024151586907</v>
      </c>
      <c r="BD589" s="209">
        <v>33937.27120050606</v>
      </c>
      <c r="BE589" s="243">
        <v>27.107692596488363</v>
      </c>
      <c r="BF589">
        <v>650227.60161355813</v>
      </c>
      <c r="BG589" t="s">
        <v>389</v>
      </c>
      <c r="BH589">
        <v>3.7817935782710397E-6</v>
      </c>
      <c r="BI589">
        <v>1539372.7120050606</v>
      </c>
      <c r="BJ589">
        <f t="shared" si="37"/>
        <v>0.42239777056111705</v>
      </c>
    </row>
    <row r="590" spans="1:62" x14ac:dyDescent="0.3">
      <c r="A590">
        <v>-0.1</v>
      </c>
      <c r="B590" s="146">
        <v>1000</v>
      </c>
      <c r="C590" s="146">
        <v>25</v>
      </c>
      <c r="D590" s="146">
        <v>400</v>
      </c>
      <c r="E590" s="252">
        <v>7.8369367801033949</v>
      </c>
      <c r="F590" s="146">
        <v>1.6406533919521471</v>
      </c>
      <c r="G590" s="146">
        <v>8.8844464214141539</v>
      </c>
      <c r="H590" s="146">
        <v>4.7533339565404695</v>
      </c>
      <c r="I590" s="146"/>
      <c r="J590" s="146">
        <v>0.38417989930791918</v>
      </c>
      <c r="K590" s="146">
        <v>0.18</v>
      </c>
      <c r="L590" s="146">
        <v>48.514248524357505</v>
      </c>
      <c r="M590" s="146">
        <v>24.156472294285901</v>
      </c>
      <c r="N590" s="146">
        <v>1.1854558329723925</v>
      </c>
      <c r="O590" s="146"/>
      <c r="P590" s="146"/>
      <c r="Q590" s="146"/>
      <c r="R590" s="146"/>
      <c r="S590" s="146"/>
      <c r="T590" s="146"/>
      <c r="U590" s="146"/>
      <c r="V590" s="146"/>
      <c r="W590" s="146"/>
      <c r="X590" s="146"/>
      <c r="Y590" s="146"/>
      <c r="Z590" s="146">
        <v>0.24939460256968368</v>
      </c>
      <c r="AA590" s="146"/>
      <c r="AB590" s="146"/>
      <c r="AC590" s="146"/>
      <c r="AD590" s="146"/>
      <c r="AE590" s="146"/>
      <c r="AF590" s="146"/>
      <c r="AG590" s="146"/>
      <c r="AH590" s="146"/>
      <c r="AI590" s="146"/>
      <c r="AJ590" s="146"/>
      <c r="AK590" s="146"/>
      <c r="AL590" s="146">
        <v>945.27875381250067</v>
      </c>
      <c r="AM590" s="146">
        <v>0.18466579842247519</v>
      </c>
      <c r="AN590" s="146">
        <v>0.28041132309002337</v>
      </c>
      <c r="AO590" s="146">
        <v>372.05199599736767</v>
      </c>
      <c r="AP590" s="146">
        <v>352.55083732630521</v>
      </c>
      <c r="AQ590" t="s">
        <v>326</v>
      </c>
      <c r="AR590">
        <f t="shared" si="35"/>
        <v>9.762677251918257</v>
      </c>
      <c r="AS590">
        <f t="shared" si="36"/>
        <v>2.6643645582431001</v>
      </c>
      <c r="AT590">
        <v>0.2</v>
      </c>
      <c r="AU590">
        <v>1</v>
      </c>
      <c r="AV590">
        <v>0.3</v>
      </c>
      <c r="AW590" s="146">
        <v>0.3</v>
      </c>
      <c r="AX590" s="146">
        <v>0.28879710919926921</v>
      </c>
      <c r="AY590">
        <v>0.18</v>
      </c>
      <c r="AZ590" s="209">
        <v>352.55083732630521</v>
      </c>
      <c r="BA590">
        <v>0.28879710919926921</v>
      </c>
      <c r="BB590" s="249">
        <v>19.947404855590509</v>
      </c>
      <c r="BC590" s="243">
        <v>67.351566582430493</v>
      </c>
      <c r="BD590" s="209">
        <v>28187.252391719823</v>
      </c>
      <c r="BE590" s="243">
        <v>23.521611551443875</v>
      </c>
      <c r="BF590">
        <v>655976.64947992889</v>
      </c>
      <c r="BG590" t="s">
        <v>389</v>
      </c>
      <c r="BH590">
        <v>3.3226125572332427E-6</v>
      </c>
      <c r="BI590">
        <v>1481872.5239171982</v>
      </c>
      <c r="BJ590">
        <f t="shared" si="37"/>
        <v>0.44266739472698569</v>
      </c>
    </row>
    <row r="591" spans="1:62" x14ac:dyDescent="0.3">
      <c r="A591">
        <v>-0.1</v>
      </c>
      <c r="B591" s="146">
        <v>1000</v>
      </c>
      <c r="C591" s="146">
        <v>25</v>
      </c>
      <c r="D591" s="146">
        <v>400</v>
      </c>
      <c r="E591" s="252">
        <v>6.3554343781369154</v>
      </c>
      <c r="F591" s="146">
        <v>1.3371225773033182</v>
      </c>
      <c r="G591" s="146">
        <v>7.2050959481218237</v>
      </c>
      <c r="H591" s="146">
        <v>3.8492652866418475</v>
      </c>
      <c r="I591" s="146"/>
      <c r="J591" s="146">
        <v>0.38941740943025055</v>
      </c>
      <c r="K591" s="146">
        <v>0.18</v>
      </c>
      <c r="L591" s="146">
        <v>39.307231693249058</v>
      </c>
      <c r="M591" s="146">
        <v>19.572065573402025</v>
      </c>
      <c r="N591" s="146">
        <v>1.004110463361886</v>
      </c>
      <c r="O591" s="146"/>
      <c r="P591" s="146"/>
      <c r="Q591" s="146"/>
      <c r="R591" s="146"/>
      <c r="S591" s="146"/>
      <c r="T591" s="146"/>
      <c r="U591" s="146"/>
      <c r="V591" s="146"/>
      <c r="W591" s="146"/>
      <c r="X591" s="146"/>
      <c r="Y591" s="146"/>
      <c r="Z591" s="146">
        <v>0.26085769324511432</v>
      </c>
      <c r="AA591" s="146"/>
      <c r="AB591" s="146"/>
      <c r="AC591" s="146"/>
      <c r="AD591" s="146"/>
      <c r="AE591" s="146"/>
      <c r="AF591" s="146"/>
      <c r="AG591" s="146"/>
      <c r="AH591" s="146"/>
      <c r="AI591" s="146"/>
      <c r="AJ591" s="146"/>
      <c r="AK591" s="146"/>
      <c r="AL591" s="146">
        <v>863.55749384142337</v>
      </c>
      <c r="AM591" s="146">
        <v>0.18558012092148063</v>
      </c>
      <c r="AN591" s="146">
        <v>0.28018303675695061</v>
      </c>
      <c r="AO591" s="146">
        <v>377.31684811579066</v>
      </c>
      <c r="AP591" s="146">
        <v>361.5022621604802</v>
      </c>
      <c r="AQ591" t="s">
        <v>326</v>
      </c>
      <c r="AR591">
        <f t="shared" si="35"/>
        <v>9.762677251918257</v>
      </c>
      <c r="AS591">
        <f t="shared" si="36"/>
        <v>2.6643645582431001</v>
      </c>
      <c r="AT591">
        <v>0.2</v>
      </c>
      <c r="AU591">
        <v>1</v>
      </c>
      <c r="AV591">
        <v>0.3</v>
      </c>
      <c r="AW591" s="146">
        <v>0.2</v>
      </c>
      <c r="AX591" s="146">
        <v>0.29140544906462379</v>
      </c>
      <c r="AY591">
        <v>0.18</v>
      </c>
      <c r="AZ591" s="209">
        <v>361.5022621604802</v>
      </c>
      <c r="BA591">
        <v>0.29140544906462379</v>
      </c>
      <c r="BB591" s="249">
        <v>16.262846426197655</v>
      </c>
      <c r="BC591" s="243">
        <v>53.337054203917809</v>
      </c>
      <c r="BD591" s="209">
        <v>21623.617941332359</v>
      </c>
      <c r="BE591" s="243">
        <v>19.103058329381739</v>
      </c>
      <c r="BF591">
        <v>650412.59269764379</v>
      </c>
      <c r="BG591" t="s">
        <v>389</v>
      </c>
      <c r="BH591">
        <v>2.7283681790607275E-6</v>
      </c>
      <c r="BI591">
        <v>1416236.1794133235</v>
      </c>
      <c r="BJ591">
        <f t="shared" si="37"/>
        <v>0.45925432646910452</v>
      </c>
    </row>
    <row r="592" spans="1:62" s="140" customFormat="1" x14ac:dyDescent="0.3">
      <c r="A592" s="140">
        <v>-0.1</v>
      </c>
      <c r="B592" s="140">
        <v>1000</v>
      </c>
      <c r="C592" s="140">
        <v>25</v>
      </c>
      <c r="D592" s="140">
        <v>400</v>
      </c>
      <c r="E592" s="253">
        <v>4.3404576203348748</v>
      </c>
      <c r="F592" s="140">
        <v>0.9316061105070923</v>
      </c>
      <c r="G592" s="140">
        <v>4.9278628018887023</v>
      </c>
      <c r="H592" s="140">
        <v>2.6317100560311051</v>
      </c>
      <c r="J592" s="140">
        <v>0.40138019493874078</v>
      </c>
      <c r="K592" s="140">
        <v>0.18</v>
      </c>
      <c r="L592" s="140">
        <v>26.891492958980415</v>
      </c>
      <c r="M592" s="140">
        <v>13.3899550003222</v>
      </c>
      <c r="N592" s="140">
        <v>0.73192658016492196</v>
      </c>
      <c r="Z592" s="140">
        <v>0.27811824425246301</v>
      </c>
      <c r="AL592" s="140">
        <v>739.6478506256351</v>
      </c>
      <c r="AM592" s="140">
        <v>0.18904871096452514</v>
      </c>
      <c r="AN592" s="140">
        <v>0.27976342234392493</v>
      </c>
      <c r="AO592" s="140">
        <v>384.48525692183244</v>
      </c>
      <c r="AP592" s="140">
        <v>373.68456054317437</v>
      </c>
      <c r="AQ592" t="s">
        <v>326</v>
      </c>
      <c r="AR592">
        <f t="shared" si="35"/>
        <v>9.762677251918257</v>
      </c>
      <c r="AS592">
        <f t="shared" si="36"/>
        <v>2.6643645582431001</v>
      </c>
      <c r="AT592" s="140">
        <v>0.2</v>
      </c>
      <c r="AU592" s="140">
        <v>1</v>
      </c>
      <c r="AV592">
        <v>0.3</v>
      </c>
      <c r="AW592" s="140">
        <v>0.1</v>
      </c>
      <c r="AX592" s="140">
        <v>0.29939233330921627</v>
      </c>
      <c r="AY592">
        <v>0.18</v>
      </c>
      <c r="AZ592" s="209">
        <v>373.68456054317437</v>
      </c>
      <c r="BA592" s="140">
        <v>0.29939233330921627</v>
      </c>
      <c r="BB592" s="253">
        <v>11.281646361853372</v>
      </c>
      <c r="BC592" s="245">
        <v>35.47592121071547</v>
      </c>
      <c r="BD592" s="210">
        <v>13715.833422495236</v>
      </c>
      <c r="BE592" s="245">
        <v>13.164929309397312</v>
      </c>
      <c r="BF592" s="140">
        <v>617549.0355968643</v>
      </c>
      <c r="BG592" t="s">
        <v>389</v>
      </c>
      <c r="BH592" s="140">
        <v>1.8730816964991851E-6</v>
      </c>
      <c r="BI592" s="140">
        <v>1337158.3342249524</v>
      </c>
      <c r="BJ592">
        <f t="shared" si="37"/>
        <v>0.46183688183404986</v>
      </c>
    </row>
    <row r="593" spans="1:62" x14ac:dyDescent="0.3">
      <c r="A593">
        <v>-0.1</v>
      </c>
      <c r="B593" s="146">
        <v>1000</v>
      </c>
      <c r="C593" s="146">
        <v>25</v>
      </c>
      <c r="D593" s="146">
        <v>400</v>
      </c>
      <c r="E593" s="252">
        <v>18.569953782251407</v>
      </c>
      <c r="F593" s="146">
        <v>4.205684589172602</v>
      </c>
      <c r="G593" s="146">
        <v>21.343533282921026</v>
      </c>
      <c r="H593" s="146">
        <v>11.396272282113637</v>
      </c>
      <c r="I593" s="146"/>
      <c r="J593" s="146">
        <v>0.34423386633700964</v>
      </c>
      <c r="K593" s="146">
        <v>0.18</v>
      </c>
      <c r="L593" s="146">
        <v>115.75781479381226</v>
      </c>
      <c r="M593" s="146">
        <v>57.6387459554252</v>
      </c>
      <c r="N593" s="146">
        <v>2.4561319434893392</v>
      </c>
      <c r="O593" s="146"/>
      <c r="P593" s="146"/>
      <c r="Q593" s="146"/>
      <c r="R593" s="146"/>
      <c r="S593" s="146"/>
      <c r="T593" s="146"/>
      <c r="U593" s="146"/>
      <c r="V593" s="146"/>
      <c r="W593" s="146"/>
      <c r="X593" s="146"/>
      <c r="Y593" s="146"/>
      <c r="Z593" s="146">
        <v>0.2155206441797832</v>
      </c>
      <c r="AA593" s="146"/>
      <c r="AB593" s="146"/>
      <c r="AC593" s="146"/>
      <c r="AD593" s="146"/>
      <c r="AE593" s="146"/>
      <c r="AF593" s="146"/>
      <c r="AG593" s="146"/>
      <c r="AH593" s="146"/>
      <c r="AI593" s="146"/>
      <c r="AJ593" s="146"/>
      <c r="AK593" s="146"/>
      <c r="AL593" s="146">
        <v>1513.2240227414134</v>
      </c>
      <c r="AM593" s="146">
        <v>0.19704725236556625</v>
      </c>
      <c r="AN593" s="146">
        <v>0.27056793788765354</v>
      </c>
      <c r="AO593" s="146">
        <v>331.36676160808781</v>
      </c>
      <c r="AP593" s="146">
        <v>285.15805099674424</v>
      </c>
      <c r="AQ593" t="s">
        <v>326</v>
      </c>
      <c r="AR593">
        <f t="shared" si="35"/>
        <v>9.762677251918257</v>
      </c>
      <c r="AS593">
        <f t="shared" si="36"/>
        <v>2.6643645582431001</v>
      </c>
      <c r="AT593">
        <v>0.2</v>
      </c>
      <c r="AU593">
        <v>1</v>
      </c>
      <c r="AV593">
        <v>0.3</v>
      </c>
      <c r="AW593" s="146">
        <v>3</v>
      </c>
      <c r="AX593" s="146">
        <v>0.26763055088604071</v>
      </c>
      <c r="AY593">
        <v>0.18</v>
      </c>
      <c r="AZ593" s="209">
        <v>285.15805099674424</v>
      </c>
      <c r="BA593">
        <v>0.26763055088604071</v>
      </c>
      <c r="BB593" s="249">
        <v>49.180910837129375</v>
      </c>
      <c r="BC593" s="243">
        <v>205.53090449113691</v>
      </c>
      <c r="BD593" s="209">
        <v>103967.14656070228</v>
      </c>
      <c r="BE593" s="243">
        <v>62.763977942190714</v>
      </c>
      <c r="BF593">
        <v>340168.79475981317</v>
      </c>
      <c r="BG593" t="s">
        <v>390</v>
      </c>
      <c r="BH593">
        <v>6.9365691231126364E-6</v>
      </c>
      <c r="BI593">
        <v>2239671.4656070229</v>
      </c>
      <c r="BJ593">
        <f t="shared" si="37"/>
        <v>0.15188334538504134</v>
      </c>
    </row>
    <row r="594" spans="1:62" s="140" customFormat="1" x14ac:dyDescent="0.3">
      <c r="A594">
        <v>-0.2</v>
      </c>
      <c r="B594" s="146">
        <v>1000</v>
      </c>
      <c r="C594" s="146">
        <v>25</v>
      </c>
      <c r="D594" s="146">
        <v>400</v>
      </c>
      <c r="E594" s="252">
        <v>18.464565982699479</v>
      </c>
      <c r="F594" s="146">
        <v>4.2713732517178409</v>
      </c>
      <c r="G594" s="146">
        <v>21.272371669366891</v>
      </c>
      <c r="H594" s="146">
        <v>11.405546546619906</v>
      </c>
      <c r="I594" s="146"/>
      <c r="J594" s="146">
        <v>0.34521572687969548</v>
      </c>
      <c r="K594" s="146">
        <v>0.18</v>
      </c>
      <c r="L594" s="146">
        <v>115.86494863183766</v>
      </c>
      <c r="M594" s="146">
        <v>57.692090605064408</v>
      </c>
      <c r="N594" s="146">
        <v>2.4353295966270405</v>
      </c>
      <c r="O594" s="146"/>
      <c r="P594" s="146"/>
      <c r="Q594" s="146"/>
      <c r="R594" s="146"/>
      <c r="S594" s="146"/>
      <c r="T594" s="146"/>
      <c r="U594" s="146"/>
      <c r="V594" s="146"/>
      <c r="W594" s="146"/>
      <c r="X594" s="146"/>
      <c r="Y594" s="146"/>
      <c r="Z594" s="146">
        <v>0.21352151662988594</v>
      </c>
      <c r="AA594" s="146"/>
      <c r="AB594" s="146"/>
      <c r="AC594" s="146"/>
      <c r="AD594" s="146"/>
      <c r="AE594" s="146"/>
      <c r="AF594" s="146"/>
      <c r="AG594" s="146"/>
      <c r="AH594" s="146"/>
      <c r="AI594" s="146"/>
      <c r="AJ594" s="146"/>
      <c r="AK594" s="146"/>
      <c r="AL594" s="146">
        <v>1495.051121690165</v>
      </c>
      <c r="AM594" s="146">
        <v>0.20079440685350558</v>
      </c>
      <c r="AN594" s="146">
        <v>0.24084035559822087</v>
      </c>
      <c r="AO594" s="146">
        <v>323.33275734942538</v>
      </c>
      <c r="AP594" s="146">
        <v>277.38632337664404</v>
      </c>
      <c r="AQ594" t="s">
        <v>326</v>
      </c>
      <c r="AR594">
        <f t="shared" si="35"/>
        <v>9.762677251918257</v>
      </c>
      <c r="AS594">
        <f t="shared" si="36"/>
        <v>2.6643645582431001</v>
      </c>
      <c r="AT594">
        <v>0.2</v>
      </c>
      <c r="AU594">
        <v>1</v>
      </c>
      <c r="AV594">
        <v>0.3</v>
      </c>
      <c r="AW594" s="146">
        <v>3</v>
      </c>
      <c r="AX594" s="146">
        <v>0.26770166471137546</v>
      </c>
      <c r="AY594">
        <v>0.18</v>
      </c>
      <c r="AZ594" s="209">
        <v>277.38632337664404</v>
      </c>
      <c r="BA594" s="140">
        <v>0.26770166471137546</v>
      </c>
      <c r="BB594" s="253">
        <v>49.5339499995086</v>
      </c>
      <c r="BC594" s="245">
        <v>205.83615850486976</v>
      </c>
      <c r="BD594" s="210">
        <v>104260.2053872262</v>
      </c>
      <c r="BE594" s="245">
        <v>63.011465818527022</v>
      </c>
      <c r="BF594" s="140">
        <v>338472.60571339348</v>
      </c>
      <c r="BG594" t="s">
        <v>390</v>
      </c>
      <c r="BH594" s="140">
        <v>6.8926317578787202E-6</v>
      </c>
      <c r="BI594" s="140">
        <v>2242602.0538722621</v>
      </c>
      <c r="BJ594">
        <f t="shared" si="37"/>
        <v>0.15092851856126624</v>
      </c>
    </row>
    <row r="595" spans="1:62" x14ac:dyDescent="0.3">
      <c r="A595">
        <v>-0.3</v>
      </c>
      <c r="B595" s="146">
        <v>1000</v>
      </c>
      <c r="C595" s="146">
        <v>25</v>
      </c>
      <c r="D595" s="146">
        <v>400</v>
      </c>
      <c r="E595" s="252">
        <v>18.385879691644416</v>
      </c>
      <c r="F595" s="146">
        <v>4.3803162213968836</v>
      </c>
      <c r="G595" s="146">
        <v>21.253170685353659</v>
      </c>
      <c r="H595" s="146">
        <v>11.439742134609441</v>
      </c>
      <c r="I595" s="146"/>
      <c r="J595" s="146">
        <v>0.34429394484787373</v>
      </c>
      <c r="K595" s="146">
        <v>0.18</v>
      </c>
      <c r="L595" s="146">
        <v>116.22847068980047</v>
      </c>
      <c r="M595" s="146">
        <v>57.8730974389048</v>
      </c>
      <c r="N595" s="146">
        <v>2.4322970220566766</v>
      </c>
      <c r="O595" s="146"/>
      <c r="P595" s="146"/>
      <c r="Q595" s="146"/>
      <c r="R595" s="146"/>
      <c r="S595" s="146"/>
      <c r="T595" s="146"/>
      <c r="U595" s="146"/>
      <c r="V595" s="146"/>
      <c r="W595" s="146"/>
      <c r="X595" s="146"/>
      <c r="Y595" s="146"/>
      <c r="Z595" s="146">
        <v>0.2126181686122173</v>
      </c>
      <c r="AA595" s="146"/>
      <c r="AB595" s="146"/>
      <c r="AC595" s="146"/>
      <c r="AD595" s="146"/>
      <c r="AE595" s="146"/>
      <c r="AF595" s="146"/>
      <c r="AG595" s="146"/>
      <c r="AH595" s="146"/>
      <c r="AI595" s="146"/>
      <c r="AJ595" s="146"/>
      <c r="AK595" s="146"/>
      <c r="AL595" s="146">
        <v>1483.0490891507416</v>
      </c>
      <c r="AM595" s="146">
        <v>0.20610177588304604</v>
      </c>
      <c r="AN595" s="146">
        <v>0.21048807139177325</v>
      </c>
      <c r="AO595" s="146">
        <v>312.65120360467603</v>
      </c>
      <c r="AP595" s="146">
        <v>266.90057812240235</v>
      </c>
      <c r="AQ595" t="s">
        <v>326</v>
      </c>
      <c r="AR595">
        <f t="shared" si="35"/>
        <v>9.762677251918257</v>
      </c>
      <c r="AS595">
        <f t="shared" si="36"/>
        <v>2.6643645582431001</v>
      </c>
      <c r="AT595">
        <v>0.2</v>
      </c>
      <c r="AU595">
        <v>1</v>
      </c>
      <c r="AV595">
        <v>0.3</v>
      </c>
      <c r="AW595" s="146">
        <v>3</v>
      </c>
      <c r="AX595" s="146">
        <v>0.26637075720877929</v>
      </c>
      <c r="AY595">
        <v>0.18</v>
      </c>
      <c r="AZ595" s="209">
        <v>266.90057812240235</v>
      </c>
      <c r="BA595">
        <v>0.26637075720877929</v>
      </c>
      <c r="BB595" s="249">
        <v>50.237423973836869</v>
      </c>
      <c r="BC595" s="243">
        <v>206.87519177313544</v>
      </c>
      <c r="BD595" s="209">
        <v>105342.56450063242</v>
      </c>
      <c r="BE595" s="243">
        <v>63.977961431185491</v>
      </c>
      <c r="BF595">
        <v>339026.30171662057</v>
      </c>
      <c r="BG595" t="s">
        <v>390</v>
      </c>
      <c r="BH595">
        <v>6.8310531466363883E-6</v>
      </c>
      <c r="BI595">
        <v>2253425.6450063242</v>
      </c>
      <c r="BJ595">
        <f t="shared" si="37"/>
        <v>0.15044929592769815</v>
      </c>
    </row>
    <row r="596" spans="1:62" x14ac:dyDescent="0.3">
      <c r="A596">
        <v>-0.4</v>
      </c>
      <c r="B596" s="146">
        <v>1000</v>
      </c>
      <c r="C596" s="146">
        <v>25</v>
      </c>
      <c r="D596" s="146">
        <v>400</v>
      </c>
      <c r="E596" s="252">
        <v>18.191948991115879</v>
      </c>
      <c r="F596" s="146">
        <v>4.496561497965331</v>
      </c>
      <c r="G596" s="146">
        <v>21.119897935654627</v>
      </c>
      <c r="H596" s="146">
        <v>11.457770384660641</v>
      </c>
      <c r="I596" s="146"/>
      <c r="J596" s="146">
        <v>0.34621629365296563</v>
      </c>
      <c r="K596" s="146">
        <v>0.18</v>
      </c>
      <c r="L596" s="146">
        <v>116.43655396661288</v>
      </c>
      <c r="M596" s="146">
        <v>57.976707369267828</v>
      </c>
      <c r="N596" s="146">
        <v>2.395736123805472</v>
      </c>
      <c r="O596" s="146"/>
      <c r="P596" s="146"/>
      <c r="Q596" s="146"/>
      <c r="R596" s="146"/>
      <c r="S596" s="146"/>
      <c r="T596" s="146"/>
      <c r="U596" s="146"/>
      <c r="V596" s="146"/>
      <c r="W596" s="146"/>
      <c r="X596" s="146"/>
      <c r="Y596" s="146"/>
      <c r="Z596" s="146">
        <v>0.20909269808834885</v>
      </c>
      <c r="AA596" s="146"/>
      <c r="AB596" s="146"/>
      <c r="AC596" s="146"/>
      <c r="AD596" s="146"/>
      <c r="AE596" s="146"/>
      <c r="AF596" s="146"/>
      <c r="AG596" s="146"/>
      <c r="AH596" s="146"/>
      <c r="AI596" s="146"/>
      <c r="AJ596" s="146"/>
      <c r="AK596" s="146"/>
      <c r="AL596" s="146">
        <v>1452.0086032128211</v>
      </c>
      <c r="AM596" s="146">
        <v>0.21290640284649448</v>
      </c>
      <c r="AN596" s="146">
        <v>0.18084994370425461</v>
      </c>
      <c r="AO596" s="146">
        <v>299.4086001991501</v>
      </c>
      <c r="AP596" s="146">
        <v>254.14054131008228</v>
      </c>
      <c r="AQ596" t="s">
        <v>326</v>
      </c>
      <c r="AR596">
        <f t="shared" si="35"/>
        <v>9.762677251918257</v>
      </c>
      <c r="AS596">
        <f t="shared" si="36"/>
        <v>2.6643645582431001</v>
      </c>
      <c r="AT596">
        <v>0.2</v>
      </c>
      <c r="AU596">
        <v>1</v>
      </c>
      <c r="AV596">
        <v>0.3</v>
      </c>
      <c r="AW596" s="146">
        <v>3</v>
      </c>
      <c r="AX596" s="146">
        <v>0.26665293728288386</v>
      </c>
      <c r="AY596">
        <v>0.18</v>
      </c>
      <c r="AZ596" s="209">
        <v>254.14054131008228</v>
      </c>
      <c r="BA596">
        <v>0.26665293728288386</v>
      </c>
      <c r="BB596" s="249">
        <v>50.852012904613261</v>
      </c>
      <c r="BC596" s="243">
        <v>207.47222267413508</v>
      </c>
      <c r="BD596" s="209">
        <v>105871.56364743896</v>
      </c>
      <c r="BE596" s="243">
        <v>64.395055548298515</v>
      </c>
      <c r="BF596">
        <v>335824.85845577397</v>
      </c>
      <c r="BG596" t="s">
        <v>390</v>
      </c>
      <c r="BH596">
        <v>6.7512234474960342E-6</v>
      </c>
      <c r="BI596">
        <v>2258715.6364743896</v>
      </c>
      <c r="BJ596">
        <f t="shared" si="37"/>
        <v>0.14867956507352126</v>
      </c>
    </row>
    <row r="597" spans="1:62" x14ac:dyDescent="0.3">
      <c r="A597">
        <v>-0.5</v>
      </c>
      <c r="B597" s="146">
        <v>1000</v>
      </c>
      <c r="C597" s="146">
        <v>25</v>
      </c>
      <c r="D597" s="146">
        <v>400</v>
      </c>
      <c r="E597" s="252">
        <v>17.899746823749801</v>
      </c>
      <c r="F597" s="146">
        <v>4.6549108309270641</v>
      </c>
      <c r="G597" s="146">
        <v>20.909727656584401</v>
      </c>
      <c r="H597" s="146">
        <v>11.47747557630114</v>
      </c>
      <c r="I597" s="146"/>
      <c r="J597" s="146">
        <v>0.34883051568198514</v>
      </c>
      <c r="K597" s="146">
        <v>0.18</v>
      </c>
      <c r="L597" s="146">
        <v>116.67527250128546</v>
      </c>
      <c r="M597" s="146">
        <v>58.095571369934675</v>
      </c>
      <c r="N597" s="146">
        <v>2.3486430499032434</v>
      </c>
      <c r="O597" s="146"/>
      <c r="P597" s="146"/>
      <c r="Q597" s="146"/>
      <c r="R597" s="146"/>
      <c r="S597" s="146"/>
      <c r="T597" s="146"/>
      <c r="U597" s="146"/>
      <c r="V597" s="146"/>
      <c r="W597" s="146"/>
      <c r="X597" s="146"/>
      <c r="Y597" s="146"/>
      <c r="Z597" s="146">
        <v>0.20463062929558795</v>
      </c>
      <c r="AA597" s="146"/>
      <c r="AB597" s="146"/>
      <c r="AC597" s="146"/>
      <c r="AD597" s="146"/>
      <c r="AE597" s="146"/>
      <c r="AF597" s="146"/>
      <c r="AG597" s="146"/>
      <c r="AH597" s="146"/>
      <c r="AI597" s="146"/>
      <c r="AJ597" s="146"/>
      <c r="AK597" s="146"/>
      <c r="AL597" s="146">
        <v>1411.489791660011</v>
      </c>
      <c r="AM597" s="146">
        <v>0.22261939071507938</v>
      </c>
      <c r="AN597" s="146">
        <v>0.15131989207080893</v>
      </c>
      <c r="AO597" s="146">
        <v>281.70922818677559</v>
      </c>
      <c r="AP597" s="146">
        <v>237.16826670838898</v>
      </c>
      <c r="AQ597" t="s">
        <v>326</v>
      </c>
      <c r="AR597">
        <f t="shared" si="35"/>
        <v>9.762677251918257</v>
      </c>
      <c r="AS597">
        <f t="shared" si="36"/>
        <v>2.6643645582431001</v>
      </c>
      <c r="AT597">
        <v>0.2</v>
      </c>
      <c r="AU597">
        <v>1</v>
      </c>
      <c r="AV597">
        <v>0.3</v>
      </c>
      <c r="AW597" s="146">
        <v>3</v>
      </c>
      <c r="AX597" s="146">
        <v>0.26705366760197957</v>
      </c>
      <c r="AY597">
        <v>0.18</v>
      </c>
      <c r="AZ597" s="209">
        <v>237.16826670838898</v>
      </c>
      <c r="BA597">
        <v>0.26705366760197957</v>
      </c>
      <c r="BB597" s="249">
        <v>51.66012389693136</v>
      </c>
      <c r="BC597" s="243">
        <v>208.15921075217236</v>
      </c>
      <c r="BD597" s="209">
        <v>106464.43173762847</v>
      </c>
      <c r="BE597" s="243">
        <v>64.850956196255183</v>
      </c>
      <c r="BF597">
        <v>330551.19886133267</v>
      </c>
      <c r="BG597" t="s">
        <v>390</v>
      </c>
      <c r="BH597">
        <v>6.6378237734246006E-6</v>
      </c>
      <c r="BI597">
        <v>2264644.3173762849</v>
      </c>
      <c r="BJ597">
        <f t="shared" si="37"/>
        <v>0.1459616401238206</v>
      </c>
    </row>
    <row r="598" spans="1:62" x14ac:dyDescent="0.3">
      <c r="A598">
        <v>-0.6</v>
      </c>
      <c r="B598" s="146">
        <v>1000</v>
      </c>
      <c r="C598" s="146">
        <v>25</v>
      </c>
      <c r="D598" s="146">
        <v>400</v>
      </c>
      <c r="E598" s="252">
        <v>17.476859171344088</v>
      </c>
      <c r="F598" s="146">
        <v>4.9222341657975033</v>
      </c>
      <c r="G598" s="146">
        <v>20.626879355100332</v>
      </c>
      <c r="H598" s="146">
        <v>11.527510293885767</v>
      </c>
      <c r="I598" s="146"/>
      <c r="J598" s="146">
        <v>0.35589030869890526</v>
      </c>
      <c r="K598" s="146">
        <v>0.18</v>
      </c>
      <c r="L598" s="146">
        <v>117.24876016134658</v>
      </c>
      <c r="M598" s="146">
        <v>58.381125391541872</v>
      </c>
      <c r="N598" s="146">
        <v>2.241448670493936</v>
      </c>
      <c r="O598" s="146"/>
      <c r="P598" s="146"/>
      <c r="Q598" s="146"/>
      <c r="R598" s="146"/>
      <c r="S598" s="146"/>
      <c r="T598" s="146"/>
      <c r="U598" s="146"/>
      <c r="V598" s="146"/>
      <c r="W598" s="146"/>
      <c r="X598" s="146"/>
      <c r="Y598" s="146"/>
      <c r="Z598" s="146">
        <v>0.19444343256694452</v>
      </c>
      <c r="AA598" s="146"/>
      <c r="AB598" s="146"/>
      <c r="AC598" s="146"/>
      <c r="AD598" s="146"/>
      <c r="AE598" s="146"/>
      <c r="AF598" s="146"/>
      <c r="AG598" s="146"/>
      <c r="AH598" s="146"/>
      <c r="AI598" s="146"/>
      <c r="AJ598" s="146"/>
      <c r="AK598" s="146"/>
      <c r="AL598" s="146">
        <v>1333.4376783641355</v>
      </c>
      <c r="AM598" s="146">
        <v>0.23863203352573062</v>
      </c>
      <c r="AN598" s="146">
        <v>0.12153780291300022</v>
      </c>
      <c r="AO598" s="146">
        <v>256.2022782010099</v>
      </c>
      <c r="AP598" s="146">
        <v>212.71334311716694</v>
      </c>
      <c r="AQ598" t="s">
        <v>326</v>
      </c>
      <c r="AR598">
        <f t="shared" si="35"/>
        <v>9.762677251918257</v>
      </c>
      <c r="AS598">
        <f t="shared" si="36"/>
        <v>2.6643645582431001</v>
      </c>
      <c r="AT598">
        <v>0.2</v>
      </c>
      <c r="AU598">
        <v>1</v>
      </c>
      <c r="AV598">
        <v>0.3</v>
      </c>
      <c r="AW598" s="146">
        <v>3</v>
      </c>
      <c r="AX598" s="146">
        <v>0.26923361505452925</v>
      </c>
      <c r="AY598">
        <v>0.18</v>
      </c>
      <c r="AZ598" s="209">
        <v>212.71334311716694</v>
      </c>
      <c r="BA598">
        <v>0.26923361505452925</v>
      </c>
      <c r="BB598" s="249">
        <v>53.058224454535434</v>
      </c>
      <c r="BC598" s="243">
        <v>209.81867751606086</v>
      </c>
      <c r="BD598" s="209">
        <v>107756.08413157698</v>
      </c>
      <c r="BE598" s="243">
        <v>65.742562826936108</v>
      </c>
      <c r="BF598">
        <v>323718.0159268477</v>
      </c>
      <c r="BG598" t="s">
        <v>390</v>
      </c>
      <c r="BH598">
        <v>6.4604895955972504E-6</v>
      </c>
      <c r="BI598">
        <v>2277560.8413157696</v>
      </c>
      <c r="BJ598">
        <f t="shared" si="37"/>
        <v>0.14213364141782162</v>
      </c>
    </row>
    <row r="599" spans="1:62" x14ac:dyDescent="0.3">
      <c r="A599">
        <v>-0.7</v>
      </c>
      <c r="B599" s="146">
        <v>1000</v>
      </c>
      <c r="C599" s="146">
        <v>25</v>
      </c>
      <c r="D599" s="146">
        <v>400</v>
      </c>
      <c r="E599" s="252">
        <v>16.734796985527016</v>
      </c>
      <c r="F599" s="146">
        <v>5.3776241568375092</v>
      </c>
      <c r="G599" s="146">
        <v>20.123088128668126</v>
      </c>
      <c r="H599" s="146">
        <v>11.613903275617879</v>
      </c>
      <c r="I599" s="146"/>
      <c r="J599" s="146">
        <v>0.36867409055334427</v>
      </c>
      <c r="K599" s="146">
        <v>0.18</v>
      </c>
      <c r="L599" s="146">
        <v>118.26278862232309</v>
      </c>
      <c r="M599" s="146">
        <v>58.886035828542617</v>
      </c>
      <c r="N599" s="146">
        <v>2.0731071838390083</v>
      </c>
      <c r="O599" s="146"/>
      <c r="P599" s="146"/>
      <c r="Q599" s="146"/>
      <c r="R599" s="146"/>
      <c r="S599" s="146"/>
      <c r="T599" s="146"/>
      <c r="U599" s="146"/>
      <c r="V599" s="146"/>
      <c r="W599" s="146"/>
      <c r="X599" s="146"/>
      <c r="Y599" s="146"/>
      <c r="Z599" s="146">
        <v>0.17850219126512534</v>
      </c>
      <c r="AA599" s="146"/>
      <c r="AB599" s="146"/>
      <c r="AC599" s="146"/>
      <c r="AD599" s="146"/>
      <c r="AE599" s="146"/>
      <c r="AF599" s="146"/>
      <c r="AG599" s="146"/>
      <c r="AH599" s="146"/>
      <c r="AI599" s="146"/>
      <c r="AJ599" s="146"/>
      <c r="AK599" s="146"/>
      <c r="AL599" s="146">
        <v>1212.6951206402607</v>
      </c>
      <c r="AM599" s="146">
        <v>0.26723652564917899</v>
      </c>
      <c r="AN599" s="146">
        <v>9.1840277981420901E-2</v>
      </c>
      <c r="AO599" s="146">
        <v>217.7836854009476</v>
      </c>
      <c r="AP599" s="146">
        <v>176.14152872075624</v>
      </c>
      <c r="AQ599" t="s">
        <v>326</v>
      </c>
      <c r="AR599">
        <f t="shared" si="35"/>
        <v>9.762677251918257</v>
      </c>
      <c r="AS599">
        <f t="shared" si="36"/>
        <v>2.6643645582431001</v>
      </c>
      <c r="AT599">
        <v>0.2</v>
      </c>
      <c r="AU599">
        <v>1</v>
      </c>
      <c r="AV599">
        <v>0.3</v>
      </c>
      <c r="AW599" s="146">
        <v>3</v>
      </c>
      <c r="AX599" s="146">
        <v>0.27342023547859901</v>
      </c>
      <c r="AY599">
        <v>0.18</v>
      </c>
      <c r="AZ599" s="209">
        <v>176.14152872075624</v>
      </c>
      <c r="BA599">
        <v>0.27342023547859901</v>
      </c>
      <c r="BB599" s="249">
        <v>55.387616646620998</v>
      </c>
      <c r="BC599" s="243">
        <v>212.7848026133988</v>
      </c>
      <c r="BD599" s="209">
        <v>109845.79341594415</v>
      </c>
      <c r="BE599" s="243">
        <v>67.006823275543567</v>
      </c>
      <c r="BF599">
        <v>311140.89107561158</v>
      </c>
      <c r="BG599" t="s">
        <v>390</v>
      </c>
      <c r="BH599">
        <v>6.1571449153801639E-6</v>
      </c>
      <c r="BI599">
        <v>2298457.9341594414</v>
      </c>
      <c r="BJ599">
        <f t="shared" si="37"/>
        <v>0.1353694085288524</v>
      </c>
    </row>
    <row r="600" spans="1:62" x14ac:dyDescent="0.3">
      <c r="A600">
        <v>-0.8</v>
      </c>
      <c r="B600" s="146">
        <v>1000</v>
      </c>
      <c r="C600" s="146">
        <v>25</v>
      </c>
      <c r="D600" s="146">
        <v>400</v>
      </c>
      <c r="E600" s="252">
        <v>15.188646042669152</v>
      </c>
      <c r="F600" s="146">
        <v>6.6117016753151372</v>
      </c>
      <c r="G600" s="146">
        <v>19.226389827079878</v>
      </c>
      <c r="H600" s="146">
        <v>11.761714232569998</v>
      </c>
      <c r="I600" s="146"/>
      <c r="J600" s="146">
        <v>0.39386569109439834</v>
      </c>
      <c r="K600" s="146">
        <v>0.18</v>
      </c>
      <c r="L600" s="146">
        <v>120.28419846580516</v>
      </c>
      <c r="M600" s="146">
        <v>59.892546953927891</v>
      </c>
      <c r="N600" s="146">
        <v>1.7367459512287038</v>
      </c>
      <c r="O600" s="146"/>
      <c r="P600" s="146"/>
      <c r="Q600" s="146"/>
      <c r="R600" s="146"/>
      <c r="S600" s="146"/>
      <c r="T600" s="146"/>
      <c r="U600" s="146"/>
      <c r="V600" s="146"/>
      <c r="W600" s="146"/>
      <c r="X600" s="146"/>
      <c r="Y600" s="146"/>
      <c r="Z600" s="146">
        <v>0.14766095459277415</v>
      </c>
      <c r="AA600" s="146"/>
      <c r="AB600" s="146"/>
      <c r="AC600" s="146"/>
      <c r="AD600" s="146"/>
      <c r="AE600" s="146"/>
      <c r="AF600" s="146"/>
      <c r="AG600" s="146"/>
      <c r="AH600" s="146"/>
      <c r="AI600" s="146"/>
      <c r="AJ600" s="146"/>
      <c r="AK600" s="146"/>
      <c r="AL600" s="146">
        <v>979.40484678504095</v>
      </c>
      <c r="AM600" s="146">
        <v>0.34388680011068562</v>
      </c>
      <c r="AN600" s="146">
        <v>6.0470767388130266E-2</v>
      </c>
      <c r="AO600" s="146">
        <v>148.82663642779383</v>
      </c>
      <c r="AP600" s="146">
        <v>111.03187117069079</v>
      </c>
      <c r="AQ600" t="s">
        <v>326</v>
      </c>
      <c r="AR600">
        <f t="shared" si="35"/>
        <v>9.762677251918257</v>
      </c>
      <c r="AS600">
        <f t="shared" si="36"/>
        <v>2.6643645582431001</v>
      </c>
      <c r="AT600">
        <v>0.2</v>
      </c>
      <c r="AU600">
        <v>1</v>
      </c>
      <c r="AV600">
        <v>0.3</v>
      </c>
      <c r="AW600" s="146">
        <v>3</v>
      </c>
      <c r="AX600" s="146">
        <v>0.27956829496135566</v>
      </c>
      <c r="AY600">
        <v>0.18</v>
      </c>
      <c r="AZ600" s="209">
        <v>111.03187117069079</v>
      </c>
      <c r="BA600">
        <v>0.27956829496135566</v>
      </c>
      <c r="BB600" s="249">
        <v>62.115072173508544</v>
      </c>
      <c r="BC600" s="243">
        <v>218.82330236339473</v>
      </c>
      <c r="BD600" s="209">
        <v>117318.5799847914</v>
      </c>
      <c r="BE600" s="243">
        <v>73.933876337867503</v>
      </c>
      <c r="BF600">
        <v>294653.14858753618</v>
      </c>
      <c r="BG600" t="s">
        <v>390</v>
      </c>
      <c r="BH600">
        <v>5.4416978426758818E-6</v>
      </c>
      <c r="BI600">
        <v>2373185.7998479139</v>
      </c>
      <c r="BJ600">
        <f t="shared" si="37"/>
        <v>0.12415932566528044</v>
      </c>
    </row>
    <row r="601" spans="1:62" x14ac:dyDescent="0.3">
      <c r="A601">
        <v>-0.85</v>
      </c>
      <c r="B601" s="146">
        <v>1000</v>
      </c>
      <c r="C601" s="146">
        <v>25</v>
      </c>
      <c r="D601" s="146">
        <v>400</v>
      </c>
      <c r="E601" s="252">
        <v>10.617640015215688</v>
      </c>
      <c r="F601" s="146">
        <v>4.1713754498233691</v>
      </c>
      <c r="G601" s="146">
        <v>13.129018510024556</v>
      </c>
      <c r="H601" s="146">
        <v>7.8009600103270209</v>
      </c>
      <c r="I601" s="146"/>
      <c r="J601" s="146">
        <v>0.39354000688150925</v>
      </c>
      <c r="K601" s="146">
        <v>0.18</v>
      </c>
      <c r="L601" s="146">
        <v>80.005734693347904</v>
      </c>
      <c r="M601" s="146">
        <v>39.836880345235478</v>
      </c>
      <c r="N601" s="146">
        <v>1.4116281907706618</v>
      </c>
      <c r="O601" s="146"/>
      <c r="P601" s="146"/>
      <c r="Q601" s="146"/>
      <c r="R601" s="146"/>
      <c r="S601" s="146"/>
      <c r="T601" s="146"/>
      <c r="U601" s="146"/>
      <c r="V601" s="146"/>
      <c r="W601" s="146"/>
      <c r="X601" s="146"/>
      <c r="Y601" s="146"/>
      <c r="Z601" s="146">
        <v>0.18095570146519513</v>
      </c>
      <c r="AA601" s="146"/>
      <c r="AB601" s="146"/>
      <c r="AC601" s="146"/>
      <c r="AD601" s="146"/>
      <c r="AE601" s="146"/>
      <c r="AF601" s="146"/>
      <c r="AG601" s="146"/>
      <c r="AH601" s="146"/>
      <c r="AI601" s="146"/>
      <c r="AJ601" s="146"/>
      <c r="AK601" s="146"/>
      <c r="AL601" s="146">
        <v>846.25980429777564</v>
      </c>
      <c r="AM601" s="146">
        <v>0.31772180430992225</v>
      </c>
      <c r="AN601" s="146">
        <v>4.5543149120085405E-2</v>
      </c>
      <c r="AO601" s="146">
        <v>166.86636255170365</v>
      </c>
      <c r="AP601" s="146">
        <v>140.44570891244535</v>
      </c>
      <c r="AQ601" t="s">
        <v>326</v>
      </c>
      <c r="AR601">
        <f t="shared" si="35"/>
        <v>9.762677251918257</v>
      </c>
      <c r="AS601">
        <f t="shared" si="36"/>
        <v>2.6643645582431001</v>
      </c>
      <c r="AT601">
        <v>0.2</v>
      </c>
      <c r="AU601">
        <v>1</v>
      </c>
      <c r="AV601">
        <v>0.3</v>
      </c>
      <c r="AW601" s="146">
        <v>3</v>
      </c>
      <c r="AX601" s="146">
        <v>0.27999753864469057</v>
      </c>
      <c r="AY601">
        <v>0.18</v>
      </c>
      <c r="AZ601" s="209">
        <v>140.44570891244535</v>
      </c>
      <c r="BA601">
        <v>0.27999753864469057</v>
      </c>
      <c r="BB601" s="249">
        <v>40.701467059871618</v>
      </c>
      <c r="BC601" s="243">
        <v>122.0368457358235</v>
      </c>
      <c r="BD601" s="209">
        <v>61453.549873143951</v>
      </c>
      <c r="BE601" s="243">
        <v>48.239462223049777</v>
      </c>
      <c r="BF601">
        <v>659803.46711625194</v>
      </c>
      <c r="BG601" t="s">
        <v>390</v>
      </c>
      <c r="BH601">
        <v>3.9666610245655628E-6</v>
      </c>
      <c r="BI601">
        <v>1814535.4987314395</v>
      </c>
      <c r="BJ601">
        <f t="shared" si="37"/>
        <v>0.36362114027393089</v>
      </c>
    </row>
    <row r="602" spans="1:62" s="160" customFormat="1" ht="15" thickBot="1" x14ac:dyDescent="0.35">
      <c r="A602" s="160">
        <v>-0.87</v>
      </c>
      <c r="B602" s="160">
        <v>1000</v>
      </c>
      <c r="C602" s="160">
        <v>25</v>
      </c>
      <c r="D602" s="160">
        <v>400</v>
      </c>
      <c r="E602" s="250">
        <v>3.6828648276805707</v>
      </c>
      <c r="F602" s="160">
        <v>0.96472632071771502</v>
      </c>
      <c r="G602" s="160">
        <v>4.2754768507212555</v>
      </c>
      <c r="H602" s="160">
        <v>2.349879643855922</v>
      </c>
      <c r="J602" s="160">
        <v>0.40544162981062387</v>
      </c>
      <c r="K602" s="160">
        <v>0.18</v>
      </c>
      <c r="L602" s="160">
        <v>24.048156170177929</v>
      </c>
      <c r="M602" s="160">
        <v>11.974185644901874</v>
      </c>
      <c r="N602" s="160">
        <v>0.68176600656926079</v>
      </c>
      <c r="Z602" s="160">
        <v>0.29012805330342351</v>
      </c>
      <c r="AL602" s="160">
        <v>640.34649723296957</v>
      </c>
      <c r="AM602" s="160">
        <v>0.22564180661040642</v>
      </c>
      <c r="AN602" s="160">
        <v>4.030631671270888E-2</v>
      </c>
      <c r="AO602" s="160">
        <v>308.62809782568559</v>
      </c>
      <c r="AP602" s="160">
        <v>299.46349394833919</v>
      </c>
      <c r="AQ602" s="160" t="s">
        <v>326</v>
      </c>
      <c r="AR602" s="160">
        <f t="shared" si="35"/>
        <v>9.762677251918257</v>
      </c>
      <c r="AS602" s="160">
        <f t="shared" si="36"/>
        <v>2.6643645582431001</v>
      </c>
      <c r="AT602" s="160">
        <v>0.2</v>
      </c>
      <c r="AU602" s="160">
        <v>1</v>
      </c>
      <c r="AV602" s="160">
        <v>0.3</v>
      </c>
      <c r="AW602" s="160">
        <v>3</v>
      </c>
      <c r="AX602" s="160">
        <v>0.29553547644018918</v>
      </c>
      <c r="AY602" s="160">
        <v>0.18</v>
      </c>
      <c r="AZ602" s="248">
        <v>299.46349394833919</v>
      </c>
      <c r="BA602" s="160">
        <v>0.29553547644018918</v>
      </c>
      <c r="BB602" s="250">
        <v>10.867157830787121</v>
      </c>
      <c r="BC602" s="246">
        <v>31.532939049348165</v>
      </c>
      <c r="BD602" s="248">
        <v>12430.160220100082</v>
      </c>
      <c r="BE602" s="246">
        <v>12.56660602338272</v>
      </c>
      <c r="BF602" s="160">
        <v>865159.00363965426</v>
      </c>
      <c r="BG602" s="254" t="s">
        <v>390</v>
      </c>
      <c r="BH602" s="160">
        <v>1.2976857544583961E-6</v>
      </c>
      <c r="BI602" s="160">
        <v>1324301.6022010008</v>
      </c>
      <c r="BJ602">
        <f t="shared" si="37"/>
        <v>0.65329453819413374</v>
      </c>
    </row>
    <row r="603" spans="1:62" x14ac:dyDescent="0.3">
      <c r="A603">
        <v>-0.1</v>
      </c>
      <c r="B603" s="146">
        <v>100</v>
      </c>
      <c r="C603" s="146">
        <v>25</v>
      </c>
      <c r="D603" s="146">
        <v>400</v>
      </c>
      <c r="E603" s="249">
        <v>3.1516334064622002</v>
      </c>
      <c r="F603">
        <v>0.57729844943744602</v>
      </c>
      <c r="G603">
        <v>3.6504680861758887</v>
      </c>
      <c r="H603">
        <v>2.983384156264735</v>
      </c>
      <c r="J603">
        <v>0.54175381756975161</v>
      </c>
      <c r="K603">
        <v>0.27</v>
      </c>
      <c r="L603">
        <v>20.01960005500429</v>
      </c>
      <c r="M603">
        <v>8.7222323891097524</v>
      </c>
      <c r="N603">
        <v>1.0062564136753269</v>
      </c>
      <c r="Z603">
        <v>0.33728690673720774</v>
      </c>
      <c r="AL603">
        <v>878.74467783440571</v>
      </c>
      <c r="AM603">
        <v>0.15814367796383205</v>
      </c>
      <c r="AN603">
        <v>0.19053353875177964</v>
      </c>
      <c r="AO603">
        <v>383.45890478333035</v>
      </c>
      <c r="AP603">
        <v>375.61647099674235</v>
      </c>
      <c r="AQ603" t="s">
        <v>327</v>
      </c>
      <c r="AR603">
        <f t="shared" ref="AR603:AR642" si="38">0.45*Jsat_t</f>
        <v>14.644015877877388</v>
      </c>
      <c r="AS603">
        <f t="shared" ref="AS603:AS642" si="39">0.15*Jatp</f>
        <v>3.9965468373646496</v>
      </c>
      <c r="AT603">
        <v>0.3</v>
      </c>
      <c r="AU603">
        <v>1</v>
      </c>
      <c r="AV603">
        <v>0.4</v>
      </c>
      <c r="AW603">
        <v>3</v>
      </c>
      <c r="AX603">
        <v>0.41920563783423154</v>
      </c>
      <c r="AY603">
        <v>0.27</v>
      </c>
      <c r="AZ603" s="209">
        <v>375.61647099674235</v>
      </c>
      <c r="BA603">
        <v>0.41920563783423154</v>
      </c>
      <c r="BB603" s="249">
        <v>7.5644150957392533</v>
      </c>
      <c r="BC603" s="243">
        <v>70.228336562586691</v>
      </c>
      <c r="BD603" s="209">
        <v>24891.083840569947</v>
      </c>
      <c r="BE603" s="243">
        <v>13.845845435399355</v>
      </c>
      <c r="BF603">
        <v>17371.83075679162</v>
      </c>
      <c r="BG603" t="s">
        <v>387</v>
      </c>
      <c r="BH603">
        <v>1.9438748600258265E-6</v>
      </c>
      <c r="BI603">
        <v>1448910.8384056995</v>
      </c>
      <c r="BJ603">
        <f t="shared" si="37"/>
        <v>1.1989578859046021E-2</v>
      </c>
    </row>
    <row r="604" spans="1:62" x14ac:dyDescent="0.3">
      <c r="A604">
        <v>-0.1</v>
      </c>
      <c r="B604" s="146">
        <v>200</v>
      </c>
      <c r="C604" s="146">
        <v>25</v>
      </c>
      <c r="D604" s="146">
        <v>400</v>
      </c>
      <c r="E604" s="252">
        <v>5.9195820649546551</v>
      </c>
      <c r="F604" s="146">
        <v>0.97868101484672532</v>
      </c>
      <c r="G604" s="146">
        <v>6.7169137353019845</v>
      </c>
      <c r="H604" s="146">
        <v>5.5129414230564509</v>
      </c>
      <c r="I604" s="146"/>
      <c r="J604" s="146">
        <v>0.55487887620077703</v>
      </c>
      <c r="K604" s="146">
        <v>0.27</v>
      </c>
      <c r="L604" s="146">
        <v>37.073348053806832</v>
      </c>
      <c r="M604" s="146">
        <v>16.152288571160653</v>
      </c>
      <c r="N604" s="146">
        <v>1.5486302851245597</v>
      </c>
      <c r="O604" s="146"/>
      <c r="P604" s="146"/>
      <c r="Q604" s="146"/>
      <c r="R604" s="146"/>
      <c r="S604" s="146"/>
      <c r="T604" s="146"/>
      <c r="U604" s="146"/>
      <c r="V604" s="146"/>
      <c r="W604" s="146"/>
      <c r="X604" s="146"/>
      <c r="Y604" s="146"/>
      <c r="Z604" s="146">
        <v>0.28090816975631455</v>
      </c>
      <c r="AA604" s="146"/>
      <c r="AB604" s="146"/>
      <c r="AC604" s="146"/>
      <c r="AD604" s="146"/>
      <c r="AE604" s="146"/>
      <c r="AF604" s="146"/>
      <c r="AG604" s="146"/>
      <c r="AH604" s="146"/>
      <c r="AI604" s="146"/>
      <c r="AJ604" s="146"/>
      <c r="AK604" s="146"/>
      <c r="AL604" s="146">
        <v>1132.0028608987934</v>
      </c>
      <c r="AM604" s="146">
        <v>0.14570397260025628</v>
      </c>
      <c r="AN604" s="146">
        <v>0.21461771353680259</v>
      </c>
      <c r="AO604" s="146">
        <v>372.4180172857001</v>
      </c>
      <c r="AP604" s="146">
        <v>357.68771833651323</v>
      </c>
      <c r="AQ604" t="s">
        <v>327</v>
      </c>
      <c r="AR604">
        <f t="shared" si="38"/>
        <v>14.644015877877388</v>
      </c>
      <c r="AS604">
        <f t="shared" si="39"/>
        <v>3.9965468373646496</v>
      </c>
      <c r="AT604">
        <v>0.3</v>
      </c>
      <c r="AU604">
        <v>1</v>
      </c>
      <c r="AV604">
        <v>0.4</v>
      </c>
      <c r="AW604" s="146">
        <v>3</v>
      </c>
      <c r="AX604" s="146">
        <v>0.44969791919072294</v>
      </c>
      <c r="AY604">
        <v>0.27</v>
      </c>
      <c r="AZ604" s="209">
        <v>357.68771833651323</v>
      </c>
      <c r="BA604">
        <v>0.44969791919072294</v>
      </c>
      <c r="BB604" s="249">
        <v>13.214959928174393</v>
      </c>
      <c r="BC604" s="243">
        <v>102.2001786762708</v>
      </c>
      <c r="BD604" s="209">
        <v>39514.374773282529</v>
      </c>
      <c r="BE604" s="243">
        <v>20.996286493316003</v>
      </c>
      <c r="BF604">
        <v>48797.356390435627</v>
      </c>
      <c r="BG604" t="s">
        <v>387</v>
      </c>
      <c r="BH604">
        <v>3.3869958786939906E-6</v>
      </c>
      <c r="BI604">
        <v>1595143.7477328253</v>
      </c>
      <c r="BJ604">
        <f t="shared" si="37"/>
        <v>3.0591196849682804E-2</v>
      </c>
    </row>
    <row r="605" spans="1:62" x14ac:dyDescent="0.3">
      <c r="A605">
        <v>-0.1</v>
      </c>
      <c r="B605" s="146">
        <v>300</v>
      </c>
      <c r="C605" s="146">
        <v>25</v>
      </c>
      <c r="D605" s="146">
        <v>400</v>
      </c>
      <c r="E605" s="252">
        <v>8.3301140617772056</v>
      </c>
      <c r="F605" s="146">
        <v>1.3164366586180987</v>
      </c>
      <c r="G605" s="146">
        <v>9.3675853006800764</v>
      </c>
      <c r="H605" s="146">
        <v>7.7395903670446131</v>
      </c>
      <c r="I605" s="146"/>
      <c r="J605" s="146">
        <v>0.56602147892680321</v>
      </c>
      <c r="K605" s="146">
        <v>0.27</v>
      </c>
      <c r="L605" s="146">
        <v>52.131391173445465</v>
      </c>
      <c r="M605" s="146">
        <v>22.712846776812341</v>
      </c>
      <c r="N605" s="146">
        <v>1.9412314493803215</v>
      </c>
      <c r="O605" s="146"/>
      <c r="P605" s="146"/>
      <c r="Q605" s="146"/>
      <c r="R605" s="146"/>
      <c r="S605" s="146"/>
      <c r="T605" s="146"/>
      <c r="U605" s="146"/>
      <c r="V605" s="146"/>
      <c r="W605" s="146"/>
      <c r="X605" s="146"/>
      <c r="Y605" s="146"/>
      <c r="Z605" s="146">
        <v>0.25081837116937583</v>
      </c>
      <c r="AA605" s="146"/>
      <c r="AB605" s="146"/>
      <c r="AC605" s="146"/>
      <c r="AD605" s="146"/>
      <c r="AE605" s="146"/>
      <c r="AF605" s="146"/>
      <c r="AG605" s="146"/>
      <c r="AH605" s="146"/>
      <c r="AI605" s="146"/>
      <c r="AJ605" s="146"/>
      <c r="AK605" s="146"/>
      <c r="AL605" s="146">
        <v>1313.3510885061319</v>
      </c>
      <c r="AM605" s="146">
        <v>0.14053105644231784</v>
      </c>
      <c r="AN605" s="146">
        <v>0.22799533383566423</v>
      </c>
      <c r="AO605" s="146">
        <v>363.46366427050901</v>
      </c>
      <c r="AP605" s="146">
        <v>342.73536381597211</v>
      </c>
      <c r="AQ605" t="s">
        <v>327</v>
      </c>
      <c r="AR605">
        <f t="shared" si="38"/>
        <v>14.644015877877388</v>
      </c>
      <c r="AS605">
        <f t="shared" si="39"/>
        <v>3.9965468373646496</v>
      </c>
      <c r="AT605">
        <v>0.3</v>
      </c>
      <c r="AU605">
        <v>1</v>
      </c>
      <c r="AV605">
        <v>0.4</v>
      </c>
      <c r="AW605" s="146">
        <v>3</v>
      </c>
      <c r="AX605" s="146">
        <v>0.46974657734502917</v>
      </c>
      <c r="AY605">
        <v>0.27</v>
      </c>
      <c r="AZ605" s="209">
        <v>342.73536381597211</v>
      </c>
      <c r="BA605">
        <v>0.46974657734502917</v>
      </c>
      <c r="BB605" s="249">
        <v>17.961313864188707</v>
      </c>
      <c r="BC605" s="243">
        <v>125.18413032059627</v>
      </c>
      <c r="BD605" s="209">
        <v>51090.003653159365</v>
      </c>
      <c r="BE605" s="243">
        <v>26.517033516932489</v>
      </c>
      <c r="BF605">
        <v>84976.709631274498</v>
      </c>
      <c r="BG605" t="s">
        <v>387</v>
      </c>
      <c r="BH605">
        <v>4.416384883685896E-6</v>
      </c>
      <c r="BI605">
        <v>1710900.0365315937</v>
      </c>
      <c r="BJ605">
        <f t="shared" si="37"/>
        <v>4.9667840210900191E-2</v>
      </c>
    </row>
    <row r="606" spans="1:62" x14ac:dyDescent="0.3">
      <c r="A606">
        <v>-0.1</v>
      </c>
      <c r="B606" s="146">
        <v>400</v>
      </c>
      <c r="C606" s="146">
        <v>25</v>
      </c>
      <c r="D606" s="146">
        <v>400</v>
      </c>
      <c r="E606" s="252">
        <v>10.452108075784389</v>
      </c>
      <c r="F606" s="146">
        <v>1.6132732462831219</v>
      </c>
      <c r="G606" s="146">
        <v>11.695094359824639</v>
      </c>
      <c r="H606" s="146">
        <v>9.7292670367549885</v>
      </c>
      <c r="I606" s="146"/>
      <c r="J606" s="146">
        <v>0.57598938322945681</v>
      </c>
      <c r="K606" s="146">
        <v>0.27</v>
      </c>
      <c r="L606" s="146">
        <v>65.620196375582836</v>
      </c>
      <c r="M606" s="146">
        <v>28.589712113843145</v>
      </c>
      <c r="N606" s="146">
        <v>2.247559376424908</v>
      </c>
      <c r="O606" s="146"/>
      <c r="P606" s="146"/>
      <c r="Q606" s="146"/>
      <c r="R606" s="146"/>
      <c r="S606" s="146"/>
      <c r="T606" s="146"/>
      <c r="U606" s="146"/>
      <c r="V606" s="146"/>
      <c r="W606" s="146"/>
      <c r="X606" s="146"/>
      <c r="Y606" s="146"/>
      <c r="Z606" s="146">
        <v>0.23101014371731526</v>
      </c>
      <c r="AA606" s="146"/>
      <c r="AB606" s="146"/>
      <c r="AC606" s="146"/>
      <c r="AD606" s="146"/>
      <c r="AE606" s="146"/>
      <c r="AF606" s="146"/>
      <c r="AG606" s="146"/>
      <c r="AH606" s="146"/>
      <c r="AI606" s="146"/>
      <c r="AJ606" s="146"/>
      <c r="AK606" s="146"/>
      <c r="AL606" s="146">
        <v>1453.6514191608069</v>
      </c>
      <c r="AM606" s="146">
        <v>0.13794444034800518</v>
      </c>
      <c r="AN606" s="146">
        <v>0.23690382551865419</v>
      </c>
      <c r="AO606" s="146">
        <v>355.88037443928329</v>
      </c>
      <c r="AP606" s="146">
        <v>329.87173094835231</v>
      </c>
      <c r="AQ606" t="s">
        <v>327</v>
      </c>
      <c r="AR606">
        <f t="shared" si="38"/>
        <v>14.644015877877388</v>
      </c>
      <c r="AS606">
        <f t="shared" si="39"/>
        <v>3.9965468373646496</v>
      </c>
      <c r="AT606">
        <v>0.3</v>
      </c>
      <c r="AU606">
        <v>1</v>
      </c>
      <c r="AV606">
        <v>0.4</v>
      </c>
      <c r="AW606" s="146">
        <v>3</v>
      </c>
      <c r="AX606" s="146">
        <v>0.48514886819508501</v>
      </c>
      <c r="AY606">
        <v>0.27</v>
      </c>
      <c r="AZ606" s="209">
        <v>329.87173094835231</v>
      </c>
      <c r="BA606">
        <v>0.48514886819508501</v>
      </c>
      <c r="BB606" s="249">
        <v>22.076704879562733</v>
      </c>
      <c r="BC606" s="243">
        <v>143.46447514889954</v>
      </c>
      <c r="BD606" s="209">
        <v>60825.223005951557</v>
      </c>
      <c r="BE606" s="243">
        <v>31.075389210575992</v>
      </c>
      <c r="BF606">
        <v>123033.48994937462</v>
      </c>
      <c r="BG606" t="s">
        <v>387</v>
      </c>
      <c r="BH606">
        <v>5.1822654718813413E-6</v>
      </c>
      <c r="BI606">
        <v>1808252.2300595157</v>
      </c>
      <c r="BJ606">
        <f t="shared" si="37"/>
        <v>6.8040004543683141E-2</v>
      </c>
    </row>
    <row r="607" spans="1:62" x14ac:dyDescent="0.3">
      <c r="A607">
        <v>-0.1</v>
      </c>
      <c r="B607" s="146">
        <v>600</v>
      </c>
      <c r="C607" s="146">
        <v>25</v>
      </c>
      <c r="D607" s="146">
        <v>400</v>
      </c>
      <c r="E607" s="252">
        <v>14.000545910538134</v>
      </c>
      <c r="F607" s="146">
        <v>2.1161010824140738</v>
      </c>
      <c r="G607" s="146">
        <v>15.582340547073359</v>
      </c>
      <c r="H607" s="146">
        <v>13.134276211068977</v>
      </c>
      <c r="I607" s="146"/>
      <c r="J607" s="146">
        <v>0.59382506935719126</v>
      </c>
      <c r="K607" s="146">
        <v>0.27</v>
      </c>
      <c r="L607" s="146">
        <v>88.776251194036192</v>
      </c>
      <c r="M607" s="146">
        <v>38.678449690347719</v>
      </c>
      <c r="N607" s="146">
        <v>2.6973723446062738</v>
      </c>
      <c r="O607" s="146"/>
      <c r="P607" s="146"/>
      <c r="Q607" s="146"/>
      <c r="R607" s="146"/>
      <c r="S607" s="146"/>
      <c r="T607" s="146"/>
      <c r="U607" s="146"/>
      <c r="V607" s="146"/>
      <c r="W607" s="146"/>
      <c r="X607" s="146"/>
      <c r="Y607" s="146"/>
      <c r="Z607" s="146">
        <v>0.20536893706659295</v>
      </c>
      <c r="AA607" s="146"/>
      <c r="AB607" s="146"/>
      <c r="AC607" s="146"/>
      <c r="AD607" s="146"/>
      <c r="AE607" s="146"/>
      <c r="AF607" s="146"/>
      <c r="AG607" s="146"/>
      <c r="AH607" s="146"/>
      <c r="AI607" s="146"/>
      <c r="AJ607" s="146"/>
      <c r="AK607" s="146"/>
      <c r="AL607" s="146">
        <v>1657.5196274226844</v>
      </c>
      <c r="AM607" s="146">
        <v>0.13580123448216611</v>
      </c>
      <c r="AN607" s="146">
        <v>0.24855306387268894</v>
      </c>
      <c r="AO607" s="146">
        <v>343.67180314578889</v>
      </c>
      <c r="AP607" s="146">
        <v>308.83345511954656</v>
      </c>
      <c r="AQ607" t="s">
        <v>327</v>
      </c>
      <c r="AR607">
        <f t="shared" si="38"/>
        <v>14.644015877877388</v>
      </c>
      <c r="AS607">
        <f t="shared" si="39"/>
        <v>3.9965468373646496</v>
      </c>
      <c r="AT607">
        <v>0.3</v>
      </c>
      <c r="AU607">
        <v>1</v>
      </c>
      <c r="AV607">
        <v>0.4</v>
      </c>
      <c r="AW607" s="146">
        <v>3</v>
      </c>
      <c r="AX607" s="146">
        <v>0.50920607787265282</v>
      </c>
      <c r="AY607">
        <v>0.27</v>
      </c>
      <c r="AZ607" s="209">
        <v>308.83345511954656</v>
      </c>
      <c r="BA607">
        <v>0.50920607787265282</v>
      </c>
      <c r="BB607" s="249">
        <v>28.883079930007725</v>
      </c>
      <c r="BC607" s="243">
        <v>171.28994646252238</v>
      </c>
      <c r="BD607" s="209">
        <v>76375.978372707337</v>
      </c>
      <c r="BE607" s="243">
        <v>38.207691668752986</v>
      </c>
      <c r="BF607">
        <v>199204.57685281057</v>
      </c>
      <c r="BG607" t="s">
        <v>387</v>
      </c>
      <c r="BH607">
        <v>6.2298719054921976E-6</v>
      </c>
      <c r="BI607">
        <v>1963759.7837270733</v>
      </c>
      <c r="BJ607">
        <f t="shared" si="37"/>
        <v>0.1014403994335472</v>
      </c>
    </row>
    <row r="608" spans="1:62" x14ac:dyDescent="0.3">
      <c r="A608">
        <v>-0.1</v>
      </c>
      <c r="B608" s="146">
        <v>800</v>
      </c>
      <c r="C608" s="146">
        <v>25</v>
      </c>
      <c r="D608" s="146">
        <v>400</v>
      </c>
      <c r="E608" s="252">
        <v>16.803451900245136</v>
      </c>
      <c r="F608" s="146">
        <v>2.5222690672325907</v>
      </c>
      <c r="G608" s="146">
        <v>18.651333845784698</v>
      </c>
      <c r="H608" s="146">
        <v>15.909420371322064</v>
      </c>
      <c r="I608" s="146"/>
      <c r="J608" s="146">
        <v>0.61068526559348757</v>
      </c>
      <c r="K608" s="146">
        <v>0.27</v>
      </c>
      <c r="L608" s="146">
        <v>107.72103281129628</v>
      </c>
      <c r="M608" s="146">
        <v>46.932400187494231</v>
      </c>
      <c r="N608" s="146">
        <v>2.997315146696705</v>
      </c>
      <c r="O608" s="146"/>
      <c r="P608" s="146"/>
      <c r="Q608" s="146"/>
      <c r="R608" s="146"/>
      <c r="S608" s="146"/>
      <c r="T608" s="146"/>
      <c r="U608" s="146"/>
      <c r="V608" s="146"/>
      <c r="W608" s="146"/>
      <c r="X608" s="146"/>
      <c r="Y608" s="146"/>
      <c r="Z608" s="146">
        <v>0.18839876480349924</v>
      </c>
      <c r="AA608" s="146"/>
      <c r="AB608" s="146"/>
      <c r="AC608" s="146"/>
      <c r="AD608" s="146"/>
      <c r="AE608" s="146"/>
      <c r="AF608" s="146"/>
      <c r="AG608" s="146"/>
      <c r="AH608" s="146"/>
      <c r="AI608" s="146"/>
      <c r="AJ608" s="146"/>
      <c r="AK608" s="146"/>
      <c r="AL608" s="146">
        <v>1791.2314157977073</v>
      </c>
      <c r="AM608" s="146">
        <v>0.13523263741282701</v>
      </c>
      <c r="AN608" s="146">
        <v>0.25609894985211967</v>
      </c>
      <c r="AO608" s="146">
        <v>334.38687698661778</v>
      </c>
      <c r="AP608" s="146">
        <v>292.57384244935594</v>
      </c>
      <c r="AQ608" t="s">
        <v>327</v>
      </c>
      <c r="AR608">
        <f t="shared" si="38"/>
        <v>14.644015877877388</v>
      </c>
      <c r="AS608">
        <f t="shared" si="39"/>
        <v>3.9965468373646496</v>
      </c>
      <c r="AT608">
        <v>0.3</v>
      </c>
      <c r="AU608">
        <v>1</v>
      </c>
      <c r="AV608">
        <v>0.4</v>
      </c>
      <c r="AW608" s="146">
        <v>3</v>
      </c>
      <c r="AX608" s="146">
        <v>0.52931302423481752</v>
      </c>
      <c r="AY608">
        <v>0.27</v>
      </c>
      <c r="AZ608" s="209">
        <v>292.57384244935594</v>
      </c>
      <c r="BA608">
        <v>0.52931302423481752</v>
      </c>
      <c r="BB608" s="249">
        <v>34.20095256100646</v>
      </c>
      <c r="BC608" s="243">
        <v>191.30515746262893</v>
      </c>
      <c r="BD608" s="209">
        <v>87977.207935130005</v>
      </c>
      <c r="BE608" s="243">
        <v>43.393807306677147</v>
      </c>
      <c r="BF608">
        <v>270344.25237692997</v>
      </c>
      <c r="BG608" t="s">
        <v>387</v>
      </c>
      <c r="BH608">
        <v>6.8963683899306158E-6</v>
      </c>
      <c r="BI608">
        <v>2079772.0793512999</v>
      </c>
      <c r="BJ608">
        <f t="shared" si="37"/>
        <v>0.12998744192260378</v>
      </c>
    </row>
    <row r="609" spans="1:62" x14ac:dyDescent="0.3">
      <c r="A609">
        <v>-0.1</v>
      </c>
      <c r="B609" s="146">
        <v>1000</v>
      </c>
      <c r="C609" s="146">
        <v>25</v>
      </c>
      <c r="D609" s="146">
        <v>400</v>
      </c>
      <c r="E609" s="252">
        <v>19.01632772398446</v>
      </c>
      <c r="F609" s="146">
        <v>2.8495276374545595</v>
      </c>
      <c r="G609" s="146">
        <v>21.07383814165587</v>
      </c>
      <c r="H609" s="146">
        <v>18.170448445496405</v>
      </c>
      <c r="I609" s="146"/>
      <c r="J609" s="146">
        <v>0.62750793262696647</v>
      </c>
      <c r="K609" s="146">
        <v>0.27</v>
      </c>
      <c r="L609" s="146">
        <v>123.21078004491203</v>
      </c>
      <c r="M609" s="146">
        <v>53.681045247783246</v>
      </c>
      <c r="N609" s="146">
        <v>3.1907735507047938</v>
      </c>
      <c r="O609" s="146"/>
      <c r="P609" s="146"/>
      <c r="Q609" s="146"/>
      <c r="R609" s="146"/>
      <c r="S609" s="146"/>
      <c r="T609" s="146"/>
      <c r="U609" s="146"/>
      <c r="V609" s="146"/>
      <c r="W609" s="146"/>
      <c r="X609" s="146"/>
      <c r="Y609" s="146"/>
      <c r="Z609" s="146">
        <v>0.17560235567524674</v>
      </c>
      <c r="AA609" s="146"/>
      <c r="AB609" s="146"/>
      <c r="AC609" s="146"/>
      <c r="AD609" s="146"/>
      <c r="AE609" s="146"/>
      <c r="AF609" s="146"/>
      <c r="AG609" s="146"/>
      <c r="AH609" s="146"/>
      <c r="AI609" s="146"/>
      <c r="AJ609" s="146"/>
      <c r="AK609" s="146"/>
      <c r="AL609" s="146">
        <v>1875.3420265999405</v>
      </c>
      <c r="AM609" s="146">
        <v>0.13521635775601809</v>
      </c>
      <c r="AN609" s="146">
        <v>0.26148151492191357</v>
      </c>
      <c r="AO609" s="146">
        <v>327.27467664525608</v>
      </c>
      <c r="AP609" s="146">
        <v>279.95525124754118</v>
      </c>
      <c r="AQ609" t="s">
        <v>327</v>
      </c>
      <c r="AR609">
        <f t="shared" si="38"/>
        <v>14.644015877877388</v>
      </c>
      <c r="AS609">
        <f t="shared" si="39"/>
        <v>3.9965468373646496</v>
      </c>
      <c r="AT609">
        <v>0.3</v>
      </c>
      <c r="AU609">
        <v>1</v>
      </c>
      <c r="AV609">
        <v>0.4</v>
      </c>
      <c r="AW609" s="146">
        <v>3</v>
      </c>
      <c r="AX609" s="146">
        <v>0.54793756734117005</v>
      </c>
      <c r="AY609">
        <v>0.27</v>
      </c>
      <c r="AZ609" s="209">
        <v>279.95525124754118</v>
      </c>
      <c r="BA609">
        <v>0.54793756734117005</v>
      </c>
      <c r="BB609" s="249">
        <v>38.344511674789487</v>
      </c>
      <c r="BC609" s="243">
        <v>205.98007342395232</v>
      </c>
      <c r="BD609" s="209">
        <v>96597.821019510462</v>
      </c>
      <c r="BE609" s="243">
        <v>47.118566153699767</v>
      </c>
      <c r="BF609">
        <v>333272.69913250639</v>
      </c>
      <c r="BG609" t="s">
        <v>387</v>
      </c>
      <c r="BH609">
        <v>7.3465814152543523E-6</v>
      </c>
      <c r="BI609">
        <v>2165978.2101951046</v>
      </c>
      <c r="BJ609">
        <f t="shared" si="37"/>
        <v>0.15386705995647398</v>
      </c>
    </row>
    <row r="610" spans="1:62" x14ac:dyDescent="0.3">
      <c r="A610">
        <v>-0.1</v>
      </c>
      <c r="B610" s="146">
        <v>1300</v>
      </c>
      <c r="C610" s="146">
        <v>25</v>
      </c>
      <c r="D610" s="146">
        <v>400</v>
      </c>
      <c r="E610" s="252">
        <v>21.545798141291346</v>
      </c>
      <c r="F610" s="146">
        <v>3.2423852623394351</v>
      </c>
      <c r="G610" s="146">
        <v>23.84831704072964</v>
      </c>
      <c r="H610" s="146">
        <v>20.772349965723297</v>
      </c>
      <c r="I610" s="146"/>
      <c r="J610" s="146">
        <v>0.64336098965654853</v>
      </c>
      <c r="K610" s="146">
        <v>0.27</v>
      </c>
      <c r="L610" s="146">
        <v>141.11437945921881</v>
      </c>
      <c r="M610" s="146">
        <v>61.481368644057994</v>
      </c>
      <c r="N610" s="146">
        <v>3.4001275336059287</v>
      </c>
      <c r="O610" s="146"/>
      <c r="P610" s="146"/>
      <c r="Q610" s="146"/>
      <c r="R610" s="146"/>
      <c r="S610" s="146"/>
      <c r="T610" s="146"/>
      <c r="U610" s="146"/>
      <c r="V610" s="146"/>
      <c r="W610" s="146"/>
      <c r="X610" s="146"/>
      <c r="Y610" s="146"/>
      <c r="Z610" s="146">
        <v>0.16368526137950304</v>
      </c>
      <c r="AA610" s="146"/>
      <c r="AB610" s="146"/>
      <c r="AC610" s="146"/>
      <c r="AD610" s="146"/>
      <c r="AE610" s="146"/>
      <c r="AF610" s="146"/>
      <c r="AG610" s="146"/>
      <c r="AH610" s="146"/>
      <c r="AI610" s="146"/>
      <c r="AJ610" s="146"/>
      <c r="AK610" s="146"/>
      <c r="AL610" s="146">
        <v>1965.3372985042349</v>
      </c>
      <c r="AM610" s="146">
        <v>0.13595866143518168</v>
      </c>
      <c r="AN610" s="146">
        <v>0.26562745281108097</v>
      </c>
      <c r="AO610" s="146">
        <v>318.88715600260224</v>
      </c>
      <c r="AP610" s="146">
        <v>265.27353170126992</v>
      </c>
      <c r="AQ610" t="s">
        <v>327</v>
      </c>
      <c r="AR610">
        <f t="shared" si="38"/>
        <v>14.644015877877388</v>
      </c>
      <c r="AS610">
        <f t="shared" si="39"/>
        <v>3.9965468373646496</v>
      </c>
      <c r="AT610">
        <v>0.3</v>
      </c>
      <c r="AU610">
        <v>1</v>
      </c>
      <c r="AV610">
        <v>0.4</v>
      </c>
      <c r="AW610" s="146">
        <v>3</v>
      </c>
      <c r="AX610" s="146">
        <v>0.56569464647801093</v>
      </c>
      <c r="AY610">
        <v>0.27</v>
      </c>
      <c r="AZ610" s="209">
        <v>265.27353170126992</v>
      </c>
      <c r="BA610">
        <v>0.56569464647801093</v>
      </c>
      <c r="BB610" s="249">
        <v>43.143738560489638</v>
      </c>
      <c r="BC610" s="243">
        <v>220.79568413962664</v>
      </c>
      <c r="BD610" s="209">
        <v>106031.88770056015</v>
      </c>
      <c r="BE610" s="243">
        <v>51.734823167803668</v>
      </c>
      <c r="BF610">
        <v>413152.22045738524</v>
      </c>
      <c r="BG610" t="s">
        <v>387</v>
      </c>
      <c r="BH610">
        <v>7.786992562593129E-6</v>
      </c>
      <c r="BI610">
        <v>2260318.8770056013</v>
      </c>
      <c r="BJ610">
        <f t="shared" si="37"/>
        <v>0.1827849267908235</v>
      </c>
    </row>
    <row r="611" spans="1:62" x14ac:dyDescent="0.3">
      <c r="A611">
        <v>-0.1</v>
      </c>
      <c r="B611" s="227">
        <v>1600</v>
      </c>
      <c r="C611" s="146">
        <v>25</v>
      </c>
      <c r="D611" s="146">
        <v>400</v>
      </c>
      <c r="E611" s="252">
        <v>23.397716376258746</v>
      </c>
      <c r="F611" s="146">
        <v>3.5594531307025497</v>
      </c>
      <c r="G611" s="146">
        <v>25.891038673368211</v>
      </c>
      <c r="H611" s="146">
        <v>22.588602622442256</v>
      </c>
      <c r="I611" s="146"/>
      <c r="J611" s="146">
        <v>0.64309416176440026</v>
      </c>
      <c r="K611" s="146">
        <v>0.27</v>
      </c>
      <c r="L611" s="146">
        <v>153.69140162440942</v>
      </c>
      <c r="M611" s="146">
        <v>66.960984110219869</v>
      </c>
      <c r="N611" s="146">
        <v>3.5971899725515364</v>
      </c>
      <c r="O611" s="146"/>
      <c r="P611" s="146"/>
      <c r="Q611" s="146"/>
      <c r="R611" s="146"/>
      <c r="S611" s="146"/>
      <c r="T611" s="146"/>
      <c r="U611" s="146"/>
      <c r="V611" s="146"/>
      <c r="W611" s="146"/>
      <c r="X611" s="146"/>
      <c r="Y611" s="146"/>
      <c r="Z611" s="146">
        <v>0.15924800806304201</v>
      </c>
      <c r="AA611" s="146"/>
      <c r="AB611" s="146"/>
      <c r="AC611" s="146"/>
      <c r="AD611" s="146"/>
      <c r="AE611" s="146"/>
      <c r="AF611" s="146"/>
      <c r="AG611" s="146"/>
      <c r="AH611" s="146"/>
      <c r="AI611" s="146"/>
      <c r="AJ611" s="146"/>
      <c r="AK611" s="146"/>
      <c r="AL611" s="146">
        <v>2052.4466123188076</v>
      </c>
      <c r="AM611" s="146">
        <v>0.13747818987130245</v>
      </c>
      <c r="AN611" s="146">
        <v>0.26610610608574337</v>
      </c>
      <c r="AO611" s="146">
        <v>312.07373359287124</v>
      </c>
      <c r="AP611" s="146">
        <v>253.85162604303844</v>
      </c>
      <c r="AQ611" t="s">
        <v>327</v>
      </c>
      <c r="AR611">
        <f t="shared" si="38"/>
        <v>14.644015877877388</v>
      </c>
      <c r="AS611">
        <f t="shared" si="39"/>
        <v>3.9965468373646496</v>
      </c>
      <c r="AT611">
        <v>0.3</v>
      </c>
      <c r="AU611">
        <v>1</v>
      </c>
      <c r="AV611">
        <v>0.4</v>
      </c>
      <c r="AW611" s="146">
        <v>3</v>
      </c>
      <c r="AX611" s="146">
        <v>0.5671274727395863</v>
      </c>
      <c r="AY611">
        <v>0.27</v>
      </c>
      <c r="AZ611" s="209">
        <v>253.85162604303844</v>
      </c>
      <c r="BA611">
        <v>0.5671274727395863</v>
      </c>
      <c r="BB611" s="249">
        <v>46.920190659369823</v>
      </c>
      <c r="BC611" s="243">
        <v>229.08139945972434</v>
      </c>
      <c r="BD611" s="209">
        <v>112752.19584395745</v>
      </c>
      <c r="BE611" s="243">
        <v>56.356893243552065</v>
      </c>
      <c r="BF611">
        <v>477546.64420263941</v>
      </c>
      <c r="BG611" t="s">
        <v>387</v>
      </c>
      <c r="BH611">
        <v>8.0617805688607594E-6</v>
      </c>
      <c r="BI611">
        <v>2327521.9584395746</v>
      </c>
      <c r="BJ611">
        <f t="shared" si="37"/>
        <v>0.20517385130183602</v>
      </c>
    </row>
    <row r="612" spans="1:62" s="140" customFormat="1" x14ac:dyDescent="0.3">
      <c r="A612" s="140">
        <v>-0.1</v>
      </c>
      <c r="B612" s="140">
        <v>1900</v>
      </c>
      <c r="C612" s="140">
        <v>25</v>
      </c>
      <c r="D612" s="140">
        <v>400</v>
      </c>
      <c r="E612" s="253">
        <v>24.733508329178804</v>
      </c>
      <c r="F612" s="140">
        <v>3.8060654507388816</v>
      </c>
      <c r="G612" s="140">
        <v>27.371422392394098</v>
      </c>
      <c r="H612" s="140">
        <v>23.90039739024197</v>
      </c>
      <c r="J612" s="140">
        <v>0.64462583268572893</v>
      </c>
      <c r="K612" s="140">
        <v>0.27</v>
      </c>
      <c r="L612" s="140">
        <v>162.82232642283233</v>
      </c>
      <c r="M612" s="140">
        <v>70.939187860570101</v>
      </c>
      <c r="N612" s="140">
        <v>3.7063465266856817</v>
      </c>
      <c r="Z612" s="140">
        <v>0.15507468207197697</v>
      </c>
      <c r="AL612" s="140">
        <v>2098.6680051372405</v>
      </c>
      <c r="AM612" s="140">
        <v>0.13905252698144402</v>
      </c>
      <c r="AN612" s="140">
        <v>0.26606765825006345</v>
      </c>
      <c r="AO612" s="140">
        <v>307.04053062348135</v>
      </c>
      <c r="AP612" s="140">
        <v>245.49474179440222</v>
      </c>
      <c r="AQ612" t="s">
        <v>327</v>
      </c>
      <c r="AR612">
        <f t="shared" si="38"/>
        <v>14.644015877877388</v>
      </c>
      <c r="AS612">
        <f t="shared" si="39"/>
        <v>3.9965468373646496</v>
      </c>
      <c r="AT612">
        <v>0.3</v>
      </c>
      <c r="AU612" s="140">
        <v>1</v>
      </c>
      <c r="AV612">
        <v>0.4</v>
      </c>
      <c r="AW612" s="140">
        <v>3</v>
      </c>
      <c r="AX612" s="140">
        <v>0.56944738407460471</v>
      </c>
      <c r="AY612">
        <v>0.27</v>
      </c>
      <c r="AZ612" s="209">
        <v>245.49474179440222</v>
      </c>
      <c r="BA612" s="140">
        <v>0.56944738407460471</v>
      </c>
      <c r="BB612" s="253">
        <v>49.720223007434761</v>
      </c>
      <c r="BC612" s="245">
        <v>234.15688768921532</v>
      </c>
      <c r="BD612" s="210">
        <v>117284.71243902322</v>
      </c>
      <c r="BE612" s="245">
        <v>59.795647449125958</v>
      </c>
      <c r="BF612" s="140">
        <v>526597.61585537298</v>
      </c>
      <c r="BG612" t="s">
        <v>387</v>
      </c>
      <c r="BH612" s="140">
        <v>8.2456732129472009E-6</v>
      </c>
      <c r="BI612" s="140">
        <v>2372847.1243902324</v>
      </c>
      <c r="BJ612">
        <f t="shared" si="37"/>
        <v>0.22192648251230959</v>
      </c>
    </row>
    <row r="613" spans="1:62" x14ac:dyDescent="0.3">
      <c r="A613">
        <v>-0.1</v>
      </c>
      <c r="B613" s="146">
        <v>1000</v>
      </c>
      <c r="C613" s="146">
        <v>25</v>
      </c>
      <c r="D613" s="146">
        <v>200</v>
      </c>
      <c r="E613" s="252">
        <v>17.586176303365697</v>
      </c>
      <c r="F613" s="146">
        <v>4.6148669544676197</v>
      </c>
      <c r="G613" s="146">
        <v>20.57265074957013</v>
      </c>
      <c r="H613" s="146">
        <v>18.566796257178421</v>
      </c>
      <c r="I613" s="146"/>
      <c r="J613" s="146">
        <v>0.76710895205154084</v>
      </c>
      <c r="K613" s="146">
        <v>0.27</v>
      </c>
      <c r="L613" s="146">
        <v>127.50597832015441</v>
      </c>
      <c r="M613" s="146">
        <v>55.552397193428263</v>
      </c>
      <c r="N613" s="146">
        <v>1.8471887747672184</v>
      </c>
      <c r="O613" s="146"/>
      <c r="P613" s="146"/>
      <c r="Q613" s="146"/>
      <c r="R613" s="146"/>
      <c r="S613" s="146"/>
      <c r="T613" s="146"/>
      <c r="U613" s="146"/>
      <c r="V613" s="146"/>
      <c r="W613" s="146"/>
      <c r="X613" s="146"/>
      <c r="Y613" s="146"/>
      <c r="Z613" s="146">
        <v>9.9488826676441058E-2</v>
      </c>
      <c r="AA613" s="146"/>
      <c r="AB613" s="146"/>
      <c r="AC613" s="146"/>
      <c r="AD613" s="146"/>
      <c r="AE613" s="146"/>
      <c r="AF613" s="146"/>
      <c r="AG613" s="146"/>
      <c r="AH613" s="146"/>
      <c r="AI613" s="146"/>
      <c r="AJ613" s="146"/>
      <c r="AK613" s="146"/>
      <c r="AL613" s="146">
        <v>1006.8754365212998</v>
      </c>
      <c r="AM613" s="146">
        <v>0.22432048308427383</v>
      </c>
      <c r="AN613" s="146">
        <v>0.24104431680361665</v>
      </c>
      <c r="AO613" s="146">
        <v>127.04173018236524</v>
      </c>
      <c r="AP613" s="146">
        <v>83.281049137692776</v>
      </c>
      <c r="AQ613" t="s">
        <v>327</v>
      </c>
      <c r="AR613">
        <f t="shared" si="38"/>
        <v>14.644015877877388</v>
      </c>
      <c r="AS613">
        <f t="shared" si="39"/>
        <v>3.9965468373646496</v>
      </c>
      <c r="AT613">
        <v>0.3</v>
      </c>
      <c r="AU613">
        <v>1</v>
      </c>
      <c r="AV613">
        <v>0.4</v>
      </c>
      <c r="AW613" s="146">
        <v>3</v>
      </c>
      <c r="AX613" s="146">
        <v>0.66372059331643896</v>
      </c>
      <c r="AY613">
        <v>0.27</v>
      </c>
      <c r="AZ613" s="209">
        <v>83.281049137692776</v>
      </c>
      <c r="BA613">
        <v>0.66372059331643896</v>
      </c>
      <c r="BB613" s="249">
        <v>46.55419898928114</v>
      </c>
      <c r="BC613" s="243">
        <v>217.83206249307571</v>
      </c>
      <c r="BD613" s="209">
        <v>106121.21349992508</v>
      </c>
      <c r="BE613" s="243">
        <v>53.784325095173472</v>
      </c>
      <c r="BF613">
        <v>322942.74563565094</v>
      </c>
      <c r="BG613" t="s">
        <v>388</v>
      </c>
      <c r="BH613">
        <v>6.5470683817728447E-6</v>
      </c>
      <c r="BI613">
        <v>2261212.134999251</v>
      </c>
      <c r="BJ613">
        <f t="shared" si="37"/>
        <v>0.1428184205440583</v>
      </c>
    </row>
    <row r="614" spans="1:62" x14ac:dyDescent="0.3">
      <c r="A614">
        <v>-0.1</v>
      </c>
      <c r="B614" s="146">
        <v>1000</v>
      </c>
      <c r="C614" s="146">
        <v>25</v>
      </c>
      <c r="D614" s="146">
        <v>300</v>
      </c>
      <c r="E614" s="252">
        <v>18.354849059138132</v>
      </c>
      <c r="F614" s="146">
        <v>3.4288565310798234</v>
      </c>
      <c r="G614" s="146">
        <v>20.715495724053522</v>
      </c>
      <c r="H614" s="146">
        <v>18.323839156907745</v>
      </c>
      <c r="I614" s="146"/>
      <c r="J614" s="146">
        <v>0.66876589316409529</v>
      </c>
      <c r="K614" s="146">
        <v>0.27</v>
      </c>
      <c r="L614" s="146">
        <v>124.56388029888021</v>
      </c>
      <c r="M614" s="146">
        <v>54.270570254698846</v>
      </c>
      <c r="N614" s="146">
        <v>2.6609782041076357</v>
      </c>
      <c r="O614" s="146"/>
      <c r="P614" s="146"/>
      <c r="Q614" s="146"/>
      <c r="R614" s="146"/>
      <c r="S614" s="146"/>
      <c r="T614" s="146"/>
      <c r="U614" s="146"/>
      <c r="V614" s="146"/>
      <c r="W614" s="146"/>
      <c r="X614" s="146"/>
      <c r="Y614" s="146"/>
      <c r="Z614" s="146">
        <v>0.14521946963851715</v>
      </c>
      <c r="AA614" s="146"/>
      <c r="AB614" s="146"/>
      <c r="AC614" s="146"/>
      <c r="AD614" s="146"/>
      <c r="AE614" s="146"/>
      <c r="AF614" s="146"/>
      <c r="AG614" s="146"/>
      <c r="AH614" s="146"/>
      <c r="AI614" s="146"/>
      <c r="AJ614" s="146"/>
      <c r="AK614" s="146"/>
      <c r="AL614" s="146">
        <v>1513.5674230058594</v>
      </c>
      <c r="AM614" s="146">
        <v>0.16552133614154607</v>
      </c>
      <c r="AN614" s="146">
        <v>0.25761818696197702</v>
      </c>
      <c r="AO614" s="146">
        <v>228.75173420171922</v>
      </c>
      <c r="AP614" s="146">
        <v>183.07832095204168</v>
      </c>
      <c r="AQ614" t="s">
        <v>327</v>
      </c>
      <c r="AR614">
        <f t="shared" si="38"/>
        <v>14.644015877877388</v>
      </c>
      <c r="AS614">
        <f t="shared" si="39"/>
        <v>3.9965468373646496</v>
      </c>
      <c r="AT614">
        <v>0.3</v>
      </c>
      <c r="AU614">
        <v>1</v>
      </c>
      <c r="AV614">
        <v>0.4</v>
      </c>
      <c r="AW614" s="146">
        <v>3</v>
      </c>
      <c r="AX614" s="146">
        <v>0.57627273168890392</v>
      </c>
      <c r="AY614">
        <v>0.27</v>
      </c>
      <c r="AZ614" s="209">
        <v>183.07832095204168</v>
      </c>
      <c r="BA614">
        <v>0.57627273168890392</v>
      </c>
      <c r="BB614" s="249">
        <v>41.062222017908169</v>
      </c>
      <c r="BC614" s="243">
        <v>209.64337276718888</v>
      </c>
      <c r="BD614" s="209">
        <v>99324.358150361557</v>
      </c>
      <c r="BE614" s="243">
        <v>48.84398698300209</v>
      </c>
      <c r="BF614">
        <v>325458.04827501567</v>
      </c>
      <c r="BG614" t="s">
        <v>388</v>
      </c>
      <c r="BH614">
        <v>7.0271238567506103E-6</v>
      </c>
      <c r="BI614">
        <v>2193243.5815036157</v>
      </c>
      <c r="BJ614">
        <f t="shared" si="37"/>
        <v>0.14839120060339689</v>
      </c>
    </row>
    <row r="615" spans="1:62" x14ac:dyDescent="0.3">
      <c r="A615">
        <v>-0.1</v>
      </c>
      <c r="B615" s="146">
        <v>1000</v>
      </c>
      <c r="C615" s="146">
        <v>25</v>
      </c>
      <c r="D615" s="146">
        <v>400</v>
      </c>
      <c r="E615" s="252">
        <v>19.014925340025584</v>
      </c>
      <c r="F615" s="146">
        <v>2.8485844988030946</v>
      </c>
      <c r="G615" s="146">
        <v>21.071871498669854</v>
      </c>
      <c r="H615" s="146">
        <v>18.167906592971651</v>
      </c>
      <c r="I615" s="146"/>
      <c r="J615" s="146">
        <v>0.6270077762800873</v>
      </c>
      <c r="K615" s="146">
        <v>0.27</v>
      </c>
      <c r="L615" s="146">
        <v>123.19373816072456</v>
      </c>
      <c r="M615" s="146">
        <v>53.67362036048165</v>
      </c>
      <c r="N615" s="146">
        <v>3.1954334640698079</v>
      </c>
      <c r="O615" s="146"/>
      <c r="P615" s="146"/>
      <c r="Q615" s="146"/>
      <c r="R615" s="146"/>
      <c r="S615" s="146"/>
      <c r="T615" s="146"/>
      <c r="U615" s="146"/>
      <c r="V615" s="146"/>
      <c r="W615" s="146"/>
      <c r="X615" s="146"/>
      <c r="Y615" s="146"/>
      <c r="Z615" s="146">
        <v>0.17588341550071476</v>
      </c>
      <c r="AA615" s="146"/>
      <c r="AB615" s="146"/>
      <c r="AC615" s="146"/>
      <c r="AD615" s="146"/>
      <c r="AE615" s="146"/>
      <c r="AF615" s="146"/>
      <c r="AG615" s="146"/>
      <c r="AH615" s="146"/>
      <c r="AI615" s="146"/>
      <c r="AJ615" s="146"/>
      <c r="AK615" s="146"/>
      <c r="AL615" s="146">
        <v>1877.6877605458105</v>
      </c>
      <c r="AM615" s="146">
        <v>0.13518421935056454</v>
      </c>
      <c r="AN615" s="146">
        <v>0.26150641953371606</v>
      </c>
      <c r="AO615" s="146">
        <v>327.28696536807581</v>
      </c>
      <c r="AP615" s="146">
        <v>279.97102851090602</v>
      </c>
      <c r="AQ615" t="s">
        <v>327</v>
      </c>
      <c r="AR615">
        <f t="shared" si="38"/>
        <v>14.644015877877388</v>
      </c>
      <c r="AS615">
        <f t="shared" si="39"/>
        <v>3.9965468373646496</v>
      </c>
      <c r="AT615">
        <v>0.3</v>
      </c>
      <c r="AU615">
        <v>1</v>
      </c>
      <c r="AV615">
        <v>0.4</v>
      </c>
      <c r="AW615" s="146">
        <v>3</v>
      </c>
      <c r="AX615" s="146">
        <v>0.54750848068346658</v>
      </c>
      <c r="AY615">
        <v>0.27</v>
      </c>
      <c r="AZ615" s="209">
        <v>279.97102851090602</v>
      </c>
      <c r="BA615">
        <v>0.54750848068346658</v>
      </c>
      <c r="BB615" s="249">
        <v>38.341405104562504</v>
      </c>
      <c r="BC615" s="243">
        <v>205.93433298756216</v>
      </c>
      <c r="BD615" s="209">
        <v>96584.305111181806</v>
      </c>
      <c r="BE615" s="243">
        <v>47.127230709526657</v>
      </c>
      <c r="BF615">
        <v>333211.80637041118</v>
      </c>
      <c r="BG615" t="s">
        <v>388</v>
      </c>
      <c r="BH615">
        <v>7.3466236527730301E-6</v>
      </c>
      <c r="BI615">
        <v>2165843.0511118183</v>
      </c>
      <c r="BJ615">
        <f t="shared" si="37"/>
        <v>0.1538485469662077</v>
      </c>
    </row>
    <row r="616" spans="1:62" x14ac:dyDescent="0.3">
      <c r="A616">
        <v>-0.1</v>
      </c>
      <c r="B616" s="146">
        <v>1000</v>
      </c>
      <c r="C616" s="146">
        <v>25</v>
      </c>
      <c r="D616" s="146">
        <v>500</v>
      </c>
      <c r="E616" s="252">
        <v>19.589391405303601</v>
      </c>
      <c r="F616" s="146">
        <v>2.4778569371606149</v>
      </c>
      <c r="G616" s="146">
        <v>21.453483932932787</v>
      </c>
      <c r="H616" s="146">
        <v>18.020569970347452</v>
      </c>
      <c r="I616" s="146"/>
      <c r="J616" s="146">
        <v>0.59393395157854734</v>
      </c>
      <c r="K616" s="146">
        <v>0.27</v>
      </c>
      <c r="L616" s="146">
        <v>122.0578855740297</v>
      </c>
      <c r="M616" s="146">
        <v>53.17874682685941</v>
      </c>
      <c r="N616" s="146">
        <v>3.6507998906538983</v>
      </c>
      <c r="O616" s="146"/>
      <c r="P616" s="146"/>
      <c r="Q616" s="146"/>
      <c r="R616" s="146"/>
      <c r="S616" s="146"/>
      <c r="T616" s="146"/>
      <c r="U616" s="146"/>
      <c r="V616" s="146"/>
      <c r="W616" s="146"/>
      <c r="X616" s="146"/>
      <c r="Y616" s="146"/>
      <c r="Z616" s="146">
        <v>0.20259070033085683</v>
      </c>
      <c r="AA616" s="146"/>
      <c r="AB616" s="146"/>
      <c r="AC616" s="146"/>
      <c r="AD616" s="146"/>
      <c r="AE616" s="146"/>
      <c r="AF616" s="146"/>
      <c r="AG616" s="146"/>
      <c r="AH616" s="146"/>
      <c r="AI616" s="146"/>
      <c r="AJ616" s="146"/>
      <c r="AK616" s="146"/>
      <c r="AL616" s="146">
        <v>2201.2210999157537</v>
      </c>
      <c r="AM616" s="146">
        <v>0.11549904644424253</v>
      </c>
      <c r="AN616" s="146">
        <v>0.25969119681379754</v>
      </c>
      <c r="AO616" s="146">
        <v>424.56659430258048</v>
      </c>
      <c r="AP616" s="146">
        <v>375.82115458880497</v>
      </c>
      <c r="AQ616" t="s">
        <v>327</v>
      </c>
      <c r="AR616">
        <f t="shared" si="38"/>
        <v>14.644015877877388</v>
      </c>
      <c r="AS616">
        <f t="shared" si="39"/>
        <v>3.9965468373646496</v>
      </c>
      <c r="AT616">
        <v>0.3</v>
      </c>
      <c r="AU616">
        <v>1</v>
      </c>
      <c r="AV616">
        <v>0.4</v>
      </c>
      <c r="AW616" s="146">
        <v>3</v>
      </c>
      <c r="AX616" s="146">
        <v>0.52423049021645729</v>
      </c>
      <c r="AY616">
        <v>0.27</v>
      </c>
      <c r="AZ616" s="209">
        <v>375.82115458880497</v>
      </c>
      <c r="BA616">
        <v>0.52423049021645729</v>
      </c>
      <c r="BB616" s="249">
        <v>36.707825202364674</v>
      </c>
      <c r="BC616" s="243">
        <v>202.9075361236853</v>
      </c>
      <c r="BD616" s="209">
        <v>95328.669136436903</v>
      </c>
      <c r="BE616" s="243">
        <v>47.158087495866212</v>
      </c>
      <c r="BF616">
        <v>342274.00352838822</v>
      </c>
      <c r="BG616" t="s">
        <v>388</v>
      </c>
      <c r="BH616">
        <v>7.5856906372799383E-6</v>
      </c>
      <c r="BI616">
        <v>2153286.6913643689</v>
      </c>
      <c r="BJ616">
        <f t="shared" si="37"/>
        <v>0.15895421863751735</v>
      </c>
    </row>
    <row r="617" spans="1:62" s="146" customFormat="1" x14ac:dyDescent="0.3">
      <c r="A617">
        <v>-0.1</v>
      </c>
      <c r="B617" s="146">
        <v>1000</v>
      </c>
      <c r="C617" s="146">
        <v>25</v>
      </c>
      <c r="D617" s="146">
        <v>600</v>
      </c>
      <c r="E617" s="252">
        <v>20.009295766406662</v>
      </c>
      <c r="F617" s="146">
        <v>2.1916134709305775</v>
      </c>
      <c r="G617" s="146">
        <v>21.723868135863711</v>
      </c>
      <c r="H617" s="146">
        <v>17.91741229773643</v>
      </c>
      <c r="J617" s="146">
        <v>0.5754895686178525</v>
      </c>
      <c r="K617" s="146">
        <v>0.27</v>
      </c>
      <c r="L617" s="146">
        <v>121.27999894854865</v>
      </c>
      <c r="M617" s="146">
        <v>52.839833566795058</v>
      </c>
      <c r="N617" s="146">
        <v>3.9922352774774197</v>
      </c>
      <c r="Z617" s="146">
        <v>0.22281316136157522</v>
      </c>
      <c r="AL617" s="146">
        <v>2468.8804657779051</v>
      </c>
      <c r="AM617" s="146">
        <v>0.10088504759944042</v>
      </c>
      <c r="AN617" s="146">
        <v>0.25836144306038944</v>
      </c>
      <c r="AO617" s="146">
        <v>522.55308869083194</v>
      </c>
      <c r="AP617" s="146">
        <v>472.76282703919657</v>
      </c>
      <c r="AQ617" t="s">
        <v>327</v>
      </c>
      <c r="AR617">
        <f t="shared" si="38"/>
        <v>14.644015877877388</v>
      </c>
      <c r="AS617">
        <f t="shared" si="39"/>
        <v>3.9965468373646496</v>
      </c>
      <c r="AT617">
        <v>0.3</v>
      </c>
      <c r="AU617">
        <v>1</v>
      </c>
      <c r="AV617">
        <v>0.4</v>
      </c>
      <c r="AW617" s="146">
        <v>3</v>
      </c>
      <c r="AX617" s="146">
        <v>0.51273546293954997</v>
      </c>
      <c r="AY617">
        <v>0.27</v>
      </c>
      <c r="AZ617" s="209">
        <v>472.76282703919657</v>
      </c>
      <c r="BA617" s="146">
        <v>0.51273546293954997</v>
      </c>
      <c r="BB617" s="252">
        <v>35.325022725005013</v>
      </c>
      <c r="BC617" s="244">
        <v>200.85905794187286</v>
      </c>
      <c r="BD617" s="229">
        <v>94126.28417454072</v>
      </c>
      <c r="BE617" s="244">
        <v>46.647195654831904</v>
      </c>
      <c r="BF617" s="146">
        <v>348080.33584188961</v>
      </c>
      <c r="BG617" t="s">
        <v>388</v>
      </c>
      <c r="BH617" s="146">
        <v>7.7727288929214426E-6</v>
      </c>
      <c r="BI617" s="146">
        <v>2141262.8417454073</v>
      </c>
      <c r="BJ617">
        <f t="shared" si="37"/>
        <v>0.16255843470302736</v>
      </c>
    </row>
    <row r="618" spans="1:62" s="140" customFormat="1" x14ac:dyDescent="0.3">
      <c r="A618">
        <v>-0.1</v>
      </c>
      <c r="B618" s="146">
        <v>1000</v>
      </c>
      <c r="C618" s="146">
        <v>25</v>
      </c>
      <c r="D618" s="146">
        <v>700</v>
      </c>
      <c r="E618" s="252">
        <v>20.329594676803875</v>
      </c>
      <c r="F618" s="146">
        <v>1.9659878491542195</v>
      </c>
      <c r="G618" s="146">
        <v>21.926071967381962</v>
      </c>
      <c r="H618" s="146">
        <v>17.839477988182075</v>
      </c>
      <c r="I618" s="146"/>
      <c r="J618" s="146">
        <v>0.56293052882748706</v>
      </c>
      <c r="K618" s="146">
        <v>0.27</v>
      </c>
      <c r="L618" s="146">
        <v>120.7012459112993</v>
      </c>
      <c r="M618" s="146">
        <v>52.587679753885588</v>
      </c>
      <c r="N618" s="146">
        <v>4.2692498425969365</v>
      </c>
      <c r="O618" s="146"/>
      <c r="P618" s="146"/>
      <c r="Q618" s="146"/>
      <c r="R618" s="146"/>
      <c r="S618" s="146"/>
      <c r="T618" s="146"/>
      <c r="U618" s="146"/>
      <c r="V618" s="146"/>
      <c r="W618" s="146"/>
      <c r="X618" s="146"/>
      <c r="Y618" s="146"/>
      <c r="Z618" s="146">
        <v>0.23931472913193649</v>
      </c>
      <c r="AA618" s="146"/>
      <c r="AB618" s="146"/>
      <c r="AC618" s="146"/>
      <c r="AD618" s="146"/>
      <c r="AE618" s="146"/>
      <c r="AF618" s="146"/>
      <c r="AG618" s="146"/>
      <c r="AH618" s="146"/>
      <c r="AI618" s="146"/>
      <c r="AJ618" s="146"/>
      <c r="AK618" s="146"/>
      <c r="AL618" s="146">
        <v>2705.0379615708607</v>
      </c>
      <c r="AM618" s="146">
        <v>8.9664389138140926E-2</v>
      </c>
      <c r="AN618" s="146">
        <v>0.25733773661889486</v>
      </c>
      <c r="AO618" s="146">
        <v>621.00033619666499</v>
      </c>
      <c r="AP618" s="146">
        <v>570.413040272393</v>
      </c>
      <c r="AQ618" t="s">
        <v>327</v>
      </c>
      <c r="AR618">
        <f t="shared" si="38"/>
        <v>14.644015877877388</v>
      </c>
      <c r="AS618">
        <f t="shared" si="39"/>
        <v>3.9965468373646496</v>
      </c>
      <c r="AT618">
        <v>0.3</v>
      </c>
      <c r="AU618">
        <v>1</v>
      </c>
      <c r="AV618">
        <v>0.4</v>
      </c>
      <c r="AW618" s="146">
        <v>3</v>
      </c>
      <c r="AX618" s="146">
        <v>0.50545461296772498</v>
      </c>
      <c r="AY618">
        <v>0.27</v>
      </c>
      <c r="AZ618" s="209">
        <v>570.413040272393</v>
      </c>
      <c r="BA618" s="140">
        <v>0.50545461296772498</v>
      </c>
      <c r="BB618" s="253">
        <v>34.188618995053055</v>
      </c>
      <c r="BC618" s="245">
        <v>199.34758714744399</v>
      </c>
      <c r="BD618" s="210">
        <v>93091.467467291674</v>
      </c>
      <c r="BE618" s="245">
        <v>46.045759252946745</v>
      </c>
      <c r="BF618" s="140">
        <v>352110.5102678751</v>
      </c>
      <c r="BG618" t="s">
        <v>388</v>
      </c>
      <c r="BH618" s="140">
        <v>7.9212532844928472E-6</v>
      </c>
      <c r="BI618" s="140">
        <v>2130914.6746729165</v>
      </c>
      <c r="BJ618">
        <f t="shared" si="37"/>
        <v>0.16523914094398082</v>
      </c>
    </row>
    <row r="619" spans="1:62" x14ac:dyDescent="0.3">
      <c r="A619">
        <v>-0.1</v>
      </c>
      <c r="B619" s="146">
        <v>1000</v>
      </c>
      <c r="C619" s="146">
        <v>25</v>
      </c>
      <c r="D619" s="146">
        <v>800</v>
      </c>
      <c r="E619" s="252">
        <v>20.58226533694711</v>
      </c>
      <c r="F619" s="146">
        <v>1.7841566703416083</v>
      </c>
      <c r="G619" s="146">
        <v>22.083464946194873</v>
      </c>
      <c r="H619" s="146">
        <v>17.778223950387027</v>
      </c>
      <c r="I619" s="146"/>
      <c r="J619" s="146">
        <v>0.55331733546121153</v>
      </c>
      <c r="K619" s="146">
        <v>0.27</v>
      </c>
      <c r="L619" s="146">
        <v>120.25109538074864</v>
      </c>
      <c r="M619" s="146">
        <v>52.391556078749403</v>
      </c>
      <c r="N619" s="146">
        <v>4.5040551801980975</v>
      </c>
      <c r="O619" s="146"/>
      <c r="P619" s="146"/>
      <c r="Q619" s="146"/>
      <c r="R619" s="146"/>
      <c r="S619" s="146"/>
      <c r="T619" s="146"/>
      <c r="U619" s="146"/>
      <c r="V619" s="146"/>
      <c r="W619" s="146"/>
      <c r="X619" s="146"/>
      <c r="Y619" s="146"/>
      <c r="Z619" s="146">
        <v>0.25334674558985099</v>
      </c>
      <c r="AA619" s="146"/>
      <c r="AB619" s="146"/>
      <c r="AC619" s="146"/>
      <c r="AD619" s="146"/>
      <c r="AE619" s="146"/>
      <c r="AF619" s="146"/>
      <c r="AG619" s="146"/>
      <c r="AH619" s="146"/>
      <c r="AI619" s="146"/>
      <c r="AJ619" s="146"/>
      <c r="AK619" s="146"/>
      <c r="AL619" s="146">
        <v>2920.5760762629948</v>
      </c>
      <c r="AM619" s="146">
        <v>8.0791518662882214E-2</v>
      </c>
      <c r="AN619" s="146">
        <v>0.25652348078220244</v>
      </c>
      <c r="AO619" s="146">
        <v>719.76459513886687</v>
      </c>
      <c r="AP619" s="146">
        <v>668.54848616394861</v>
      </c>
      <c r="AQ619" t="s">
        <v>327</v>
      </c>
      <c r="AR619">
        <f t="shared" si="38"/>
        <v>14.644015877877388</v>
      </c>
      <c r="AS619">
        <f t="shared" si="39"/>
        <v>3.9965468373646496</v>
      </c>
      <c r="AT619">
        <v>0.3</v>
      </c>
      <c r="AU619">
        <v>1</v>
      </c>
      <c r="AV619">
        <v>0.4</v>
      </c>
      <c r="AW619" s="146">
        <v>3</v>
      </c>
      <c r="AX619" s="146">
        <v>0.50005158602263844</v>
      </c>
      <c r="AY619">
        <v>0.27</v>
      </c>
      <c r="AZ619" s="209">
        <v>668.54848616394861</v>
      </c>
      <c r="BA619">
        <v>0.50005158602263844</v>
      </c>
      <c r="BB619" s="249">
        <v>33.250962588372346</v>
      </c>
      <c r="BC619" s="243">
        <v>198.17930215086849</v>
      </c>
      <c r="BD619" s="209">
        <v>92218.751954896536</v>
      </c>
      <c r="BE619" s="243">
        <v>45.469207479914211</v>
      </c>
      <c r="BF619">
        <v>355069.47401777375</v>
      </c>
      <c r="BG619" t="s">
        <v>388</v>
      </c>
      <c r="BH619">
        <v>8.041602022758447E-6</v>
      </c>
      <c r="BI619">
        <v>2122187.5195489656</v>
      </c>
      <c r="BJ619">
        <f t="shared" si="37"/>
        <v>0.16731295926819778</v>
      </c>
    </row>
    <row r="620" spans="1:62" x14ac:dyDescent="0.3">
      <c r="A620">
        <v>-0.1</v>
      </c>
      <c r="B620" s="146">
        <v>1000</v>
      </c>
      <c r="C620" s="146">
        <v>25</v>
      </c>
      <c r="D620" s="146">
        <v>900</v>
      </c>
      <c r="E620" s="252">
        <v>20.787002874257901</v>
      </c>
      <c r="F620" s="146">
        <v>1.6346205131294909</v>
      </c>
      <c r="G620" s="146">
        <v>22.209797436427394</v>
      </c>
      <c r="H620" s="146">
        <v>17.728715237228084</v>
      </c>
      <c r="I620" s="146"/>
      <c r="J620" s="146">
        <v>0.54539110818733305</v>
      </c>
      <c r="K620" s="146">
        <v>0.27</v>
      </c>
      <c r="L620" s="146">
        <v>119.88997830070127</v>
      </c>
      <c r="M620" s="146">
        <v>52.234222911093909</v>
      </c>
      <c r="N620" s="146">
        <v>4.7088888013058643</v>
      </c>
      <c r="O620" s="146"/>
      <c r="P620" s="146"/>
      <c r="Q620" s="146"/>
      <c r="R620" s="146"/>
      <c r="S620" s="146"/>
      <c r="T620" s="146"/>
      <c r="U620" s="146"/>
      <c r="V620" s="146"/>
      <c r="W620" s="146"/>
      <c r="X620" s="146"/>
      <c r="Y620" s="146"/>
      <c r="Z620" s="146">
        <v>0.26560801153925623</v>
      </c>
      <c r="AA620" s="146"/>
      <c r="AB620" s="146"/>
      <c r="AC620" s="146"/>
      <c r="AD620" s="146"/>
      <c r="AE620" s="146"/>
      <c r="AF620" s="146"/>
      <c r="AG620" s="146"/>
      <c r="AH620" s="146"/>
      <c r="AI620" s="146"/>
      <c r="AJ620" s="146"/>
      <c r="AK620" s="146"/>
      <c r="AL620" s="146">
        <v>3121.4748796504114</v>
      </c>
      <c r="AM620" s="146">
        <v>7.3599073463338674E-2</v>
      </c>
      <c r="AN620" s="146">
        <v>0.25585897438512845</v>
      </c>
      <c r="AO620" s="146">
        <v>818.75601422927411</v>
      </c>
      <c r="AP620" s="146">
        <v>767.03047899747901</v>
      </c>
      <c r="AQ620" t="s">
        <v>327</v>
      </c>
      <c r="AR620">
        <f t="shared" si="38"/>
        <v>14.644015877877388</v>
      </c>
      <c r="AS620">
        <f t="shared" si="39"/>
        <v>3.9965468373646496</v>
      </c>
      <c r="AT620">
        <v>0.3</v>
      </c>
      <c r="AU620">
        <v>1</v>
      </c>
      <c r="AV620">
        <v>0.4</v>
      </c>
      <c r="AW620" s="146">
        <v>3</v>
      </c>
      <c r="AX620" s="146">
        <v>0.4956031326319208</v>
      </c>
      <c r="AY620">
        <v>0.27</v>
      </c>
      <c r="AZ620" s="209">
        <v>767.03047899747901</v>
      </c>
      <c r="BA620">
        <v>0.4956031326319208</v>
      </c>
      <c r="BB620" s="249">
        <v>32.468239787704306</v>
      </c>
      <c r="BC620" s="243">
        <v>197.24666910029831</v>
      </c>
      <c r="BD620" s="209">
        <v>91481.992148713587</v>
      </c>
      <c r="BE620" s="243">
        <v>44.947053141600477</v>
      </c>
      <c r="BF620">
        <v>357335.66157858993</v>
      </c>
      <c r="BG620" t="s">
        <v>388</v>
      </c>
      <c r="BH620">
        <v>8.1409985898285078E-6</v>
      </c>
      <c r="BI620">
        <v>2114819.9214871358</v>
      </c>
      <c r="BJ620">
        <f t="shared" si="37"/>
        <v>0.1689674179574176</v>
      </c>
    </row>
    <row r="621" spans="1:62" x14ac:dyDescent="0.3">
      <c r="A621">
        <v>-0.1</v>
      </c>
      <c r="B621" s="146">
        <v>1000</v>
      </c>
      <c r="C621" s="146">
        <v>25</v>
      </c>
      <c r="D621" s="146">
        <v>1000</v>
      </c>
      <c r="E621" s="252">
        <v>20.956322171642952</v>
      </c>
      <c r="F621" s="146">
        <v>1.5094213578959295</v>
      </c>
      <c r="G621" s="146">
        <v>22.313441032480004</v>
      </c>
      <c r="H621" s="146">
        <v>17.687714003937952</v>
      </c>
      <c r="I621" s="146"/>
      <c r="J621" s="146">
        <v>0.53851853687364371</v>
      </c>
      <c r="K621" s="146">
        <v>0.27</v>
      </c>
      <c r="L621" s="146">
        <v>119.59265186692085</v>
      </c>
      <c r="M621" s="146">
        <v>52.104682348658464</v>
      </c>
      <c r="N621" s="146">
        <v>4.8915186449029147</v>
      </c>
      <c r="O621" s="146"/>
      <c r="P621" s="146"/>
      <c r="Q621" s="146"/>
      <c r="R621" s="146"/>
      <c r="S621" s="146"/>
      <c r="T621" s="146"/>
      <c r="U621" s="146"/>
      <c r="V621" s="146"/>
      <c r="W621" s="146"/>
      <c r="X621" s="146"/>
      <c r="Y621" s="146"/>
      <c r="Z621" s="146">
        <v>0.27654894486726089</v>
      </c>
      <c r="AA621" s="146"/>
      <c r="AB621" s="146"/>
      <c r="AC621" s="146"/>
      <c r="AD621" s="146"/>
      <c r="AE621" s="146"/>
      <c r="AF621" s="146"/>
      <c r="AG621" s="146"/>
      <c r="AH621" s="146"/>
      <c r="AI621" s="146"/>
      <c r="AJ621" s="146"/>
      <c r="AK621" s="146"/>
      <c r="AL621" s="146">
        <v>3311.530094851154</v>
      </c>
      <c r="AM621" s="146">
        <v>6.7646283497860227E-2</v>
      </c>
      <c r="AN621" s="146">
        <v>0.25530966062394395</v>
      </c>
      <c r="AO621" s="146">
        <v>917.91802111824359</v>
      </c>
      <c r="AP621" s="146">
        <v>865.77077239969776</v>
      </c>
      <c r="AQ621" t="s">
        <v>327</v>
      </c>
      <c r="AR621">
        <f t="shared" si="38"/>
        <v>14.644015877877388</v>
      </c>
      <c r="AS621">
        <f t="shared" si="39"/>
        <v>3.9965468373646496</v>
      </c>
      <c r="AT621">
        <v>0.3</v>
      </c>
      <c r="AU621">
        <v>1</v>
      </c>
      <c r="AV621">
        <v>0.4</v>
      </c>
      <c r="AW621" s="146">
        <v>3</v>
      </c>
      <c r="AX621" s="146">
        <v>0.49168028416739268</v>
      </c>
      <c r="AY621">
        <v>0.27</v>
      </c>
      <c r="AZ621" s="209">
        <v>865.77077239969776</v>
      </c>
      <c r="BA621">
        <v>0.49168028416739268</v>
      </c>
      <c r="BB621" s="249">
        <v>31.805984351111725</v>
      </c>
      <c r="BC621" s="243">
        <v>196.48181752460536</v>
      </c>
      <c r="BD621" s="209">
        <v>90853.739865848096</v>
      </c>
      <c r="BE621" s="243">
        <v>44.481455231029315</v>
      </c>
      <c r="BF621">
        <v>359120.29822194861</v>
      </c>
      <c r="BG621" t="s">
        <v>388</v>
      </c>
      <c r="BH621">
        <v>8.2244799128420996E-6</v>
      </c>
      <c r="BI621">
        <v>2108537.398658481</v>
      </c>
      <c r="BJ621">
        <f t="shared" si="37"/>
        <v>0.17031725330100023</v>
      </c>
    </row>
    <row r="622" spans="1:62" s="140" customFormat="1" x14ac:dyDescent="0.3">
      <c r="A622" s="140">
        <v>-0.1</v>
      </c>
      <c r="B622" s="140">
        <v>1000</v>
      </c>
      <c r="C622" s="140">
        <v>25</v>
      </c>
      <c r="D622" s="140">
        <v>1100</v>
      </c>
      <c r="E622" s="253">
        <v>21.099690017903654</v>
      </c>
      <c r="F622" s="140">
        <v>1.4031352125257965</v>
      </c>
      <c r="G622" s="140">
        <v>22.401064872080727</v>
      </c>
      <c r="H622" s="140">
        <v>17.653606519843628</v>
      </c>
      <c r="J622" s="140">
        <v>0.53241672128243334</v>
      </c>
      <c r="K622" s="140">
        <v>0.27</v>
      </c>
      <c r="L622" s="140">
        <v>119.34620632785402</v>
      </c>
      <c r="M622" s="140">
        <v>51.997309810890748</v>
      </c>
      <c r="N622" s="140">
        <v>5.0558573481250768</v>
      </c>
      <c r="Z622" s="140">
        <v>0.28639232116349789</v>
      </c>
      <c r="AL622" s="140">
        <v>3492.626430538035</v>
      </c>
      <c r="AM622" s="140">
        <v>6.2636987149417872E-2</v>
      </c>
      <c r="AN622" s="140">
        <v>0.25483231053535954</v>
      </c>
      <c r="AO622" s="140">
        <v>1017.2016689187616</v>
      </c>
      <c r="AP622" s="140">
        <v>964.69775647549613</v>
      </c>
      <c r="AQ622" t="s">
        <v>327</v>
      </c>
      <c r="AR622">
        <f t="shared" si="38"/>
        <v>14.644015877877388</v>
      </c>
      <c r="AS622">
        <f t="shared" si="39"/>
        <v>3.9965468373646496</v>
      </c>
      <c r="AT622">
        <v>0.3</v>
      </c>
      <c r="AU622" s="140">
        <v>1</v>
      </c>
      <c r="AV622">
        <v>0.4</v>
      </c>
      <c r="AW622" s="140">
        <v>3</v>
      </c>
      <c r="AX622" s="140">
        <v>0.48812239556711712</v>
      </c>
      <c r="AY622">
        <v>0.27</v>
      </c>
      <c r="AZ622" s="209">
        <v>964.69775647549613</v>
      </c>
      <c r="BA622" s="140">
        <v>0.48812239556711712</v>
      </c>
      <c r="BB622" s="253">
        <v>31.240251479175722</v>
      </c>
      <c r="BC622" s="245">
        <v>195.84991459376775</v>
      </c>
      <c r="BD622" s="210">
        <v>90319.476104208399</v>
      </c>
      <c r="BE622" s="245">
        <v>44.072984571902651</v>
      </c>
      <c r="BF622" s="140">
        <v>360597.04745573865</v>
      </c>
      <c r="BG622" t="s">
        <v>388</v>
      </c>
      <c r="BH622" s="140">
        <v>8.295608810599769E-6</v>
      </c>
      <c r="BI622" s="140">
        <v>2103194.7610420841</v>
      </c>
      <c r="BJ622">
        <f t="shared" si="37"/>
        <v>0.17145204720701721</v>
      </c>
    </row>
    <row r="623" spans="1:62" x14ac:dyDescent="0.3">
      <c r="A623">
        <v>-0.1</v>
      </c>
      <c r="B623" s="146">
        <v>1000</v>
      </c>
      <c r="C623" s="146">
        <v>25</v>
      </c>
      <c r="D623" s="146">
        <v>400</v>
      </c>
      <c r="E623" s="252">
        <v>19.013363172196449</v>
      </c>
      <c r="F623" s="146">
        <v>2.8475521652238633</v>
      </c>
      <c r="G623" s="146">
        <v>21.069690965088046</v>
      </c>
      <c r="H623" s="146">
        <v>18.165122198986758</v>
      </c>
      <c r="I623" s="146"/>
      <c r="J623" s="146">
        <v>0.62646304844387524</v>
      </c>
      <c r="K623" s="146">
        <v>0.27</v>
      </c>
      <c r="L623" s="146">
        <v>123.17506966417305</v>
      </c>
      <c r="M623" s="146">
        <v>53.665486783145937</v>
      </c>
      <c r="N623" s="146">
        <v>3.2005225449983215</v>
      </c>
      <c r="O623" s="146"/>
      <c r="P623" s="146"/>
      <c r="Q623" s="146"/>
      <c r="R623" s="146"/>
      <c r="S623" s="146"/>
      <c r="T623" s="146"/>
      <c r="U623" s="146"/>
      <c r="V623" s="146"/>
      <c r="W623" s="146"/>
      <c r="X623" s="146"/>
      <c r="Y623" s="146"/>
      <c r="Z623" s="146">
        <v>0.1761905320503071</v>
      </c>
      <c r="AA623" s="146"/>
      <c r="AB623" s="146"/>
      <c r="AC623" s="146"/>
      <c r="AD623" s="146"/>
      <c r="AE623" s="146"/>
      <c r="AF623" s="146"/>
      <c r="AG623" s="146"/>
      <c r="AH623" s="146"/>
      <c r="AI623" s="146"/>
      <c r="AJ623" s="146"/>
      <c r="AK623" s="146"/>
      <c r="AL623" s="146">
        <v>1880.2497732360655</v>
      </c>
      <c r="AM623" s="146">
        <v>0.13514921362359736</v>
      </c>
      <c r="AN623" s="146">
        <v>0.26153404411879888</v>
      </c>
      <c r="AO623" s="146">
        <v>327.30061879225235</v>
      </c>
      <c r="AP623" s="146">
        <v>279.98850073690318</v>
      </c>
      <c r="AQ623" t="s">
        <v>327</v>
      </c>
      <c r="AR623">
        <f t="shared" si="38"/>
        <v>14.644015877877388</v>
      </c>
      <c r="AS623">
        <f t="shared" si="39"/>
        <v>3.9965468373646496</v>
      </c>
      <c r="AT623">
        <v>0.3</v>
      </c>
      <c r="AU623">
        <v>1</v>
      </c>
      <c r="AV623">
        <v>0.4</v>
      </c>
      <c r="AW623" s="146">
        <v>3</v>
      </c>
      <c r="AX623" s="146">
        <v>0.54704147241345291</v>
      </c>
      <c r="AY623">
        <v>0.27</v>
      </c>
      <c r="AZ623" s="209">
        <v>279.98850073690318</v>
      </c>
      <c r="BA623">
        <v>0.54704147241345291</v>
      </c>
      <c r="BB623" s="249">
        <v>38.337950808443551</v>
      </c>
      <c r="BC623" s="243">
        <v>205.88423794222311</v>
      </c>
      <c r="BD623" s="209">
        <v>96569.319709875126</v>
      </c>
      <c r="BE623" s="243">
        <v>47.136446169642525</v>
      </c>
      <c r="BF623">
        <v>333144.14519470406</v>
      </c>
      <c r="BG623" t="s">
        <v>389</v>
      </c>
      <c r="BH623">
        <v>7.3466680384770369E-6</v>
      </c>
      <c r="BI623">
        <v>2165693.1970987516</v>
      </c>
      <c r="BJ623">
        <f t="shared" si="37"/>
        <v>0.15382795016440795</v>
      </c>
    </row>
    <row r="624" spans="1:62" x14ac:dyDescent="0.3">
      <c r="A624">
        <v>-0.1</v>
      </c>
      <c r="B624" s="146">
        <v>1000</v>
      </c>
      <c r="C624" s="146">
        <v>25</v>
      </c>
      <c r="D624" s="146">
        <v>400</v>
      </c>
      <c r="E624" s="252">
        <v>18.355320357315108</v>
      </c>
      <c r="F624" s="146">
        <v>2.7355547767733945</v>
      </c>
      <c r="G624" s="146">
        <v>20.323347270012373</v>
      </c>
      <c r="H624" s="146">
        <v>17.559381574616896</v>
      </c>
      <c r="I624" s="146"/>
      <c r="J624" s="146">
        <v>0.63208643330937309</v>
      </c>
      <c r="K624" s="146">
        <v>0.27</v>
      </c>
      <c r="L624" s="146">
        <v>119.11011651241137</v>
      </c>
      <c r="M624" s="146">
        <v>51.894449102917818</v>
      </c>
      <c r="N624" s="146">
        <v>3.0908815587223728</v>
      </c>
      <c r="O624" s="146"/>
      <c r="P624" s="146"/>
      <c r="Q624" s="146"/>
      <c r="R624" s="146"/>
      <c r="S624" s="146"/>
      <c r="T624" s="146"/>
      <c r="U624" s="146"/>
      <c r="V624" s="146"/>
      <c r="W624" s="146"/>
      <c r="X624" s="146"/>
      <c r="Y624" s="146"/>
      <c r="Z624" s="146">
        <v>0.17602451120433657</v>
      </c>
      <c r="AA624" s="146"/>
      <c r="AB624" s="146"/>
      <c r="AC624" s="146"/>
      <c r="AD624" s="146"/>
      <c r="AE624" s="146"/>
      <c r="AF624" s="146"/>
      <c r="AG624" s="146"/>
      <c r="AH624" s="146"/>
      <c r="AI624" s="146"/>
      <c r="AJ624" s="146"/>
      <c r="AK624" s="146"/>
      <c r="AL624" s="146">
        <v>1829.9809513196808</v>
      </c>
      <c r="AM624" s="146">
        <v>0.13460158606893347</v>
      </c>
      <c r="AN624" s="146">
        <v>0.26302581651030094</v>
      </c>
      <c r="AO624" s="146">
        <v>330.21475762020395</v>
      </c>
      <c r="AP624" s="146">
        <v>284.54017195849372</v>
      </c>
      <c r="AQ624" t="s">
        <v>327</v>
      </c>
      <c r="AR624">
        <f t="shared" si="38"/>
        <v>14.644015877877388</v>
      </c>
      <c r="AS624">
        <f t="shared" si="39"/>
        <v>3.9965468373646496</v>
      </c>
      <c r="AT624">
        <v>0.3</v>
      </c>
      <c r="AU624">
        <v>1</v>
      </c>
      <c r="AV624">
        <v>0.4</v>
      </c>
      <c r="AW624" s="146">
        <v>2.5</v>
      </c>
      <c r="AX624" s="146">
        <v>0.55195833299016184</v>
      </c>
      <c r="AY624">
        <v>0.27</v>
      </c>
      <c r="AZ624" s="209">
        <v>284.54017195849372</v>
      </c>
      <c r="BA624">
        <v>0.55195833299016184</v>
      </c>
      <c r="BB624" s="249">
        <v>36.917618383025498</v>
      </c>
      <c r="BC624" s="243">
        <v>195.24630531278265</v>
      </c>
      <c r="BD624" s="209">
        <v>90583.536158644827</v>
      </c>
      <c r="BE624" s="243">
        <v>44.853504411444781</v>
      </c>
      <c r="BF624">
        <v>378894.43208701519</v>
      </c>
      <c r="BG624" t="s">
        <v>389</v>
      </c>
      <c r="BH624">
        <v>7.1160884543502475E-6</v>
      </c>
      <c r="BI624">
        <v>2105835.3615864483</v>
      </c>
      <c r="BJ624">
        <f t="shared" si="37"/>
        <v>0.17992595195171002</v>
      </c>
    </row>
    <row r="625" spans="1:62" x14ac:dyDescent="0.3">
      <c r="A625">
        <v>-0.1</v>
      </c>
      <c r="B625" s="146">
        <v>1000</v>
      </c>
      <c r="C625" s="146">
        <v>25</v>
      </c>
      <c r="D625" s="146">
        <v>400</v>
      </c>
      <c r="E625" s="252">
        <v>16.049701093303483</v>
      </c>
      <c r="F625" s="146">
        <v>2.3678579100729191</v>
      </c>
      <c r="G625" s="146">
        <v>17.730320244987162</v>
      </c>
      <c r="H625" s="146">
        <v>15.354665208195792</v>
      </c>
      <c r="I625" s="146"/>
      <c r="J625" s="146">
        <v>0.6387280630259522</v>
      </c>
      <c r="K625" s="146">
        <v>0.27</v>
      </c>
      <c r="L625" s="146">
        <v>104.28489799167015</v>
      </c>
      <c r="M625" s="146">
        <v>45.435329000520191</v>
      </c>
      <c r="N625" s="146">
        <v>2.7767271173900578</v>
      </c>
      <c r="O625" s="146"/>
      <c r="P625" s="146"/>
      <c r="Q625" s="146"/>
      <c r="R625" s="146"/>
      <c r="S625" s="146"/>
      <c r="T625" s="146"/>
      <c r="U625" s="146"/>
      <c r="V625" s="146"/>
      <c r="W625" s="146"/>
      <c r="X625" s="146"/>
      <c r="Y625" s="146"/>
      <c r="Z625" s="146">
        <v>0.18083931363791225</v>
      </c>
      <c r="AA625" s="146"/>
      <c r="AB625" s="146"/>
      <c r="AC625" s="146"/>
      <c r="AD625" s="146"/>
      <c r="AE625" s="146"/>
      <c r="AF625" s="146"/>
      <c r="AG625" s="146"/>
      <c r="AH625" s="146"/>
      <c r="AI625" s="146"/>
      <c r="AJ625" s="146"/>
      <c r="AK625" s="146"/>
      <c r="AL625" s="146">
        <v>1688.0537719645952</v>
      </c>
      <c r="AM625" s="146">
        <v>0.13354851335764092</v>
      </c>
      <c r="AN625" s="146">
        <v>0.26584505683765136</v>
      </c>
      <c r="AO625" s="146">
        <v>339.6276113454129</v>
      </c>
      <c r="AP625" s="146">
        <v>299.69021326956624</v>
      </c>
      <c r="AQ625" t="s">
        <v>327</v>
      </c>
      <c r="AR625">
        <f t="shared" si="38"/>
        <v>14.644015877877388</v>
      </c>
      <c r="AS625">
        <f t="shared" si="39"/>
        <v>3.9965468373646496</v>
      </c>
      <c r="AT625">
        <v>0.3</v>
      </c>
      <c r="AU625">
        <v>1</v>
      </c>
      <c r="AV625">
        <v>0.4</v>
      </c>
      <c r="AW625" s="146">
        <v>1.5</v>
      </c>
      <c r="AX625" s="146">
        <v>0.5568294906932959</v>
      </c>
      <c r="AY625">
        <v>0.27</v>
      </c>
      <c r="AZ625" s="209">
        <v>299.69021326956624</v>
      </c>
      <c r="BA625">
        <v>0.5568294906932959</v>
      </c>
      <c r="BB625" s="249">
        <v>32.212430539681868</v>
      </c>
      <c r="BC625" s="243">
        <v>160.37190361073462</v>
      </c>
      <c r="BD625" s="209">
        <v>72049.468229817765</v>
      </c>
      <c r="BE625" s="243">
        <v>38.304175048152473</v>
      </c>
      <c r="BF625">
        <v>501427.58933783229</v>
      </c>
      <c r="BG625" t="s">
        <v>389</v>
      </c>
      <c r="BH625">
        <v>6.3302267280976683E-6</v>
      </c>
      <c r="BI625">
        <v>1920494.6822981776</v>
      </c>
      <c r="BJ625">
        <f t="shared" si="37"/>
        <v>0.26109293296131098</v>
      </c>
    </row>
    <row r="626" spans="1:62" x14ac:dyDescent="0.3">
      <c r="A626">
        <v>-0.1</v>
      </c>
      <c r="B626" s="146">
        <v>1000</v>
      </c>
      <c r="C626" s="146">
        <v>25</v>
      </c>
      <c r="D626" s="146">
        <v>400</v>
      </c>
      <c r="E626" s="252">
        <v>13.935118615017801</v>
      </c>
      <c r="F626" s="146">
        <v>2.0556975631964547</v>
      </c>
      <c r="G626" s="146">
        <v>15.375981401088062</v>
      </c>
      <c r="H626" s="146">
        <v>13.283854052012725</v>
      </c>
      <c r="I626" s="146"/>
      <c r="J626" s="146">
        <v>0.63631694506290282</v>
      </c>
      <c r="K626" s="146">
        <v>0.27</v>
      </c>
      <c r="L626" s="146">
        <v>90.318758025393407</v>
      </c>
      <c r="M626" s="146">
        <v>39.35049623512991</v>
      </c>
      <c r="N626" s="146">
        <v>2.5094682275407472</v>
      </c>
      <c r="O626" s="146"/>
      <c r="P626" s="146"/>
      <c r="Q626" s="146"/>
      <c r="R626" s="146"/>
      <c r="S626" s="146"/>
      <c r="T626" s="146"/>
      <c r="U626" s="146"/>
      <c r="V626" s="146"/>
      <c r="W626" s="146"/>
      <c r="X626" s="146"/>
      <c r="Y626" s="146"/>
      <c r="Z626" s="146">
        <v>0.188911156183662</v>
      </c>
      <c r="AA626" s="146"/>
      <c r="AB626" s="146"/>
      <c r="AC626" s="146"/>
      <c r="AD626" s="146"/>
      <c r="AE626" s="146"/>
      <c r="AF626" s="146"/>
      <c r="AG626" s="146"/>
      <c r="AH626" s="146"/>
      <c r="AI626" s="146"/>
      <c r="AJ626" s="146"/>
      <c r="AK626" s="146"/>
      <c r="AL626" s="146">
        <v>1567.693302793667</v>
      </c>
      <c r="AM626" s="146">
        <v>0.13369537264470063</v>
      </c>
      <c r="AN626" s="146">
        <v>0.26611411986320943</v>
      </c>
      <c r="AO626" s="146">
        <v>347.63480185801166</v>
      </c>
      <c r="AP626" s="146">
        <v>312.9591890232935</v>
      </c>
      <c r="AQ626" t="s">
        <v>327</v>
      </c>
      <c r="AR626">
        <f t="shared" si="38"/>
        <v>14.644015877877388</v>
      </c>
      <c r="AS626">
        <f t="shared" si="39"/>
        <v>3.9965468373646496</v>
      </c>
      <c r="AT626">
        <v>0.3</v>
      </c>
      <c r="AU626">
        <v>1</v>
      </c>
      <c r="AV626">
        <v>0.4</v>
      </c>
      <c r="AW626" s="146">
        <v>1</v>
      </c>
      <c r="AX626" s="146">
        <v>0.55269696366628451</v>
      </c>
      <c r="AY626">
        <v>0.27</v>
      </c>
      <c r="AZ626" s="209">
        <v>312.9591890232935</v>
      </c>
      <c r="BA626">
        <v>0.55269696366628451</v>
      </c>
      <c r="BB626" s="249">
        <v>28.103277715280569</v>
      </c>
      <c r="BC626" s="243">
        <v>131.92014687816939</v>
      </c>
      <c r="BD626" s="209">
        <v>57721.50381133605</v>
      </c>
      <c r="BE626" s="243">
        <v>33.285454910644347</v>
      </c>
      <c r="BF626">
        <v>577651.20434195548</v>
      </c>
      <c r="BG626" t="s">
        <v>389</v>
      </c>
      <c r="BH626">
        <v>5.6031100903391822E-6</v>
      </c>
      <c r="BI626">
        <v>1777215.0381133605</v>
      </c>
      <c r="BJ626">
        <f t="shared" si="37"/>
        <v>0.32503168831790502</v>
      </c>
    </row>
    <row r="627" spans="1:62" x14ac:dyDescent="0.3">
      <c r="A627">
        <v>-0.1</v>
      </c>
      <c r="B627" s="146">
        <v>1000</v>
      </c>
      <c r="C627" s="146">
        <v>25</v>
      </c>
      <c r="D627" s="146">
        <v>400</v>
      </c>
      <c r="E627" s="252">
        <v>12.718097534845567</v>
      </c>
      <c r="F627" s="146">
        <v>1.8781068820547917</v>
      </c>
      <c r="G627" s="146">
        <v>14.026098838883872</v>
      </c>
      <c r="H627" s="146">
        <v>12.10560586186344</v>
      </c>
      <c r="I627" s="146"/>
      <c r="J627" s="146">
        <v>0.63377343152664278</v>
      </c>
      <c r="K627" s="146">
        <v>0.27</v>
      </c>
      <c r="L627" s="146">
        <v>82.355310650934612</v>
      </c>
      <c r="M627" s="146">
        <v>35.880944474473587</v>
      </c>
      <c r="N627" s="146">
        <v>2.3616142937044859</v>
      </c>
      <c r="O627" s="146"/>
      <c r="P627" s="146"/>
      <c r="Q627" s="146"/>
      <c r="R627" s="146"/>
      <c r="S627" s="146"/>
      <c r="T627" s="146"/>
      <c r="U627" s="146"/>
      <c r="V627" s="146"/>
      <c r="W627" s="146"/>
      <c r="X627" s="146"/>
      <c r="Y627" s="146"/>
      <c r="Z627" s="146">
        <v>0.19508435353445069</v>
      </c>
      <c r="AA627" s="146"/>
      <c r="AB627" s="146"/>
      <c r="AC627" s="146"/>
      <c r="AD627" s="146"/>
      <c r="AE627" s="146"/>
      <c r="AF627" s="146"/>
      <c r="AG627" s="146"/>
      <c r="AH627" s="146"/>
      <c r="AI627" s="146"/>
      <c r="AJ627" s="146"/>
      <c r="AK627" s="146"/>
      <c r="AL627" s="146">
        <v>1501.4311453208907</v>
      </c>
      <c r="AM627" s="146">
        <v>0.13390087319563207</v>
      </c>
      <c r="AN627" s="146">
        <v>0.26646603044953504</v>
      </c>
      <c r="AO627" s="146">
        <v>352.27122379017766</v>
      </c>
      <c r="AP627" s="146">
        <v>320.62399846864878</v>
      </c>
      <c r="AQ627" t="s">
        <v>327</v>
      </c>
      <c r="AR627">
        <f t="shared" si="38"/>
        <v>14.644015877877388</v>
      </c>
      <c r="AS627">
        <f t="shared" si="39"/>
        <v>3.9965468373646496</v>
      </c>
      <c r="AT627">
        <v>0.3</v>
      </c>
      <c r="AU627">
        <v>1</v>
      </c>
      <c r="AV627">
        <v>0.4</v>
      </c>
      <c r="AW627" s="146">
        <v>0.8</v>
      </c>
      <c r="AX627" s="146">
        <v>0.5491729259698771</v>
      </c>
      <c r="AY627">
        <v>0.27</v>
      </c>
      <c r="AZ627" s="209">
        <v>320.62399846864878</v>
      </c>
      <c r="BA627">
        <v>0.5491729259698771</v>
      </c>
      <c r="BB627" s="249">
        <v>25.746696205355331</v>
      </c>
      <c r="BC627" s="243">
        <v>117.16490597816188</v>
      </c>
      <c r="BD627" s="209">
        <v>50404.270703459784</v>
      </c>
      <c r="BE627" s="243">
        <v>30.414239226202088</v>
      </c>
      <c r="BF627">
        <v>604685.52300580393</v>
      </c>
      <c r="BG627" t="s">
        <v>389</v>
      </c>
      <c r="BH627">
        <v>5.1864767605086354E-6</v>
      </c>
      <c r="BI627">
        <v>1704042.7070345979</v>
      </c>
      <c r="BJ627">
        <f t="shared" si="37"/>
        <v>0.35485350250293157</v>
      </c>
    </row>
    <row r="628" spans="1:62" x14ac:dyDescent="0.3">
      <c r="A628">
        <v>-0.1</v>
      </c>
      <c r="B628" s="146">
        <v>1000</v>
      </c>
      <c r="C628" s="146">
        <v>25</v>
      </c>
      <c r="D628" s="146">
        <v>400</v>
      </c>
      <c r="E628" s="252">
        <v>11.245138539281902</v>
      </c>
      <c r="F628" s="146">
        <v>1.674213649761001</v>
      </c>
      <c r="G628" s="146">
        <v>12.401048909943579</v>
      </c>
      <c r="H628" s="146">
        <v>10.684825238955195</v>
      </c>
      <c r="I628" s="146"/>
      <c r="J628" s="146">
        <v>0.63454494154887098</v>
      </c>
      <c r="K628" s="146">
        <v>0.27</v>
      </c>
      <c r="L628" s="146">
        <v>72.737983456826043</v>
      </c>
      <c r="M628" s="146">
        <v>31.69082266791176</v>
      </c>
      <c r="N628" s="146">
        <v>2.1423812998871679</v>
      </c>
      <c r="O628" s="146"/>
      <c r="P628" s="146"/>
      <c r="Q628" s="146"/>
      <c r="R628" s="146"/>
      <c r="S628" s="146"/>
      <c r="T628" s="146"/>
      <c r="U628" s="146"/>
      <c r="V628" s="146"/>
      <c r="W628" s="146"/>
      <c r="X628" s="146"/>
      <c r="Y628" s="146"/>
      <c r="Z628" s="146">
        <v>0.20050691068641741</v>
      </c>
      <c r="AA628" s="146"/>
      <c r="AB628" s="146"/>
      <c r="AC628" s="146"/>
      <c r="AD628" s="146"/>
      <c r="AE628" s="146"/>
      <c r="AF628" s="146"/>
      <c r="AG628" s="146"/>
      <c r="AH628" s="146"/>
      <c r="AI628" s="146"/>
      <c r="AJ628" s="146"/>
      <c r="AK628" s="146"/>
      <c r="AL628" s="146">
        <v>1400.9372466373111</v>
      </c>
      <c r="AM628" s="146">
        <v>0.13500580974392901</v>
      </c>
      <c r="AN628" s="146">
        <v>0.26602181782927176</v>
      </c>
      <c r="AO628" s="146">
        <v>357.72851027392483</v>
      </c>
      <c r="AP628" s="146">
        <v>329.74659669372738</v>
      </c>
      <c r="AQ628" t="s">
        <v>327</v>
      </c>
      <c r="AR628">
        <f t="shared" si="38"/>
        <v>14.644015877877388</v>
      </c>
      <c r="AS628">
        <f t="shared" si="39"/>
        <v>3.9965468373646496</v>
      </c>
      <c r="AT628">
        <v>0.3</v>
      </c>
      <c r="AU628">
        <v>1</v>
      </c>
      <c r="AV628">
        <v>0.4</v>
      </c>
      <c r="AW628" s="146">
        <v>0.6</v>
      </c>
      <c r="AX628" s="146">
        <v>0.54785992582112553</v>
      </c>
      <c r="AY628">
        <v>0.27</v>
      </c>
      <c r="AZ628" s="209">
        <v>329.74659669372738</v>
      </c>
      <c r="BA628">
        <v>0.54785992582112553</v>
      </c>
      <c r="BB628" s="249">
        <v>22.939308903939256</v>
      </c>
      <c r="BC628" s="243">
        <v>100.49942034314039</v>
      </c>
      <c r="BD628" s="209">
        <v>42313.649675073015</v>
      </c>
      <c r="BE628" s="243">
        <v>27.021997969330307</v>
      </c>
      <c r="BF628">
        <v>634753.70882205293</v>
      </c>
      <c r="BG628" t="s">
        <v>389</v>
      </c>
      <c r="BH628">
        <v>4.6491818223969313E-6</v>
      </c>
      <c r="BI628">
        <v>1623136.4967507301</v>
      </c>
      <c r="BJ628">
        <f t="shared" si="37"/>
        <v>0.39106613035486071</v>
      </c>
    </row>
    <row r="629" spans="1:62" x14ac:dyDescent="0.3">
      <c r="A629">
        <v>-0.1</v>
      </c>
      <c r="B629" s="146">
        <v>1000</v>
      </c>
      <c r="C629" s="146">
        <v>25</v>
      </c>
      <c r="D629" s="146">
        <v>400</v>
      </c>
      <c r="E629" s="252">
        <v>9.2890474225905297</v>
      </c>
      <c r="F629" s="146">
        <v>1.398745146453177</v>
      </c>
      <c r="G629" s="146">
        <v>10.245103819060757</v>
      </c>
      <c r="H629" s="146">
        <v>8.8229874845845124</v>
      </c>
      <c r="I629" s="146"/>
      <c r="J629" s="146">
        <v>0.63058751405634039</v>
      </c>
      <c r="K629" s="146">
        <v>0.27</v>
      </c>
      <c r="L629" s="146">
        <v>60.112157192521622</v>
      </c>
      <c r="M629" s="146">
        <v>26.189944005040537</v>
      </c>
      <c r="N629" s="146">
        <v>1.884261502181805</v>
      </c>
      <c r="O629" s="146"/>
      <c r="P629" s="146"/>
      <c r="Q629" s="146"/>
      <c r="R629" s="146"/>
      <c r="S629" s="146"/>
      <c r="T629" s="146"/>
      <c r="U629" s="146"/>
      <c r="V629" s="146"/>
      <c r="W629" s="146"/>
      <c r="X629" s="146"/>
      <c r="Y629" s="146"/>
      <c r="Z629" s="146">
        <v>0.21356275359950119</v>
      </c>
      <c r="AA629" s="146"/>
      <c r="AB629" s="146"/>
      <c r="AC629" s="146"/>
      <c r="AD629" s="146"/>
      <c r="AE629" s="146"/>
      <c r="AF629" s="146"/>
      <c r="AG629" s="146"/>
      <c r="AH629" s="146"/>
      <c r="AI629" s="146"/>
      <c r="AJ629" s="146"/>
      <c r="AK629" s="146"/>
      <c r="AL629" s="146">
        <v>1284.1743177759647</v>
      </c>
      <c r="AM629" s="146">
        <v>0.13652815736731208</v>
      </c>
      <c r="AN629" s="146">
        <v>0.266607040264143</v>
      </c>
      <c r="AO629" s="146">
        <v>365.15828159156138</v>
      </c>
      <c r="AP629" s="146">
        <v>342.04356668506171</v>
      </c>
      <c r="AQ629" t="s">
        <v>327</v>
      </c>
      <c r="AR629">
        <f t="shared" si="38"/>
        <v>14.644015877877388</v>
      </c>
      <c r="AS629">
        <f t="shared" si="39"/>
        <v>3.9965468373646496</v>
      </c>
      <c r="AT629">
        <v>0.3</v>
      </c>
      <c r="AU629">
        <v>1</v>
      </c>
      <c r="AV629">
        <v>0.4</v>
      </c>
      <c r="AW629" s="146">
        <v>0.4</v>
      </c>
      <c r="AX629" s="146">
        <v>0.54161197912280512</v>
      </c>
      <c r="AY629">
        <v>0.27</v>
      </c>
      <c r="AZ629" s="209">
        <v>342.04356668506171</v>
      </c>
      <c r="BA629">
        <v>0.54161197912280512</v>
      </c>
      <c r="BB629" s="249">
        <v>19.175808659452315</v>
      </c>
      <c r="BC629" s="243">
        <v>80.216964434761877</v>
      </c>
      <c r="BD629" s="209">
        <v>32685.874483439296</v>
      </c>
      <c r="BE629" s="243">
        <v>22.456564862693639</v>
      </c>
      <c r="BF629">
        <v>653858.24826823222</v>
      </c>
      <c r="BG629" t="s">
        <v>389</v>
      </c>
      <c r="BH629">
        <v>3.9197063176073962E-6</v>
      </c>
      <c r="BI629">
        <v>1526858.744834393</v>
      </c>
      <c r="BJ629">
        <f t="shared" si="37"/>
        <v>0.42823755012068998</v>
      </c>
    </row>
    <row r="630" spans="1:62" x14ac:dyDescent="0.3">
      <c r="A630">
        <v>-0.1</v>
      </c>
      <c r="B630" s="146">
        <v>1000</v>
      </c>
      <c r="C630" s="146">
        <v>25</v>
      </c>
      <c r="D630" s="146">
        <v>400</v>
      </c>
      <c r="E630" s="252">
        <v>8.0478200795456445</v>
      </c>
      <c r="F630" s="146">
        <v>1.2288286247145948</v>
      </c>
      <c r="G630" s="146">
        <v>8.8816674226109669</v>
      </c>
      <c r="H630" s="146">
        <v>7.6466181798261177</v>
      </c>
      <c r="I630" s="146"/>
      <c r="J630" s="146">
        <v>0.62965975028374022</v>
      </c>
      <c r="K630" s="146">
        <v>0.27</v>
      </c>
      <c r="L630" s="146">
        <v>52.122679246172908</v>
      </c>
      <c r="M630" s="146">
        <v>22.709051123851268</v>
      </c>
      <c r="N630" s="146">
        <v>1.6985342628476392</v>
      </c>
      <c r="O630" s="146"/>
      <c r="P630" s="146"/>
      <c r="Q630" s="146"/>
      <c r="R630" s="146"/>
      <c r="S630" s="146"/>
      <c r="T630" s="146"/>
      <c r="U630" s="146"/>
      <c r="V630" s="146"/>
      <c r="W630" s="146"/>
      <c r="X630" s="146"/>
      <c r="Y630" s="146"/>
      <c r="Z630" s="146">
        <v>0.22212881863630118</v>
      </c>
      <c r="AA630" s="146"/>
      <c r="AB630" s="146"/>
      <c r="AC630" s="146"/>
      <c r="AD630" s="146"/>
      <c r="AE630" s="146"/>
      <c r="AF630" s="146"/>
      <c r="AG630" s="146"/>
      <c r="AH630" s="146"/>
      <c r="AI630" s="146"/>
      <c r="AJ630" s="146"/>
      <c r="AK630" s="146"/>
      <c r="AL630" s="146">
        <v>1199.0460699656019</v>
      </c>
      <c r="AM630" s="146">
        <v>0.1383556224573598</v>
      </c>
      <c r="AN630" s="146">
        <v>0.26652645053738089</v>
      </c>
      <c r="AO630" s="146">
        <v>369.8047977477683</v>
      </c>
      <c r="AP630" s="146">
        <v>349.77893854178109</v>
      </c>
      <c r="AQ630" t="s">
        <v>327</v>
      </c>
      <c r="AR630">
        <f t="shared" si="38"/>
        <v>14.644015877877388</v>
      </c>
      <c r="AS630">
        <f t="shared" si="39"/>
        <v>3.9965468373646496</v>
      </c>
      <c r="AT630">
        <v>0.3</v>
      </c>
      <c r="AU630">
        <v>1</v>
      </c>
      <c r="AV630">
        <v>0.4</v>
      </c>
      <c r="AW630" s="146">
        <v>0.3</v>
      </c>
      <c r="AX630" s="146">
        <v>0.53865889197016703</v>
      </c>
      <c r="AY630">
        <v>0.27</v>
      </c>
      <c r="AZ630" s="209">
        <v>349.77893854178109</v>
      </c>
      <c r="BA630">
        <v>0.53865889197016703</v>
      </c>
      <c r="BB630" s="249">
        <v>16.799460848220939</v>
      </c>
      <c r="BC630" s="243">
        <v>68.168553638061255</v>
      </c>
      <c r="BD630" s="209">
        <v>27169.910330021154</v>
      </c>
      <c r="BE630" s="243">
        <v>19.604658645149062</v>
      </c>
      <c r="BF630">
        <v>657960.0392155567</v>
      </c>
      <c r="BG630" t="s">
        <v>389</v>
      </c>
      <c r="BH630">
        <v>3.434746944574835E-6</v>
      </c>
      <c r="BI630">
        <v>1471699.1033002115</v>
      </c>
      <c r="BJ630">
        <f t="shared" si="37"/>
        <v>0.4470751104897151</v>
      </c>
    </row>
    <row r="631" spans="1:62" x14ac:dyDescent="0.3">
      <c r="A631">
        <v>-0.1</v>
      </c>
      <c r="B631" s="146">
        <v>1000</v>
      </c>
      <c r="C631" s="146">
        <v>25</v>
      </c>
      <c r="D631" s="146">
        <v>400</v>
      </c>
      <c r="E631" s="252">
        <v>6.5159738805746805</v>
      </c>
      <c r="F631" s="146">
        <v>1.0204581132627528</v>
      </c>
      <c r="G631" s="146">
        <v>7.201574585821926</v>
      </c>
      <c r="H631" s="146">
        <v>6.2019564941884671</v>
      </c>
      <c r="I631" s="146"/>
      <c r="J631" s="146">
        <v>0.62971123991913291</v>
      </c>
      <c r="K631" s="146">
        <v>0.27</v>
      </c>
      <c r="L631" s="146">
        <v>42.299209464442505</v>
      </c>
      <c r="M631" s="146">
        <v>18.429116156707313</v>
      </c>
      <c r="N631" s="146">
        <v>1.4526659218332476</v>
      </c>
      <c r="O631" s="146"/>
      <c r="P631" s="146"/>
      <c r="Q631" s="146"/>
      <c r="R631" s="146"/>
      <c r="S631" s="146"/>
      <c r="T631" s="146"/>
      <c r="U631" s="146"/>
      <c r="V631" s="146"/>
      <c r="W631" s="146"/>
      <c r="X631" s="146"/>
      <c r="Y631" s="146"/>
      <c r="Z631" s="146">
        <v>0.2342270416108958</v>
      </c>
      <c r="AA631" s="146"/>
      <c r="AB631" s="146"/>
      <c r="AC631" s="146"/>
      <c r="AD631" s="146"/>
      <c r="AE631" s="146"/>
      <c r="AF631" s="146"/>
      <c r="AG631" s="146"/>
      <c r="AH631" s="146"/>
      <c r="AI631" s="146"/>
      <c r="AJ631" s="146"/>
      <c r="AK631" s="146"/>
      <c r="AL631" s="146">
        <v>1085.6459090332776</v>
      </c>
      <c r="AM631" s="146">
        <v>0.14169930493697533</v>
      </c>
      <c r="AN631" s="146">
        <v>0.26625188995799554</v>
      </c>
      <c r="AO631" s="146">
        <v>375.5270323842484</v>
      </c>
      <c r="AP631" s="146">
        <v>359.31294811665481</v>
      </c>
      <c r="AQ631" t="s">
        <v>327</v>
      </c>
      <c r="AR631">
        <f t="shared" si="38"/>
        <v>14.644015877877388</v>
      </c>
      <c r="AS631">
        <f t="shared" si="39"/>
        <v>3.9965468373646496</v>
      </c>
      <c r="AT631">
        <v>0.3</v>
      </c>
      <c r="AU631">
        <v>1</v>
      </c>
      <c r="AV631">
        <v>0.4</v>
      </c>
      <c r="AW631" s="146">
        <v>0.2</v>
      </c>
      <c r="AX631" s="146">
        <v>0.53575598705727023</v>
      </c>
      <c r="AY631">
        <v>0.27</v>
      </c>
      <c r="AZ631" s="209">
        <v>359.31294811665481</v>
      </c>
      <c r="BA631">
        <v>0.53575598705727023</v>
      </c>
      <c r="BB631" s="249">
        <v>13.85507979776381</v>
      </c>
      <c r="BC631" s="243">
        <v>54.061420761745794</v>
      </c>
      <c r="BD631" s="209">
        <v>20929.860063004478</v>
      </c>
      <c r="BE631" s="243">
        <v>16.087238684601761</v>
      </c>
      <c r="BF631">
        <v>653976.21366854548</v>
      </c>
      <c r="BG631" t="s">
        <v>389</v>
      </c>
      <c r="BH631">
        <v>2.8101588687176636E-6</v>
      </c>
      <c r="BI631">
        <v>1409298.6006300447</v>
      </c>
      <c r="BJ631">
        <f t="shared" si="37"/>
        <v>0.46404375437269091</v>
      </c>
    </row>
    <row r="632" spans="1:62" s="140" customFormat="1" x14ac:dyDescent="0.3">
      <c r="A632" s="140">
        <v>-0.1</v>
      </c>
      <c r="B632" s="140">
        <v>1000</v>
      </c>
      <c r="C632" s="140">
        <v>25</v>
      </c>
      <c r="D632" s="140">
        <v>400</v>
      </c>
      <c r="E632" s="253">
        <v>4.4258979232148334</v>
      </c>
      <c r="F632" s="140">
        <v>0.73264156993256568</v>
      </c>
      <c r="G632" s="140">
        <v>4.9102109191315826</v>
      </c>
      <c r="H632" s="140">
        <v>4.2408227726873902</v>
      </c>
      <c r="J632" s="140">
        <v>0.63149536243530036</v>
      </c>
      <c r="K632" s="140">
        <v>0.27</v>
      </c>
      <c r="L632" s="140">
        <v>28.944577952585039</v>
      </c>
      <c r="M632" s="140">
        <v>12.61070823660344</v>
      </c>
      <c r="N632" s="140">
        <v>1.0880346042619289</v>
      </c>
      <c r="Z632" s="140">
        <v>0.25656214904082075</v>
      </c>
      <c r="AL632" s="140">
        <v>916.36125565243424</v>
      </c>
      <c r="AM632" s="140">
        <v>0.14920775950336168</v>
      </c>
      <c r="AN632" s="140">
        <v>0.26593413528144061</v>
      </c>
      <c r="AO632" s="140">
        <v>383.35716504189708</v>
      </c>
      <c r="AP632" s="140">
        <v>372.3439535214697</v>
      </c>
      <c r="AQ632" t="s">
        <v>327</v>
      </c>
      <c r="AR632">
        <f t="shared" si="38"/>
        <v>14.644015877877388</v>
      </c>
      <c r="AS632">
        <f t="shared" si="39"/>
        <v>3.9965468373646496</v>
      </c>
      <c r="AT632">
        <v>0.3</v>
      </c>
      <c r="AU632" s="140">
        <v>1</v>
      </c>
      <c r="AV632">
        <v>0.4</v>
      </c>
      <c r="AW632" s="140">
        <v>0.1</v>
      </c>
      <c r="AX632" s="140">
        <v>0.53312646562643973</v>
      </c>
      <c r="AY632">
        <v>0.27</v>
      </c>
      <c r="AZ632" s="209">
        <v>372.3439535214697</v>
      </c>
      <c r="BA632" s="140">
        <v>0.53312646562643973</v>
      </c>
      <c r="BB632" s="253">
        <v>9.7730188685277177</v>
      </c>
      <c r="BC632" s="245">
        <v>35.949836029082242</v>
      </c>
      <c r="BD632" s="210">
        <v>13330.043209287742</v>
      </c>
      <c r="BE632" s="245">
        <v>11.247048351104214</v>
      </c>
      <c r="BF632" s="140">
        <v>619781.53729581926</v>
      </c>
      <c r="BG632" t="s">
        <v>389</v>
      </c>
      <c r="BH632" s="140">
        <v>1.9180199315639601E-6</v>
      </c>
      <c r="BI632" s="140">
        <v>1333300.4320928773</v>
      </c>
      <c r="BJ632">
        <f t="shared" si="37"/>
        <v>0.46484762351944203</v>
      </c>
    </row>
    <row r="633" spans="1:62" x14ac:dyDescent="0.3">
      <c r="A633">
        <v>-0.1</v>
      </c>
      <c r="B633" s="146">
        <v>1000</v>
      </c>
      <c r="C633" s="146">
        <v>25</v>
      </c>
      <c r="D633" s="146">
        <v>400</v>
      </c>
      <c r="E633" s="252">
        <v>19.015854555025172</v>
      </c>
      <c r="F633" s="146">
        <v>2.8492117545228339</v>
      </c>
      <c r="G633" s="146">
        <v>21.073175801199788</v>
      </c>
      <c r="H633" s="146">
        <v>18.169593910318646</v>
      </c>
      <c r="I633" s="146"/>
      <c r="J633" s="146">
        <v>0.62734090405325349</v>
      </c>
      <c r="K633" s="146">
        <v>0.27</v>
      </c>
      <c r="L633" s="146">
        <v>123.20505090157044</v>
      </c>
      <c r="M633" s="146">
        <v>53.67854914798712</v>
      </c>
      <c r="N633" s="146">
        <v>3.1923278575893086</v>
      </c>
      <c r="O633" s="146"/>
      <c r="P633" s="146"/>
      <c r="Q633" s="146"/>
      <c r="R633" s="146"/>
      <c r="S633" s="146"/>
      <c r="T633" s="146"/>
      <c r="U633" s="146"/>
      <c r="V633" s="146"/>
      <c r="W633" s="146"/>
      <c r="X633" s="146"/>
      <c r="Y633" s="146"/>
      <c r="Z633" s="146">
        <v>0.17569615883249665</v>
      </c>
      <c r="AA633" s="146"/>
      <c r="AB633" s="146"/>
      <c r="AC633" s="146"/>
      <c r="AD633" s="146"/>
      <c r="AE633" s="146"/>
      <c r="AF633" s="146"/>
      <c r="AG633" s="146"/>
      <c r="AH633" s="146"/>
      <c r="AI633" s="146"/>
      <c r="AJ633" s="146"/>
      <c r="AK633" s="146"/>
      <c r="AL633" s="146">
        <v>1876.1244415597848</v>
      </c>
      <c r="AM633" s="146">
        <v>0.13520561786233548</v>
      </c>
      <c r="AN633" s="146">
        <v>0.26148981628935891</v>
      </c>
      <c r="AO633" s="146">
        <v>327.2787949264432</v>
      </c>
      <c r="AP633" s="146">
        <v>279.96051276513134</v>
      </c>
      <c r="AQ633" t="s">
        <v>327</v>
      </c>
      <c r="AR633">
        <f t="shared" si="38"/>
        <v>14.644015877877388</v>
      </c>
      <c r="AS633">
        <f t="shared" si="39"/>
        <v>3.9965468373646496</v>
      </c>
      <c r="AT633">
        <v>0.3</v>
      </c>
      <c r="AU633">
        <v>1</v>
      </c>
      <c r="AV633">
        <v>0.4</v>
      </c>
      <c r="AW633" s="146">
        <v>3</v>
      </c>
      <c r="AX633" s="146">
        <v>0.54779424399660637</v>
      </c>
      <c r="AY633">
        <v>0.27</v>
      </c>
      <c r="AZ633" s="209">
        <v>279.96051276513134</v>
      </c>
      <c r="BA633">
        <v>0.54779424399660637</v>
      </c>
      <c r="BB633" s="249">
        <v>38.343463889828385</v>
      </c>
      <c r="BC633" s="243">
        <v>205.9646953056305</v>
      </c>
      <c r="BD633" s="209">
        <v>96593.258874754523</v>
      </c>
      <c r="BE633" s="243">
        <v>47.12145225964867</v>
      </c>
      <c r="BF633">
        <v>333252.14892187715</v>
      </c>
      <c r="BG633" t="s">
        <v>390</v>
      </c>
      <c r="BH633">
        <v>7.3465957363024804E-6</v>
      </c>
      <c r="BI633">
        <v>2165932.5887475451</v>
      </c>
      <c r="BJ633">
        <f t="shared" si="37"/>
        <v>0.15386081296028742</v>
      </c>
    </row>
    <row r="634" spans="1:62" s="140" customFormat="1" x14ac:dyDescent="0.3">
      <c r="A634">
        <v>-0.2</v>
      </c>
      <c r="B634" s="146">
        <v>1000</v>
      </c>
      <c r="C634" s="146">
        <v>25</v>
      </c>
      <c r="D634" s="146">
        <v>400</v>
      </c>
      <c r="E634" s="252">
        <v>18.953248215678855</v>
      </c>
      <c r="F634" s="146">
        <v>2.88805890492669</v>
      </c>
      <c r="G634" s="146">
        <v>21.030706190837517</v>
      </c>
      <c r="H634" s="146">
        <v>18.186929931849981</v>
      </c>
      <c r="I634" s="146"/>
      <c r="J634" s="146">
        <v>0.63193269965077714</v>
      </c>
      <c r="K634" s="146">
        <v>0.27</v>
      </c>
      <c r="L634" s="146">
        <v>123.34002285282426</v>
      </c>
      <c r="M634" s="146">
        <v>53.737354354964928</v>
      </c>
      <c r="N634" s="146">
        <v>3.1411291677381925</v>
      </c>
      <c r="O634" s="146"/>
      <c r="P634" s="146"/>
      <c r="Q634" s="146"/>
      <c r="R634" s="146"/>
      <c r="S634" s="146"/>
      <c r="T634" s="146"/>
      <c r="U634" s="146"/>
      <c r="V634" s="146"/>
      <c r="W634" s="146"/>
      <c r="X634" s="146"/>
      <c r="Y634" s="146"/>
      <c r="Z634" s="146">
        <v>0.17271354645938725</v>
      </c>
      <c r="AA634" s="146"/>
      <c r="AB634" s="146"/>
      <c r="AC634" s="146"/>
      <c r="AD634" s="146"/>
      <c r="AE634" s="146"/>
      <c r="AF634" s="146"/>
      <c r="AG634" s="146"/>
      <c r="AH634" s="146"/>
      <c r="AI634" s="146"/>
      <c r="AJ634" s="146"/>
      <c r="AK634" s="146"/>
      <c r="AL634" s="146">
        <v>1841.9220561462462</v>
      </c>
      <c r="AM634" s="146">
        <v>0.13732581677095254</v>
      </c>
      <c r="AN634" s="146">
        <v>0.23261205504984503</v>
      </c>
      <c r="AO634" s="146">
        <v>318.51992274597512</v>
      </c>
      <c r="AP634" s="146">
        <v>271.3574722771487</v>
      </c>
      <c r="AQ634" t="s">
        <v>327</v>
      </c>
      <c r="AR634">
        <f t="shared" si="38"/>
        <v>14.644015877877388</v>
      </c>
      <c r="AS634">
        <f t="shared" si="39"/>
        <v>3.9965468373646496</v>
      </c>
      <c r="AT634">
        <v>0.3</v>
      </c>
      <c r="AU634">
        <v>1</v>
      </c>
      <c r="AV634">
        <v>0.4</v>
      </c>
      <c r="AW634" s="146">
        <v>3</v>
      </c>
      <c r="AX634" s="146">
        <v>0.55128407683110159</v>
      </c>
      <c r="AY634">
        <v>0.27</v>
      </c>
      <c r="AZ634" s="209">
        <v>271.3574722771487</v>
      </c>
      <c r="BA634" s="140">
        <v>0.55128407683110159</v>
      </c>
      <c r="BB634" s="253">
        <v>38.498345499896288</v>
      </c>
      <c r="BC634" s="245">
        <v>206.3272799226994</v>
      </c>
      <c r="BD634" s="210">
        <v>96694.635191199355</v>
      </c>
      <c r="BE634" s="245">
        <v>47.044129155428216</v>
      </c>
      <c r="BF634" s="140">
        <v>332173.41783689638</v>
      </c>
      <c r="BG634" t="s">
        <v>390</v>
      </c>
      <c r="BH634" s="140">
        <v>7.3219419979661367E-6</v>
      </c>
      <c r="BI634" s="140">
        <v>2166946.3519119937</v>
      </c>
      <c r="BJ634">
        <f t="shared" si="37"/>
        <v>0.15329102058470664</v>
      </c>
    </row>
    <row r="635" spans="1:62" x14ac:dyDescent="0.3">
      <c r="A635">
        <v>-0.3</v>
      </c>
      <c r="B635" s="146">
        <v>1000</v>
      </c>
      <c r="C635" s="146">
        <v>25</v>
      </c>
      <c r="D635" s="146">
        <v>400</v>
      </c>
      <c r="E635" s="252">
        <v>18.868284209836528</v>
      </c>
      <c r="F635" s="146">
        <v>2.9371645693167325</v>
      </c>
      <c r="G635" s="146">
        <v>20.971042821065708</v>
      </c>
      <c r="H635" s="146">
        <v>18.205564909696971</v>
      </c>
      <c r="I635" s="146"/>
      <c r="J635" s="146">
        <v>0.63737181903082651</v>
      </c>
      <c r="K635" s="146">
        <v>0.27</v>
      </c>
      <c r="L635" s="146">
        <v>123.49067992748643</v>
      </c>
      <c r="M635" s="146">
        <v>53.802993329402803</v>
      </c>
      <c r="N635" s="146">
        <v>3.0815873518434103</v>
      </c>
      <c r="O635" s="146"/>
      <c r="P635" s="146"/>
      <c r="Q635" s="146"/>
      <c r="R635" s="146"/>
      <c r="S635" s="146"/>
      <c r="T635" s="146"/>
      <c r="U635" s="146"/>
      <c r="V635" s="146"/>
      <c r="W635" s="146"/>
      <c r="X635" s="146"/>
      <c r="Y635" s="146"/>
      <c r="Z635" s="146">
        <v>0.16926623079968481</v>
      </c>
      <c r="AA635" s="146"/>
      <c r="AB635" s="146"/>
      <c r="AC635" s="146"/>
      <c r="AD635" s="146"/>
      <c r="AE635" s="146"/>
      <c r="AF635" s="146"/>
      <c r="AG635" s="146"/>
      <c r="AH635" s="146"/>
      <c r="AI635" s="146"/>
      <c r="AJ635" s="146"/>
      <c r="AK635" s="146"/>
      <c r="AL635" s="146">
        <v>1801.2477102741416</v>
      </c>
      <c r="AM635" s="146">
        <v>0.14005810747600539</v>
      </c>
      <c r="AN635" s="146">
        <v>0.20377232162921491</v>
      </c>
      <c r="AO635" s="146">
        <v>307.40506826943187</v>
      </c>
      <c r="AP635" s="146">
        <v>260.45403435243884</v>
      </c>
      <c r="AQ635" t="s">
        <v>327</v>
      </c>
      <c r="AR635">
        <f t="shared" si="38"/>
        <v>14.644015877877388</v>
      </c>
      <c r="AS635">
        <f t="shared" si="39"/>
        <v>3.9965468373646496</v>
      </c>
      <c r="AT635">
        <v>0.3</v>
      </c>
      <c r="AU635">
        <v>1</v>
      </c>
      <c r="AV635">
        <v>0.4</v>
      </c>
      <c r="AW635" s="146">
        <v>3</v>
      </c>
      <c r="AX635" s="146">
        <v>0.55539639079462122</v>
      </c>
      <c r="AY635">
        <v>0.27</v>
      </c>
      <c r="AZ635" s="209">
        <v>260.45403435243884</v>
      </c>
      <c r="BA635">
        <v>0.55539639079462122</v>
      </c>
      <c r="BB635" s="249">
        <v>38.690612756240206</v>
      </c>
      <c r="BC635" s="243">
        <v>206.73272767529207</v>
      </c>
      <c r="BD635" s="209">
        <v>96794.738270235466</v>
      </c>
      <c r="BE635" s="243">
        <v>46.937802953033199</v>
      </c>
      <c r="BF635">
        <v>330621.96464860573</v>
      </c>
      <c r="BG635" t="s">
        <v>390</v>
      </c>
      <c r="BH635">
        <v>7.2898837526795769E-6</v>
      </c>
      <c r="BI635">
        <v>2167947.3827023548</v>
      </c>
      <c r="BJ635">
        <f t="shared" si="37"/>
        <v>0.15250460748566885</v>
      </c>
    </row>
    <row r="636" spans="1:62" x14ac:dyDescent="0.3">
      <c r="A636">
        <v>-0.4</v>
      </c>
      <c r="B636" s="146">
        <v>1000</v>
      </c>
      <c r="C636" s="146">
        <v>25</v>
      </c>
      <c r="D636" s="146">
        <v>400</v>
      </c>
      <c r="E636" s="252">
        <v>18.753093475557154</v>
      </c>
      <c r="F636" s="146">
        <v>3.0059893666217463</v>
      </c>
      <c r="G636" s="146">
        <v>20.891399367249306</v>
      </c>
      <c r="H636" s="146">
        <v>18.237578596401018</v>
      </c>
      <c r="I636" s="146"/>
      <c r="J636" s="146">
        <v>0.64677260148649018</v>
      </c>
      <c r="K636" s="146">
        <v>0.27</v>
      </c>
      <c r="L636" s="146">
        <v>123.74276104658198</v>
      </c>
      <c r="M636" s="146">
        <v>53.912821202867669</v>
      </c>
      <c r="N636" s="146">
        <v>2.9879121667436799</v>
      </c>
      <c r="O636" s="146"/>
      <c r="P636" s="146"/>
      <c r="Q636" s="146"/>
      <c r="R636" s="146"/>
      <c r="S636" s="146"/>
      <c r="T636" s="146"/>
      <c r="U636" s="146"/>
      <c r="V636" s="146"/>
      <c r="W636" s="146"/>
      <c r="X636" s="146"/>
      <c r="Y636" s="146"/>
      <c r="Z636" s="146">
        <v>0.16383272323954842</v>
      </c>
      <c r="AA636" s="146"/>
      <c r="AB636" s="146"/>
      <c r="AC636" s="146"/>
      <c r="AD636" s="146"/>
      <c r="AE636" s="146"/>
      <c r="AF636" s="146"/>
      <c r="AG636" s="146"/>
      <c r="AH636" s="146"/>
      <c r="AI636" s="146"/>
      <c r="AJ636" s="146"/>
      <c r="AK636" s="146"/>
      <c r="AL636" s="146">
        <v>1740.0788815698165</v>
      </c>
      <c r="AM636" s="146">
        <v>0.14388645364437039</v>
      </c>
      <c r="AN636" s="146">
        <v>0.17491466077950849</v>
      </c>
      <c r="AO636" s="146">
        <v>292.78718323561986</v>
      </c>
      <c r="AP636" s="146">
        <v>246.12279819797513</v>
      </c>
      <c r="AQ636" t="s">
        <v>327</v>
      </c>
      <c r="AR636">
        <f t="shared" si="38"/>
        <v>14.644015877877388</v>
      </c>
      <c r="AS636">
        <f t="shared" si="39"/>
        <v>3.9965468373646496</v>
      </c>
      <c r="AT636">
        <v>0.3</v>
      </c>
      <c r="AU636">
        <v>1</v>
      </c>
      <c r="AV636">
        <v>0.4</v>
      </c>
      <c r="AW636" s="146">
        <v>3</v>
      </c>
      <c r="AX636" s="146">
        <v>0.56281297814696418</v>
      </c>
      <c r="AY636">
        <v>0.27</v>
      </c>
      <c r="AZ636" s="209">
        <v>246.12279819797513</v>
      </c>
      <c r="BA636">
        <v>0.56281297814696418</v>
      </c>
      <c r="BB636" s="249">
        <v>38.945095182413077</v>
      </c>
      <c r="BC636" s="243">
        <v>207.41285069689206</v>
      </c>
      <c r="BD636" s="209">
        <v>96930.726117673825</v>
      </c>
      <c r="BE636" s="243">
        <v>46.711632655618843</v>
      </c>
      <c r="BF636">
        <v>328518.68627495499</v>
      </c>
      <c r="BG636" t="s">
        <v>390</v>
      </c>
      <c r="BH636">
        <v>7.246389438892327E-6</v>
      </c>
      <c r="BI636">
        <v>2169307.261176738</v>
      </c>
      <c r="BJ636">
        <f t="shared" si="37"/>
        <v>0.15143944435826506</v>
      </c>
    </row>
    <row r="637" spans="1:62" x14ac:dyDescent="0.3">
      <c r="A637">
        <v>-0.5</v>
      </c>
      <c r="B637" s="146">
        <v>1000</v>
      </c>
      <c r="C637" s="146">
        <v>25</v>
      </c>
      <c r="D637" s="146">
        <v>400</v>
      </c>
      <c r="E637" s="252">
        <v>18.63098477413169</v>
      </c>
      <c r="F637" s="146">
        <v>3.1255838273275378</v>
      </c>
      <c r="G637" s="146">
        <v>20.832547262365409</v>
      </c>
      <c r="H637" s="146">
        <v>18.281795697129649</v>
      </c>
      <c r="I637" s="146"/>
      <c r="J637" s="146">
        <v>0.65441757838033987</v>
      </c>
      <c r="K637" s="146">
        <v>0.27</v>
      </c>
      <c r="L637" s="146">
        <v>124.10241899023701</v>
      </c>
      <c r="M637" s="146">
        <v>54.069518647198699</v>
      </c>
      <c r="N637" s="146">
        <v>2.8868955433802199</v>
      </c>
      <c r="O637" s="146"/>
      <c r="P637" s="146"/>
      <c r="Q637" s="146"/>
      <c r="R637" s="146"/>
      <c r="S637" s="146"/>
      <c r="T637" s="146"/>
      <c r="U637" s="146"/>
      <c r="V637" s="146"/>
      <c r="W637" s="146"/>
      <c r="X637" s="146"/>
      <c r="Y637" s="146"/>
      <c r="Z637" s="146">
        <v>0.15791093999773118</v>
      </c>
      <c r="AA637" s="146"/>
      <c r="AB637" s="146"/>
      <c r="AC637" s="146"/>
      <c r="AD637" s="146"/>
      <c r="AE637" s="146"/>
      <c r="AF637" s="146"/>
      <c r="AG637" s="146"/>
      <c r="AH637" s="146"/>
      <c r="AI637" s="146"/>
      <c r="AJ637" s="146"/>
      <c r="AK637" s="146"/>
      <c r="AL637" s="146">
        <v>1668.8891270441507</v>
      </c>
      <c r="AM637" s="146">
        <v>0.15003368469366174</v>
      </c>
      <c r="AN637" s="146">
        <v>0.14532987629734906</v>
      </c>
      <c r="AO637" s="146">
        <v>271.80210120036043</v>
      </c>
      <c r="AP637" s="146">
        <v>225.44135535404163</v>
      </c>
      <c r="AQ637" t="s">
        <v>327</v>
      </c>
      <c r="AR637">
        <f t="shared" si="38"/>
        <v>14.644015877877388</v>
      </c>
      <c r="AS637">
        <f t="shared" si="39"/>
        <v>3.9965468373646496</v>
      </c>
      <c r="AT637">
        <v>0.3</v>
      </c>
      <c r="AU637">
        <v>1</v>
      </c>
      <c r="AV637">
        <v>0.4</v>
      </c>
      <c r="AW637" s="146">
        <v>3</v>
      </c>
      <c r="AX637" s="146">
        <v>0.567903333898651</v>
      </c>
      <c r="AY637">
        <v>0.27</v>
      </c>
      <c r="AZ637" s="209">
        <v>225.44135535404163</v>
      </c>
      <c r="BA637">
        <v>0.567903333898651</v>
      </c>
      <c r="BB637" s="249">
        <v>39.529995497185155</v>
      </c>
      <c r="BC637" s="243">
        <v>208.38697850156967</v>
      </c>
      <c r="BD637" s="209">
        <v>97685.632163839604</v>
      </c>
      <c r="BE637" s="243">
        <v>47.12125132641048</v>
      </c>
      <c r="BF637">
        <v>327663.21514179988</v>
      </c>
      <c r="BG637" t="s">
        <v>390</v>
      </c>
      <c r="BH637">
        <v>7.1778922473439977E-6</v>
      </c>
      <c r="BI637">
        <v>2176856.321638396</v>
      </c>
      <c r="BJ637">
        <f t="shared" si="37"/>
        <v>0.15052128699756648</v>
      </c>
    </row>
    <row r="638" spans="1:62" x14ac:dyDescent="0.3">
      <c r="A638">
        <v>-0.6</v>
      </c>
      <c r="B638" s="146">
        <v>1000</v>
      </c>
      <c r="C638" s="146">
        <v>25</v>
      </c>
      <c r="D638" s="146">
        <v>400</v>
      </c>
      <c r="E638" s="252">
        <v>18.433002125841565</v>
      </c>
      <c r="F638" s="146">
        <v>3.3471637467418356</v>
      </c>
      <c r="G638" s="146">
        <v>20.750960278039276</v>
      </c>
      <c r="H638" s="146">
        <v>18.315877903644079</v>
      </c>
      <c r="I638" s="146"/>
      <c r="J638" s="146">
        <v>0.66480910017221517</v>
      </c>
      <c r="K638" s="146">
        <v>0.27</v>
      </c>
      <c r="L638" s="146">
        <v>124.45694299454814</v>
      </c>
      <c r="M638" s="146">
        <v>54.223979312977406</v>
      </c>
      <c r="N638" s="146">
        <v>2.7197876225532269</v>
      </c>
      <c r="O638" s="146"/>
      <c r="P638" s="146"/>
      <c r="Q638" s="146"/>
      <c r="R638" s="146"/>
      <c r="S638" s="146"/>
      <c r="T638" s="146"/>
      <c r="U638" s="146"/>
      <c r="V638" s="146"/>
      <c r="W638" s="146"/>
      <c r="X638" s="146"/>
      <c r="Y638" s="146"/>
      <c r="Z638" s="146">
        <v>0.14849343486899447</v>
      </c>
      <c r="AA638" s="146"/>
      <c r="AB638" s="146"/>
      <c r="AC638" s="146"/>
      <c r="AD638" s="146"/>
      <c r="AE638" s="146"/>
      <c r="AF638" s="146"/>
      <c r="AG638" s="146"/>
      <c r="AH638" s="146"/>
      <c r="AI638" s="146"/>
      <c r="AJ638" s="146"/>
      <c r="AK638" s="146"/>
      <c r="AL638" s="146">
        <v>1553.6817465792587</v>
      </c>
      <c r="AM638" s="146">
        <v>0.16130163143746828</v>
      </c>
      <c r="AN638" s="146">
        <v>0.11495899806920525</v>
      </c>
      <c r="AO638" s="146">
        <v>239.65585612754811</v>
      </c>
      <c r="AP638" s="146">
        <v>193.78793530264451</v>
      </c>
      <c r="AQ638" t="s">
        <v>327</v>
      </c>
      <c r="AR638">
        <f t="shared" si="38"/>
        <v>14.644015877877388</v>
      </c>
      <c r="AS638">
        <f t="shared" si="39"/>
        <v>3.9965468373646496</v>
      </c>
      <c r="AT638">
        <v>0.3</v>
      </c>
      <c r="AU638">
        <v>1</v>
      </c>
      <c r="AV638">
        <v>0.4</v>
      </c>
      <c r="AW638" s="146">
        <v>3</v>
      </c>
      <c r="AX638" s="146">
        <v>0.57387994858496738</v>
      </c>
      <c r="AY638">
        <v>0.27</v>
      </c>
      <c r="AZ638" s="209">
        <v>193.78793530264451</v>
      </c>
      <c r="BA638">
        <v>0.57387994858496738</v>
      </c>
      <c r="BB638" s="249">
        <v>40.656669831032374</v>
      </c>
      <c r="BC638" s="243">
        <v>209.35156295982375</v>
      </c>
      <c r="BD638" s="209">
        <v>98911.328224610625</v>
      </c>
      <c r="BE638" s="243">
        <v>48.398948570893424</v>
      </c>
      <c r="BF638">
        <v>326209.72459261457</v>
      </c>
      <c r="BG638" t="s">
        <v>390</v>
      </c>
      <c r="BH638">
        <v>7.0677627769194966E-6</v>
      </c>
      <c r="BI638">
        <v>2189113.2822461063</v>
      </c>
      <c r="BJ638">
        <f t="shared" si="37"/>
        <v>0.14901454723161336</v>
      </c>
    </row>
    <row r="639" spans="1:62" x14ac:dyDescent="0.3">
      <c r="A639">
        <v>-0.7</v>
      </c>
      <c r="B639" s="146">
        <v>1000</v>
      </c>
      <c r="C639" s="146">
        <v>25</v>
      </c>
      <c r="D639" s="146">
        <v>400</v>
      </c>
      <c r="E639" s="252">
        <v>18.059986969788412</v>
      </c>
      <c r="F639" s="146">
        <v>3.8315648838689942</v>
      </c>
      <c r="G639" s="146">
        <v>20.633399628925741</v>
      </c>
      <c r="H639" s="146">
        <v>18.414449398624239</v>
      </c>
      <c r="I639" s="146"/>
      <c r="J639" s="146">
        <v>0.69398472595259342</v>
      </c>
      <c r="K639" s="146">
        <v>0.27</v>
      </c>
      <c r="L639" s="146">
        <v>125.47758409603419</v>
      </c>
      <c r="M639" s="146">
        <v>54.668656971301196</v>
      </c>
      <c r="N639" s="146">
        <v>2.3722578469628992</v>
      </c>
      <c r="O639" s="146"/>
      <c r="P639" s="146"/>
      <c r="Q639" s="146"/>
      <c r="R639" s="146"/>
      <c r="S639" s="146"/>
      <c r="T639" s="146"/>
      <c r="U639" s="146"/>
      <c r="V639" s="146"/>
      <c r="W639" s="146"/>
      <c r="X639" s="146"/>
      <c r="Y639" s="146"/>
      <c r="Z639" s="146">
        <v>0.12882589077793077</v>
      </c>
      <c r="AA639" s="146"/>
      <c r="AB639" s="146"/>
      <c r="AC639" s="146"/>
      <c r="AD639" s="146"/>
      <c r="AE639" s="146"/>
      <c r="AF639" s="146"/>
      <c r="AG639" s="146"/>
      <c r="AH639" s="146"/>
      <c r="AI639" s="146"/>
      <c r="AJ639" s="146"/>
      <c r="AK639" s="146"/>
      <c r="AL639" s="146">
        <v>1326.3271300312845</v>
      </c>
      <c r="AM639" s="146">
        <v>0.18569721678329559</v>
      </c>
      <c r="AN639" s="146">
        <v>8.405387538656163E-2</v>
      </c>
      <c r="AO639" s="146">
        <v>185.13796197104546</v>
      </c>
      <c r="AP639" s="146">
        <v>140.19820654983326</v>
      </c>
      <c r="AQ639" t="s">
        <v>327</v>
      </c>
      <c r="AR639">
        <f t="shared" si="38"/>
        <v>14.644015877877388</v>
      </c>
      <c r="AS639">
        <f t="shared" si="39"/>
        <v>3.9965468373646496</v>
      </c>
      <c r="AT639">
        <v>0.3</v>
      </c>
      <c r="AU639">
        <v>1</v>
      </c>
      <c r="AV639">
        <v>0.4</v>
      </c>
      <c r="AW639" s="146">
        <v>3</v>
      </c>
      <c r="AX639" s="146">
        <v>0.59441881894412418</v>
      </c>
      <c r="AY639">
        <v>0.27</v>
      </c>
      <c r="AZ639" s="209">
        <v>140.19820654983326</v>
      </c>
      <c r="BA639">
        <v>0.59441881894412418</v>
      </c>
      <c r="BB639" s="249">
        <v>43.052342272151492</v>
      </c>
      <c r="BC639" s="243">
        <v>212.15305391942243</v>
      </c>
      <c r="BD639" s="209">
        <v>101751.40913097693</v>
      </c>
      <c r="BE639" s="243">
        <v>50.899032961710532</v>
      </c>
      <c r="BF639">
        <v>324355.76374367974</v>
      </c>
      <c r="BG639" t="s">
        <v>390</v>
      </c>
      <c r="BH639">
        <v>6.8454515643687244E-6</v>
      </c>
      <c r="BI639">
        <v>2217514.0913097691</v>
      </c>
      <c r="BJ639">
        <f t="shared" si="37"/>
        <v>0.14626998990211595</v>
      </c>
    </row>
    <row r="640" spans="1:62" x14ac:dyDescent="0.3">
      <c r="A640">
        <v>-0.8</v>
      </c>
      <c r="B640" s="146">
        <v>1000</v>
      </c>
      <c r="C640" s="146">
        <v>25</v>
      </c>
      <c r="D640" s="146">
        <v>400</v>
      </c>
      <c r="E640" s="252">
        <v>17.312771108987324</v>
      </c>
      <c r="F640" s="146">
        <v>5.5091940976633129</v>
      </c>
      <c r="G640" s="146">
        <v>20.790517289494918</v>
      </c>
      <c r="H640" s="146">
        <v>18.815784414280593</v>
      </c>
      <c r="I640" s="146"/>
      <c r="J640" s="146">
        <v>0.90758004006252124</v>
      </c>
      <c r="K640" s="146">
        <v>0.27</v>
      </c>
      <c r="L640" s="146">
        <v>132.72156449278106</v>
      </c>
      <c r="M640" s="146">
        <v>57.824748015527021</v>
      </c>
      <c r="N640" s="146">
        <v>1.3508752953337435</v>
      </c>
      <c r="O640" s="146"/>
      <c r="P640" s="146"/>
      <c r="Q640" s="146"/>
      <c r="R640" s="146"/>
      <c r="S640" s="146"/>
      <c r="T640" s="146"/>
      <c r="U640" s="146"/>
      <c r="V640" s="146"/>
      <c r="W640" s="146"/>
      <c r="X640" s="146"/>
      <c r="Y640" s="146"/>
      <c r="Z640" s="146">
        <v>7.1794790245814644E-2</v>
      </c>
      <c r="AA640" s="146"/>
      <c r="AB640" s="146"/>
      <c r="AC640" s="146"/>
      <c r="AD640" s="146"/>
      <c r="AE640" s="146"/>
      <c r="AF640" s="146"/>
      <c r="AG640" s="146"/>
      <c r="AH640" s="146"/>
      <c r="AI640" s="146"/>
      <c r="AJ640" s="146"/>
      <c r="AK640" s="146"/>
      <c r="AL640" s="146">
        <v>716.2510255190241</v>
      </c>
      <c r="AM640" s="146">
        <v>0.26498590780360293</v>
      </c>
      <c r="AN640" s="146">
        <v>5.4768831969249331E-2</v>
      </c>
      <c r="AO640" s="146">
        <v>83.893731407166001</v>
      </c>
      <c r="AP640" s="146">
        <v>40.813377852153238</v>
      </c>
      <c r="AQ640" t="s">
        <v>327</v>
      </c>
      <c r="AR640">
        <f t="shared" si="38"/>
        <v>14.644015877877388</v>
      </c>
      <c r="AS640">
        <f t="shared" si="39"/>
        <v>3.9965468373646496</v>
      </c>
      <c r="AT640">
        <v>0.3</v>
      </c>
      <c r="AU640">
        <v>1</v>
      </c>
      <c r="AV640">
        <v>0.4</v>
      </c>
      <c r="AW640" s="146">
        <v>3</v>
      </c>
      <c r="AX640" s="146">
        <v>0.86738152279128355</v>
      </c>
      <c r="AY640">
        <v>0.27</v>
      </c>
      <c r="AZ640" s="209">
        <v>40.813377852153238</v>
      </c>
      <c r="BA640">
        <v>0.86738152279128355</v>
      </c>
      <c r="BB640" s="249">
        <v>49.768391547803127</v>
      </c>
      <c r="BC640" s="243">
        <v>233.1670848775714</v>
      </c>
      <c r="BD640" s="209">
        <v>114287.52520894632</v>
      </c>
      <c r="BE640" s="243">
        <v>56.092567792803607</v>
      </c>
      <c r="BF640">
        <v>338300.28824507515</v>
      </c>
      <c r="BG640" t="s">
        <v>390</v>
      </c>
      <c r="BH640">
        <v>6.1982747056536084E-6</v>
      </c>
      <c r="BI640">
        <v>2342875.2520894632</v>
      </c>
      <c r="BJ640">
        <f t="shared" si="37"/>
        <v>0.14439534838372908</v>
      </c>
    </row>
    <row r="641" spans="1:62" x14ac:dyDescent="0.3">
      <c r="A641">
        <v>-0.85</v>
      </c>
      <c r="B641" s="146">
        <v>1000</v>
      </c>
      <c r="C641" s="146">
        <v>25</v>
      </c>
      <c r="D641" s="146">
        <v>400</v>
      </c>
      <c r="E641" s="252">
        <v>11.959332781900089</v>
      </c>
      <c r="F641" s="146">
        <v>3.5392098819941471</v>
      </c>
      <c r="G641" s="146">
        <v>14.151170091179736</v>
      </c>
      <c r="H641" s="146">
        <v>12.796967468881814</v>
      </c>
      <c r="I641" s="146"/>
      <c r="J641" s="146">
        <v>0.80207234828976681</v>
      </c>
      <c r="K641" s="146">
        <v>0.27</v>
      </c>
      <c r="L641" s="146">
        <v>89.00013055523759</v>
      </c>
      <c r="M641" s="146">
        <v>38.775990490871145</v>
      </c>
      <c r="N641" s="146">
        <v>1.3097864062793985</v>
      </c>
      <c r="O641" s="146"/>
      <c r="P641" s="146"/>
      <c r="Q641" s="146"/>
      <c r="R641" s="146"/>
      <c r="S641" s="146"/>
      <c r="T641" s="146"/>
      <c r="U641" s="146"/>
      <c r="V641" s="146"/>
      <c r="W641" s="146"/>
      <c r="X641" s="146"/>
      <c r="Y641" s="146"/>
      <c r="Z641" s="146">
        <v>0.10235131170446324</v>
      </c>
      <c r="AA641" s="146"/>
      <c r="AB641" s="146"/>
      <c r="AC641" s="146"/>
      <c r="AD641" s="146"/>
      <c r="AE641" s="146"/>
      <c r="AF641" s="146"/>
      <c r="AG641" s="146"/>
      <c r="AH641" s="146"/>
      <c r="AI641" s="146"/>
      <c r="AJ641" s="146"/>
      <c r="AK641" s="146"/>
      <c r="AL641" s="146">
        <v>728.66729071441205</v>
      </c>
      <c r="AM641" s="146">
        <v>0.25010015844556177</v>
      </c>
      <c r="AN641" s="146">
        <v>4.0339530924108413E-2</v>
      </c>
      <c r="AO641" s="146">
        <v>103.53317185568102</v>
      </c>
      <c r="AP641" s="146">
        <v>73.774087574713548</v>
      </c>
      <c r="AQ641" t="s">
        <v>327</v>
      </c>
      <c r="AR641">
        <f t="shared" si="38"/>
        <v>14.644015877877388</v>
      </c>
      <c r="AS641">
        <f t="shared" si="39"/>
        <v>3.9965468373646496</v>
      </c>
      <c r="AT641">
        <v>0.3</v>
      </c>
      <c r="AU641">
        <v>1</v>
      </c>
      <c r="AV641">
        <v>0.4</v>
      </c>
      <c r="AW641" s="146">
        <v>3</v>
      </c>
      <c r="AX641" s="146">
        <v>0.7111311231148113</v>
      </c>
      <c r="AY641">
        <v>0.27</v>
      </c>
      <c r="AZ641" s="209">
        <v>73.774087574713548</v>
      </c>
      <c r="BA641">
        <v>0.7111311231148113</v>
      </c>
      <c r="BB641" s="249">
        <v>34.741415010020177</v>
      </c>
      <c r="BC641" s="243">
        <v>129.41067507232515</v>
      </c>
      <c r="BD641" s="209">
        <v>60536.213869936175</v>
      </c>
      <c r="BE641" s="243">
        <v>39.482272240704305</v>
      </c>
      <c r="BF641">
        <v>677436.99423871259</v>
      </c>
      <c r="BG641" t="s">
        <v>390</v>
      </c>
      <c r="BH641">
        <v>4.4895438956206647E-6</v>
      </c>
      <c r="BI641">
        <v>1805362.1386993616</v>
      </c>
      <c r="BJ641">
        <f t="shared" si="37"/>
        <v>0.37523607021401206</v>
      </c>
    </row>
    <row r="642" spans="1:62" s="140" customFormat="1" ht="15" thickBot="1" x14ac:dyDescent="0.35">
      <c r="A642" s="160">
        <v>-0.87</v>
      </c>
      <c r="B642" s="160">
        <v>1000</v>
      </c>
      <c r="C642" s="160">
        <v>25</v>
      </c>
      <c r="D642" s="160">
        <v>400</v>
      </c>
      <c r="E642" s="253">
        <v>3.9519044646186927</v>
      </c>
      <c r="F642" s="140">
        <v>0.79406846593136071</v>
      </c>
      <c r="G642" s="140">
        <v>4.4596286899276478</v>
      </c>
      <c r="H642" s="140">
        <v>3.9126657310512893</v>
      </c>
      <c r="J642" s="140">
        <v>0.64326302954716508</v>
      </c>
      <c r="K642" s="140">
        <v>0.27</v>
      </c>
      <c r="L642" s="140">
        <v>26.758034586360104</v>
      </c>
      <c r="M642" s="140">
        <v>11.658064861277225</v>
      </c>
      <c r="N642" s="140">
        <v>0.98264776105834128</v>
      </c>
      <c r="Z642" s="140">
        <v>0.2511453389079355</v>
      </c>
      <c r="AL642" s="140">
        <v>776.58501227693512</v>
      </c>
      <c r="AM642" s="140">
        <v>0.17805708078899357</v>
      </c>
      <c r="AN642" s="140">
        <v>3.7671291447705792E-2</v>
      </c>
      <c r="AO642" s="140">
        <v>295.0950627720153</v>
      </c>
      <c r="AP642" s="140">
        <v>285.26113174776475</v>
      </c>
      <c r="AQ642" t="s">
        <v>327</v>
      </c>
      <c r="AR642">
        <f t="shared" si="38"/>
        <v>14.644015877877388</v>
      </c>
      <c r="AS642">
        <f t="shared" si="39"/>
        <v>3.9965468373646496</v>
      </c>
      <c r="AT642">
        <v>0.3</v>
      </c>
      <c r="AU642" s="140">
        <v>1</v>
      </c>
      <c r="AV642">
        <v>0.4</v>
      </c>
      <c r="AW642" s="160">
        <v>3</v>
      </c>
      <c r="AX642" s="160">
        <v>0.53524658298897188</v>
      </c>
      <c r="AY642">
        <v>0.27</v>
      </c>
      <c r="AZ642" s="248">
        <v>285.26113174776475</v>
      </c>
      <c r="BA642" s="140">
        <v>0.53524658298897188</v>
      </c>
      <c r="BB642" s="253">
        <v>9.7397074220479922</v>
      </c>
      <c r="BC642" s="245">
        <v>33.087641870414906</v>
      </c>
      <c r="BD642" s="210">
        <v>12504.187897777443</v>
      </c>
      <c r="BE642" s="245">
        <v>11.188355066894973</v>
      </c>
      <c r="BF642" s="140">
        <v>877552.95202188927</v>
      </c>
      <c r="BG642" s="254" t="s">
        <v>390</v>
      </c>
      <c r="BH642" s="140">
        <v>1.4082757045549814E-6</v>
      </c>
      <c r="BI642" s="140">
        <v>1325041.8789777744</v>
      </c>
      <c r="BJ642">
        <f t="shared" si="37"/>
        <v>0.6622831820975289</v>
      </c>
    </row>
    <row r="643" spans="1:62" x14ac:dyDescent="0.3">
      <c r="A643">
        <v>-0.1</v>
      </c>
      <c r="B643" s="146">
        <v>100</v>
      </c>
      <c r="C643" s="146">
        <v>25</v>
      </c>
      <c r="D643" s="146">
        <v>400</v>
      </c>
      <c r="E643" s="249">
        <v>3.2521583440556854</v>
      </c>
      <c r="F643">
        <v>0.89151189828244448</v>
      </c>
      <c r="G643">
        <v>3.9209937419762873</v>
      </c>
      <c r="H643">
        <v>0.89089565531449366</v>
      </c>
      <c r="J643">
        <v>0.14514502850589106</v>
      </c>
      <c r="K643">
        <v>0.08</v>
      </c>
      <c r="L643">
        <v>17.921698096047784</v>
      </c>
      <c r="M643">
        <v>10.01075779207029</v>
      </c>
      <c r="N643">
        <v>0.32019701781886944</v>
      </c>
      <c r="Z643">
        <v>0.35941023610204631</v>
      </c>
      <c r="AL643">
        <v>536.36308606541343</v>
      </c>
      <c r="AM643">
        <v>0.22736886538184023</v>
      </c>
      <c r="AN643">
        <v>0.20790210015866586</v>
      </c>
      <c r="AO643">
        <v>384.35726074160038</v>
      </c>
      <c r="AP643">
        <v>376.2645771559786</v>
      </c>
      <c r="AQ643" t="s">
        <v>382</v>
      </c>
      <c r="AR643">
        <f t="shared" ref="AR643:AR682" si="40">0.15*Jsat_t</f>
        <v>4.8813386259591285</v>
      </c>
      <c r="AS643">
        <f t="shared" ref="AS643:AS682" si="41">0.05*Jatp</f>
        <v>1.3321822791215501</v>
      </c>
      <c r="AT643">
        <v>0.1</v>
      </c>
      <c r="AU643">
        <v>0</v>
      </c>
      <c r="AV643">
        <v>0.2</v>
      </c>
      <c r="AW643">
        <v>3</v>
      </c>
      <c r="AX643">
        <v>8.2942005352995063E-2</v>
      </c>
      <c r="AY643">
        <v>0.08</v>
      </c>
      <c r="AZ643" s="209">
        <v>376.2645771559786</v>
      </c>
      <c r="BA643">
        <v>8.2942005352995063E-2</v>
      </c>
      <c r="BB643" s="249">
        <v>10.114272531752521</v>
      </c>
      <c r="BC643" s="243">
        <v>69.866051658638895</v>
      </c>
      <c r="BD643" s="209">
        <v>26063.224483406411</v>
      </c>
      <c r="BE643" s="243">
        <v>19.365727853112901</v>
      </c>
      <c r="BF643">
        <v>18650.896668539164</v>
      </c>
      <c r="BG643" t="s">
        <v>387</v>
      </c>
      <c r="BH643">
        <v>1.9925853822564675E-6</v>
      </c>
      <c r="BI643">
        <v>1460632.244834064</v>
      </c>
      <c r="BJ643">
        <f t="shared" si="37"/>
        <v>1.2769057190475766E-2</v>
      </c>
    </row>
    <row r="644" spans="1:62" x14ac:dyDescent="0.3">
      <c r="A644">
        <v>-0.1</v>
      </c>
      <c r="B644" s="146">
        <v>200</v>
      </c>
      <c r="C644" s="146">
        <v>25</v>
      </c>
      <c r="D644" s="146">
        <v>400</v>
      </c>
      <c r="E644" s="252">
        <v>5.9361861731034082</v>
      </c>
      <c r="F644" s="146">
        <v>1.6467027571814923</v>
      </c>
      <c r="G644" s="146">
        <v>7.0899535340099789</v>
      </c>
      <c r="H644" s="146">
        <v>1.6459486860016415</v>
      </c>
      <c r="I644" s="146"/>
      <c r="J644" s="146">
        <v>0.14235216492439245</v>
      </c>
      <c r="K644" s="146">
        <v>0.08</v>
      </c>
      <c r="L644" s="146">
        <v>33.172682683070427</v>
      </c>
      <c r="M644" s="146">
        <v>18.529700136319999</v>
      </c>
      <c r="N644" s="146">
        <v>0.51719707809705184</v>
      </c>
      <c r="O644" s="146"/>
      <c r="P644" s="146"/>
      <c r="Q644" s="146"/>
      <c r="R644" s="146"/>
      <c r="S644" s="146"/>
      <c r="T644" s="146"/>
      <c r="U644" s="146"/>
      <c r="V644" s="146"/>
      <c r="W644" s="146"/>
      <c r="X644" s="146"/>
      <c r="Y644" s="146"/>
      <c r="Z644" s="146">
        <v>0.31422430267460721</v>
      </c>
      <c r="AA644" s="146"/>
      <c r="AB644" s="146"/>
      <c r="AC644" s="146"/>
      <c r="AD644" s="146"/>
      <c r="AE644" s="146"/>
      <c r="AF644" s="146"/>
      <c r="AG644" s="146"/>
      <c r="AH644" s="146"/>
      <c r="AI644" s="146"/>
      <c r="AJ644" s="146"/>
      <c r="AK644" s="146"/>
      <c r="AL644" s="146">
        <v>618.23447806653519</v>
      </c>
      <c r="AM644" s="146">
        <v>0.23225861062168909</v>
      </c>
      <c r="AN644" s="146">
        <v>0.231948360471567</v>
      </c>
      <c r="AO644" s="146">
        <v>374.40729410186503</v>
      </c>
      <c r="AP644" s="146">
        <v>359.63593901800937</v>
      </c>
      <c r="AQ644" t="s">
        <v>382</v>
      </c>
      <c r="AR644">
        <f t="shared" si="40"/>
        <v>4.8813386259591285</v>
      </c>
      <c r="AS644">
        <f t="shared" si="41"/>
        <v>1.3321822791215501</v>
      </c>
      <c r="AT644">
        <v>0.1</v>
      </c>
      <c r="AU644">
        <v>0</v>
      </c>
      <c r="AV644">
        <v>0.2</v>
      </c>
      <c r="AW644">
        <v>3</v>
      </c>
      <c r="AX644">
        <v>8.371272088812115E-2</v>
      </c>
      <c r="AY644">
        <v>0.08</v>
      </c>
      <c r="AZ644" s="209">
        <v>359.63593901800937</v>
      </c>
      <c r="BA644">
        <v>8.371272088812115E-2</v>
      </c>
      <c r="BB644" s="249">
        <v>18.510345072303405</v>
      </c>
      <c r="BC644" s="243">
        <v>101.66061789161601</v>
      </c>
      <c r="BD644" s="209">
        <v>42239.821759501312</v>
      </c>
      <c r="BE644" s="243">
        <v>30.505775034713896</v>
      </c>
      <c r="BF644">
        <v>51471.017990081469</v>
      </c>
      <c r="BG644" t="s">
        <v>387</v>
      </c>
      <c r="BH644">
        <v>3.3320359792869131E-6</v>
      </c>
      <c r="BI644">
        <v>1622398.2175950131</v>
      </c>
      <c r="BJ644">
        <f t="shared" ref="BJ644:BJ707" si="42">BF644/BI644</f>
        <v>3.1725267836142178E-2</v>
      </c>
    </row>
    <row r="645" spans="1:62" x14ac:dyDescent="0.3">
      <c r="A645">
        <v>-0.1</v>
      </c>
      <c r="B645" s="146">
        <v>300</v>
      </c>
      <c r="C645" s="146">
        <v>25</v>
      </c>
      <c r="D645" s="146">
        <v>400</v>
      </c>
      <c r="E645" s="252">
        <v>8.2117665171132224</v>
      </c>
      <c r="F645" s="146">
        <v>2.3240979257960319</v>
      </c>
      <c r="G645" s="146">
        <v>9.784071294469058</v>
      </c>
      <c r="H645" s="146">
        <v>2.3104703034344354</v>
      </c>
      <c r="I645" s="146"/>
      <c r="J645" s="146">
        <v>0.14100698046578378</v>
      </c>
      <c r="K645" s="146">
        <v>0.08</v>
      </c>
      <c r="L645" s="146">
        <v>46.630445199257153</v>
      </c>
      <c r="M645" s="146">
        <v>26.046978926015573</v>
      </c>
      <c r="N645" s="146">
        <v>0.66144108423918024</v>
      </c>
      <c r="O645" s="146"/>
      <c r="P645" s="146"/>
      <c r="Q645" s="146"/>
      <c r="R645" s="146"/>
      <c r="S645" s="146"/>
      <c r="T645" s="146"/>
      <c r="U645" s="146"/>
      <c r="V645" s="146"/>
      <c r="W645" s="146"/>
      <c r="X645" s="146"/>
      <c r="Y645" s="146"/>
      <c r="Z645" s="146">
        <v>0.28627984668574646</v>
      </c>
      <c r="AA645" s="146"/>
      <c r="AB645" s="146"/>
      <c r="AC645" s="146"/>
      <c r="AD645" s="146"/>
      <c r="AE645" s="146"/>
      <c r="AF645" s="146"/>
      <c r="AG645" s="146"/>
      <c r="AH645" s="146"/>
      <c r="AI645" s="146"/>
      <c r="AJ645" s="146"/>
      <c r="AK645" s="146"/>
      <c r="AL645" s="146">
        <v>676.79101986664239</v>
      </c>
      <c r="AM645" s="146">
        <v>0.23753894016592519</v>
      </c>
      <c r="AN645" s="146">
        <v>0.24515913744853968</v>
      </c>
      <c r="AO645" s="146">
        <v>366.50434243415901</v>
      </c>
      <c r="AP645" s="146">
        <v>346.07047774705228</v>
      </c>
      <c r="AQ645" t="s">
        <v>382</v>
      </c>
      <c r="AR645">
        <f t="shared" si="40"/>
        <v>4.8813386259591285</v>
      </c>
      <c r="AS645">
        <f t="shared" si="41"/>
        <v>1.3321822791215501</v>
      </c>
      <c r="AT645">
        <v>0.1</v>
      </c>
      <c r="AU645">
        <v>0</v>
      </c>
      <c r="AV645">
        <v>0.2</v>
      </c>
      <c r="AW645">
        <v>3</v>
      </c>
      <c r="AX645">
        <v>8.479127326277254E-2</v>
      </c>
      <c r="AY645">
        <v>0.08</v>
      </c>
      <c r="AZ645" s="209">
        <v>346.07047774705228</v>
      </c>
      <c r="BA645">
        <v>8.479127326277254E-2</v>
      </c>
      <c r="BB645" s="249">
        <v>25.880124178060253</v>
      </c>
      <c r="BC645" s="243">
        <v>124.52723542535661</v>
      </c>
      <c r="BD645" s="209">
        <v>55470.297255188416</v>
      </c>
      <c r="BE645" s="243">
        <v>39.575090357771387</v>
      </c>
      <c r="BF645">
        <v>88769.972317740452</v>
      </c>
      <c r="BG645" t="s">
        <v>387</v>
      </c>
      <c r="BH645">
        <v>4.2320371246942484E-6</v>
      </c>
      <c r="BI645">
        <v>1754702.9725518841</v>
      </c>
      <c r="BJ645">
        <f t="shared" si="42"/>
        <v>5.0589742940163419E-2</v>
      </c>
    </row>
    <row r="646" spans="1:62" x14ac:dyDescent="0.3">
      <c r="A646">
        <v>-0.1</v>
      </c>
      <c r="B646" s="146">
        <v>400</v>
      </c>
      <c r="C646" s="146">
        <v>25</v>
      </c>
      <c r="D646" s="146">
        <v>400</v>
      </c>
      <c r="E646" s="252">
        <v>10.175400099994379</v>
      </c>
      <c r="F646" s="146">
        <v>2.942603105669213</v>
      </c>
      <c r="G646" s="146">
        <v>12.121999305892331</v>
      </c>
      <c r="H646" s="146">
        <v>2.9042087857374987</v>
      </c>
      <c r="I646" s="146"/>
      <c r="J646" s="146">
        <v>0.14008501063383855</v>
      </c>
      <c r="K646" s="146">
        <v>0.08</v>
      </c>
      <c r="L646" s="146">
        <v>58.679628725295807</v>
      </c>
      <c r="M646" s="146">
        <v>32.777449287971777</v>
      </c>
      <c r="N646" s="146">
        <v>0.77548259582620682</v>
      </c>
      <c r="O646" s="146"/>
      <c r="P646" s="146"/>
      <c r="Q646" s="146"/>
      <c r="R646" s="146"/>
      <c r="S646" s="146"/>
      <c r="T646" s="146"/>
      <c r="U646" s="146"/>
      <c r="V646" s="146"/>
      <c r="W646" s="146"/>
      <c r="X646" s="146"/>
      <c r="Y646" s="146"/>
      <c r="Z646" s="146">
        <v>0.26702026370644688</v>
      </c>
      <c r="AA646" s="146"/>
      <c r="AB646" s="146"/>
      <c r="AC646" s="146"/>
      <c r="AD646" s="146"/>
      <c r="AE646" s="146"/>
      <c r="AF646" s="146"/>
      <c r="AG646" s="146"/>
      <c r="AH646" s="146"/>
      <c r="AI646" s="146"/>
      <c r="AJ646" s="146"/>
      <c r="AK646" s="146"/>
      <c r="AL646" s="146">
        <v>722.34921544014242</v>
      </c>
      <c r="AM646" s="146">
        <v>0.24274899143401663</v>
      </c>
      <c r="AN646" s="146">
        <v>0.25392927293935702</v>
      </c>
      <c r="AO646" s="146">
        <v>359.92821157557341</v>
      </c>
      <c r="AP646" s="146">
        <v>334.60791752703892</v>
      </c>
      <c r="AQ646" t="s">
        <v>382</v>
      </c>
      <c r="AR646">
        <f t="shared" si="40"/>
        <v>4.8813386259591285</v>
      </c>
      <c r="AS646">
        <f t="shared" si="41"/>
        <v>1.3321822791215501</v>
      </c>
      <c r="AT646">
        <v>0.1</v>
      </c>
      <c r="AU646">
        <v>0</v>
      </c>
      <c r="AV646">
        <v>0.2</v>
      </c>
      <c r="AW646">
        <v>3</v>
      </c>
      <c r="AX646">
        <v>8.5629393876733711E-2</v>
      </c>
      <c r="AY646">
        <v>0.08</v>
      </c>
      <c r="AZ646" s="209">
        <v>334.60791752703892</v>
      </c>
      <c r="BA646">
        <v>8.5629393876733711E-2</v>
      </c>
      <c r="BB646" s="249">
        <v>32.477991203282365</v>
      </c>
      <c r="BC646" s="243">
        <v>142.7166407850514</v>
      </c>
      <c r="BD646" s="209">
        <v>66881.600551257681</v>
      </c>
      <c r="BE646" s="243">
        <v>47.402420440286605</v>
      </c>
      <c r="BF646">
        <v>127616.29682660365</v>
      </c>
      <c r="BG646" t="s">
        <v>387</v>
      </c>
      <c r="BH646">
        <v>4.866961607608447E-6</v>
      </c>
      <c r="BI646">
        <v>1868816.0055125768</v>
      </c>
      <c r="BJ646">
        <f t="shared" si="42"/>
        <v>6.8287245213100145E-2</v>
      </c>
    </row>
    <row r="647" spans="1:62" x14ac:dyDescent="0.3">
      <c r="A647">
        <v>-0.1</v>
      </c>
      <c r="B647" s="146">
        <v>600</v>
      </c>
      <c r="C647" s="146">
        <v>25</v>
      </c>
      <c r="D647" s="146">
        <v>400</v>
      </c>
      <c r="E647" s="252">
        <v>13.386316066524065</v>
      </c>
      <c r="F647" s="146">
        <v>4.033402604150452</v>
      </c>
      <c r="G647" s="146">
        <v>15.980272761877497</v>
      </c>
      <c r="H647" s="146">
        <v>3.9209827611008254</v>
      </c>
      <c r="I647" s="146"/>
      <c r="J647" s="146">
        <v>0.13886666890678848</v>
      </c>
      <c r="K647" s="146">
        <v>0.08</v>
      </c>
      <c r="L647" s="146">
        <v>79.366266277515336</v>
      </c>
      <c r="M647" s="146">
        <v>44.332655550110751</v>
      </c>
      <c r="N647" s="146">
        <v>0.94759931779563145</v>
      </c>
      <c r="O647" s="146"/>
      <c r="P647" s="146"/>
      <c r="Q647" s="146"/>
      <c r="R647" s="146"/>
      <c r="S647" s="146"/>
      <c r="T647" s="146"/>
      <c r="U647" s="146"/>
      <c r="V647" s="146"/>
      <c r="W647" s="146"/>
      <c r="X647" s="146"/>
      <c r="Y647" s="146"/>
      <c r="Z647" s="146">
        <v>0.24167393113699653</v>
      </c>
      <c r="AA647" s="146"/>
      <c r="AB647" s="146"/>
      <c r="AC647" s="146"/>
      <c r="AD647" s="146"/>
      <c r="AE647" s="146"/>
      <c r="AF647" s="146"/>
      <c r="AG647" s="146"/>
      <c r="AH647" s="146"/>
      <c r="AI647" s="146"/>
      <c r="AJ647" s="146"/>
      <c r="AK647" s="146"/>
      <c r="AL647" s="146">
        <v>790.04501712674539</v>
      </c>
      <c r="AM647" s="146">
        <v>0.25239885853341176</v>
      </c>
      <c r="AN647" s="146">
        <v>0.26536613913984719</v>
      </c>
      <c r="AO647" s="146">
        <v>349.55529703256707</v>
      </c>
      <c r="AP647" s="146">
        <v>316.24535822892972</v>
      </c>
      <c r="AQ647" t="s">
        <v>382</v>
      </c>
      <c r="AR647">
        <f t="shared" si="40"/>
        <v>4.8813386259591285</v>
      </c>
      <c r="AS647">
        <f t="shared" si="41"/>
        <v>1.3321822791215501</v>
      </c>
      <c r="AT647">
        <v>0.1</v>
      </c>
      <c r="AU647">
        <v>0</v>
      </c>
      <c r="AV647">
        <v>0.2</v>
      </c>
      <c r="AW647">
        <v>3</v>
      </c>
      <c r="AX647">
        <v>8.6790999507531427E-2</v>
      </c>
      <c r="AY647">
        <v>0.08</v>
      </c>
      <c r="AZ647" s="209">
        <v>316.24535822892972</v>
      </c>
      <c r="BA647">
        <v>8.6790999507531427E-2</v>
      </c>
      <c r="BB647" s="249">
        <v>43.830645373222275</v>
      </c>
      <c r="BC647" s="243">
        <v>170.46865705408425</v>
      </c>
      <c r="BD647" s="209">
        <v>85736.46694504311</v>
      </c>
      <c r="BE647" s="243">
        <v>60.433500257197743</v>
      </c>
      <c r="BF647">
        <v>204566.88296217343</v>
      </c>
      <c r="BG647" t="s">
        <v>387</v>
      </c>
      <c r="BH647">
        <v>5.67588581403603E-6</v>
      </c>
      <c r="BI647">
        <v>2057364.6694504311</v>
      </c>
      <c r="BJ647">
        <f t="shared" si="42"/>
        <v>9.9431513527846238E-2</v>
      </c>
    </row>
    <row r="648" spans="1:62" x14ac:dyDescent="0.3">
      <c r="A648">
        <v>-0.1</v>
      </c>
      <c r="B648" s="146">
        <v>800</v>
      </c>
      <c r="C648" s="146">
        <v>25</v>
      </c>
      <c r="D648" s="146">
        <v>400</v>
      </c>
      <c r="E648" s="252">
        <v>15.864109931519463</v>
      </c>
      <c r="F648" s="146">
        <v>4.9519583470388584</v>
      </c>
      <c r="G648" s="146">
        <v>18.993229550902527</v>
      </c>
      <c r="H648" s="146">
        <v>4.7507550276551109</v>
      </c>
      <c r="I648" s="146"/>
      <c r="J648" s="146">
        <v>0.13821631720853209</v>
      </c>
      <c r="K648" s="146">
        <v>0.08</v>
      </c>
      <c r="L648" s="146">
        <v>96.29947726574261</v>
      </c>
      <c r="M648" s="146">
        <v>53.791261142989747</v>
      </c>
      <c r="N648" s="146">
        <v>1.0708379280795741</v>
      </c>
      <c r="O648" s="146"/>
      <c r="P648" s="146"/>
      <c r="Q648" s="146"/>
      <c r="R648" s="146"/>
      <c r="S648" s="146"/>
      <c r="T648" s="146"/>
      <c r="U648" s="146"/>
      <c r="V648" s="146"/>
      <c r="W648" s="146"/>
      <c r="X648" s="146"/>
      <c r="Y648" s="146"/>
      <c r="Z648" s="146">
        <v>0.2254037351633601</v>
      </c>
      <c r="AA648" s="146"/>
      <c r="AB648" s="146"/>
      <c r="AC648" s="146"/>
      <c r="AD648" s="146"/>
      <c r="AE648" s="146"/>
      <c r="AF648" s="146"/>
      <c r="AG648" s="146"/>
      <c r="AH648" s="146"/>
      <c r="AI648" s="146"/>
      <c r="AJ648" s="146"/>
      <c r="AK648" s="146"/>
      <c r="AL648" s="146">
        <v>837.7957069741567</v>
      </c>
      <c r="AM648" s="146">
        <v>0.26072229231829347</v>
      </c>
      <c r="AN648" s="146">
        <v>0.27282487087139112</v>
      </c>
      <c r="AO648" s="146">
        <v>341.85240560785326</v>
      </c>
      <c r="AP648" s="146">
        <v>302.37674293436982</v>
      </c>
      <c r="AQ648" t="s">
        <v>382</v>
      </c>
      <c r="AR648">
        <f t="shared" si="40"/>
        <v>4.8813386259591285</v>
      </c>
      <c r="AS648">
        <f t="shared" si="41"/>
        <v>1.3321822791215501</v>
      </c>
      <c r="AT648">
        <v>0.1</v>
      </c>
      <c r="AU648">
        <v>0</v>
      </c>
      <c r="AV648">
        <v>0.2</v>
      </c>
      <c r="AW648">
        <v>3</v>
      </c>
      <c r="AX648">
        <v>8.761152533698631E-2</v>
      </c>
      <c r="AY648">
        <v>0.08</v>
      </c>
      <c r="AZ648" s="209">
        <v>302.37674293436982</v>
      </c>
      <c r="BA648">
        <v>8.761152533698631E-2</v>
      </c>
      <c r="BB648" s="249">
        <v>53.138219999468213</v>
      </c>
      <c r="BC648" s="243">
        <v>190.48767192447565</v>
      </c>
      <c r="BD648" s="209">
        <v>100430.81058852647</v>
      </c>
      <c r="BE648" s="243">
        <v>70.768506420977118</v>
      </c>
      <c r="BF648">
        <v>275813.21226090915</v>
      </c>
      <c r="BG648" t="s">
        <v>387</v>
      </c>
      <c r="BH648">
        <v>6.1446078157550931E-6</v>
      </c>
      <c r="BI648">
        <v>2204308.1058852645</v>
      </c>
      <c r="BJ648">
        <f t="shared" si="42"/>
        <v>0.12512461916032414</v>
      </c>
    </row>
    <row r="649" spans="1:62" x14ac:dyDescent="0.3">
      <c r="A649">
        <v>-0.1</v>
      </c>
      <c r="B649" s="146">
        <v>1000</v>
      </c>
      <c r="C649" s="146">
        <v>25</v>
      </c>
      <c r="D649" s="146">
        <v>400</v>
      </c>
      <c r="E649" s="252">
        <v>17.792993373864995</v>
      </c>
      <c r="F649" s="146">
        <v>5.719618003968276</v>
      </c>
      <c r="G649" s="146">
        <v>21.363428074659275</v>
      </c>
      <c r="H649" s="146">
        <v>5.4275922509360202</v>
      </c>
      <c r="I649" s="146"/>
      <c r="J649" s="146">
        <v>0.13784320253889112</v>
      </c>
      <c r="K649" s="146">
        <v>0.08</v>
      </c>
      <c r="L649" s="146">
        <v>110.14971925098196</v>
      </c>
      <c r="M649" s="146">
        <v>61.527772333654781</v>
      </c>
      <c r="N649" s="146">
        <v>1.1623386519043724</v>
      </c>
      <c r="O649" s="146"/>
      <c r="P649" s="146"/>
      <c r="Q649" s="146"/>
      <c r="R649" s="146"/>
      <c r="S649" s="146"/>
      <c r="T649" s="146"/>
      <c r="U649" s="146"/>
      <c r="V649" s="146"/>
      <c r="W649" s="146"/>
      <c r="X649" s="146"/>
      <c r="Y649" s="146"/>
      <c r="Z649" s="146">
        <v>0.21415364275087545</v>
      </c>
      <c r="AA649" s="146"/>
      <c r="AB649" s="146"/>
      <c r="AC649" s="146"/>
      <c r="AD649" s="146"/>
      <c r="AE649" s="146"/>
      <c r="AF649" s="146"/>
      <c r="AG649" s="146"/>
      <c r="AH649" s="146"/>
      <c r="AI649" s="146"/>
      <c r="AJ649" s="146"/>
      <c r="AK649" s="146"/>
      <c r="AL649" s="146">
        <v>872.90710403833373</v>
      </c>
      <c r="AM649" s="146">
        <v>0.26772941046632553</v>
      </c>
      <c r="AN649" s="146">
        <v>0.2780725046542003</v>
      </c>
      <c r="AO649" s="146">
        <v>336.0131150111672</v>
      </c>
      <c r="AP649" s="146">
        <v>291.7377780861475</v>
      </c>
      <c r="AQ649" t="s">
        <v>382</v>
      </c>
      <c r="AR649">
        <f t="shared" si="40"/>
        <v>4.8813386259591285</v>
      </c>
      <c r="AS649">
        <f t="shared" si="41"/>
        <v>1.3321822791215501</v>
      </c>
      <c r="AT649">
        <v>0.1</v>
      </c>
      <c r="AU649">
        <v>0</v>
      </c>
      <c r="AV649">
        <v>0.2</v>
      </c>
      <c r="AW649">
        <v>3</v>
      </c>
      <c r="AX649">
        <v>8.8223267800812882E-2</v>
      </c>
      <c r="AY649">
        <v>0.08</v>
      </c>
      <c r="AZ649" s="209">
        <v>291.7377780861475</v>
      </c>
      <c r="BA649">
        <v>8.8223267800812882E-2</v>
      </c>
      <c r="BB649" s="249">
        <v>60.758739618389882</v>
      </c>
      <c r="BC649" s="243">
        <v>205.18737474918007</v>
      </c>
      <c r="BD649" s="209">
        <v>111912.50415669975</v>
      </c>
      <c r="BE649" s="243">
        <v>79.06290477487687</v>
      </c>
      <c r="BF649">
        <v>338901.5670259964</v>
      </c>
      <c r="BG649" t="s">
        <v>387</v>
      </c>
      <c r="BH649">
        <v>6.4345608626498021E-6</v>
      </c>
      <c r="BI649">
        <v>2319125.0415669978</v>
      </c>
      <c r="BJ649">
        <f t="shared" si="42"/>
        <v>0.1461333739887547</v>
      </c>
    </row>
    <row r="650" spans="1:62" x14ac:dyDescent="0.3">
      <c r="A650">
        <v>-0.1</v>
      </c>
      <c r="B650" s="146">
        <v>1300</v>
      </c>
      <c r="C650" s="146">
        <v>25</v>
      </c>
      <c r="D650" s="146">
        <v>400</v>
      </c>
      <c r="E650" s="252">
        <v>19.919543287606079</v>
      </c>
      <c r="F650" s="146">
        <v>6.6194318315262848</v>
      </c>
      <c r="G650" s="146">
        <v>24.000960275981509</v>
      </c>
      <c r="H650" s="146">
        <v>6.2116772444580493</v>
      </c>
      <c r="I650" s="146"/>
      <c r="J650" s="146">
        <v>0.13650717155795092</v>
      </c>
      <c r="K650" s="146">
        <v>0.08</v>
      </c>
      <c r="L650" s="146">
        <v>126.2452533171831</v>
      </c>
      <c r="M650" s="146">
        <v>70.518465749380212</v>
      </c>
      <c r="N650" s="146">
        <v>1.2776109755525589</v>
      </c>
      <c r="O650" s="146"/>
      <c r="P650" s="146"/>
      <c r="Q650" s="146"/>
      <c r="R650" s="146"/>
      <c r="S650" s="146"/>
      <c r="T650" s="146"/>
      <c r="U650" s="146"/>
      <c r="V650" s="146"/>
      <c r="W650" s="146"/>
      <c r="X650" s="146"/>
      <c r="Y650" s="146"/>
      <c r="Z650" s="146">
        <v>0.2056789052735187</v>
      </c>
      <c r="AA650" s="146"/>
      <c r="AB650" s="146"/>
      <c r="AC650" s="146"/>
      <c r="AD650" s="146"/>
      <c r="AE650" s="146"/>
      <c r="AF650" s="146"/>
      <c r="AG650" s="146"/>
      <c r="AH650" s="146"/>
      <c r="AI650" s="146"/>
      <c r="AJ650" s="146"/>
      <c r="AK650" s="146"/>
      <c r="AL650" s="146">
        <v>919.04005313853861</v>
      </c>
      <c r="AM650" s="146">
        <v>0.2757986245304756</v>
      </c>
      <c r="AN650" s="146">
        <v>0.28376029072755332</v>
      </c>
      <c r="AO650" s="146">
        <v>329.80151226750957</v>
      </c>
      <c r="AP650" s="146">
        <v>280.23456536225819</v>
      </c>
      <c r="AQ650" t="s">
        <v>382</v>
      </c>
      <c r="AR650">
        <f t="shared" si="40"/>
        <v>4.8813386259591285</v>
      </c>
      <c r="AS650">
        <f t="shared" si="41"/>
        <v>1.3321822791215501</v>
      </c>
      <c r="AT650">
        <v>0.1</v>
      </c>
      <c r="AU650">
        <v>0</v>
      </c>
      <c r="AV650">
        <v>0.2</v>
      </c>
      <c r="AW650" s="146">
        <v>3</v>
      </c>
      <c r="AX650">
        <v>8.8522739613821844E-2</v>
      </c>
      <c r="AY650">
        <v>0.08</v>
      </c>
      <c r="AZ650" s="209">
        <v>280.23456536225819</v>
      </c>
      <c r="BA650">
        <v>8.8522739613821844E-2</v>
      </c>
      <c r="BB650" s="249">
        <v>69.547759076274019</v>
      </c>
      <c r="BC650" s="243">
        <v>220.25460942011787</v>
      </c>
      <c r="BD650" s="209">
        <v>124437.9208629223</v>
      </c>
      <c r="BE650" s="243">
        <v>88.425819624796929</v>
      </c>
      <c r="BF650">
        <v>416470.25148121169</v>
      </c>
      <c r="BG650" t="s">
        <v>387</v>
      </c>
      <c r="BH650">
        <v>6.6948718828498166E-6</v>
      </c>
      <c r="BI650">
        <v>2444379.2086292231</v>
      </c>
      <c r="BJ650">
        <f t="shared" si="42"/>
        <v>0.17037874074978854</v>
      </c>
    </row>
    <row r="651" spans="1:62" x14ac:dyDescent="0.3">
      <c r="A651">
        <v>-0.1</v>
      </c>
      <c r="B651" s="227">
        <v>1600</v>
      </c>
      <c r="C651" s="146">
        <v>25</v>
      </c>
      <c r="D651" s="146">
        <v>400</v>
      </c>
      <c r="E651" s="252">
        <v>21.401383369797919</v>
      </c>
      <c r="F651" s="146">
        <v>7.2854079190973264</v>
      </c>
      <c r="G651" s="146">
        <v>25.856507885936278</v>
      </c>
      <c r="H651" s="146">
        <v>6.7874886029263095</v>
      </c>
      <c r="I651" s="146"/>
      <c r="J651" s="146">
        <v>0.13669042645768789</v>
      </c>
      <c r="K651" s="146">
        <v>0.08</v>
      </c>
      <c r="L651" s="146">
        <v>138.1062944767036</v>
      </c>
      <c r="M651" s="146">
        <v>77.143842963826273</v>
      </c>
      <c r="N651" s="146">
        <v>1.3433265495290518</v>
      </c>
      <c r="O651" s="146"/>
      <c r="P651" s="146"/>
      <c r="Q651" s="146"/>
      <c r="R651" s="146"/>
      <c r="S651" s="146"/>
      <c r="T651" s="146"/>
      <c r="U651" s="146"/>
      <c r="V651" s="146"/>
      <c r="W651" s="146"/>
      <c r="X651" s="146"/>
      <c r="Y651" s="146"/>
      <c r="Z651" s="146">
        <v>0.19791216282115001</v>
      </c>
      <c r="AA651" s="146"/>
      <c r="AB651" s="146"/>
      <c r="AC651" s="146"/>
      <c r="AD651" s="146"/>
      <c r="AE651" s="146"/>
      <c r="AF651" s="146"/>
      <c r="AG651" s="146"/>
      <c r="AH651" s="146"/>
      <c r="AI651" s="146"/>
      <c r="AJ651" s="146"/>
      <c r="AK651" s="146"/>
      <c r="AL651" s="146">
        <v>944.00741589747076</v>
      </c>
      <c r="AM651" s="146">
        <v>0.28176302659416602</v>
      </c>
      <c r="AN651" s="146">
        <v>0.28764705156658876</v>
      </c>
      <c r="AO651" s="146">
        <v>325.59846084553516</v>
      </c>
      <c r="AP651" s="146">
        <v>272.3441411329452</v>
      </c>
      <c r="AQ651" t="s">
        <v>382</v>
      </c>
      <c r="AR651">
        <f t="shared" si="40"/>
        <v>4.8813386259591285</v>
      </c>
      <c r="AS651">
        <f t="shared" si="41"/>
        <v>1.3321822791215501</v>
      </c>
      <c r="AT651">
        <v>0.1</v>
      </c>
      <c r="AU651">
        <v>0</v>
      </c>
      <c r="AV651">
        <v>0.2</v>
      </c>
      <c r="AW651" s="146">
        <v>3</v>
      </c>
      <c r="AX651">
        <v>8.9200460507607521E-2</v>
      </c>
      <c r="AY651">
        <v>0.08</v>
      </c>
      <c r="AZ651" s="209">
        <v>272.3441411329452</v>
      </c>
      <c r="BA651">
        <v>8.9200460507607521E-2</v>
      </c>
      <c r="BB651" s="249">
        <v>75.94151306822981</v>
      </c>
      <c r="BC651" s="243">
        <v>229.92707605109737</v>
      </c>
      <c r="BD651" s="209">
        <v>132977.71072707322</v>
      </c>
      <c r="BE651" s="243">
        <v>95.041146584781757</v>
      </c>
      <c r="BF651">
        <v>475608.27578298352</v>
      </c>
      <c r="BG651" t="s">
        <v>387</v>
      </c>
      <c r="BH651">
        <v>6.847160394311617E-6</v>
      </c>
      <c r="BI651">
        <v>2529777.1072707325</v>
      </c>
      <c r="BJ651">
        <f t="shared" si="42"/>
        <v>0.18800402391817703</v>
      </c>
    </row>
    <row r="652" spans="1:62" s="140" customFormat="1" x14ac:dyDescent="0.3">
      <c r="A652" s="140">
        <v>-0.1</v>
      </c>
      <c r="B652" s="140">
        <v>1900</v>
      </c>
      <c r="C652" s="140">
        <v>25</v>
      </c>
      <c r="D652" s="140">
        <v>400</v>
      </c>
      <c r="E652" s="253">
        <v>22.506774915906746</v>
      </c>
      <c r="F652" s="140">
        <v>7.810095552590826</v>
      </c>
      <c r="G652" s="140">
        <v>27.254528115482962</v>
      </c>
      <c r="H652" s="140">
        <v>7.2277636822268976</v>
      </c>
      <c r="J652" s="140">
        <v>0.13708897525174399</v>
      </c>
      <c r="K652" s="140">
        <v>0.08</v>
      </c>
      <c r="L652" s="140">
        <v>147.19881716962701</v>
      </c>
      <c r="M652" s="140">
        <v>82.222772533442878</v>
      </c>
      <c r="N652" s="140">
        <v>1.384979051814188</v>
      </c>
      <c r="Z652" s="140">
        <v>0.19161930476778835</v>
      </c>
      <c r="AL652" s="140">
        <v>958.89823935836876</v>
      </c>
      <c r="AM652" s="140">
        <v>0.28656139337646452</v>
      </c>
      <c r="AN652" s="140">
        <v>0.29008657674288552</v>
      </c>
      <c r="AO652" s="140">
        <v>322.41359400833176</v>
      </c>
      <c r="AP652" s="140">
        <v>266.40871345127539</v>
      </c>
      <c r="AQ652" t="s">
        <v>382</v>
      </c>
      <c r="AR652">
        <f t="shared" si="40"/>
        <v>4.8813386259591285</v>
      </c>
      <c r="AS652">
        <f t="shared" si="41"/>
        <v>1.3321822791215501</v>
      </c>
      <c r="AT652">
        <v>0.1</v>
      </c>
      <c r="AU652">
        <v>0</v>
      </c>
      <c r="AV652">
        <v>0.2</v>
      </c>
      <c r="AW652" s="140">
        <v>3</v>
      </c>
      <c r="AX652">
        <v>8.9755889175735876E-2</v>
      </c>
      <c r="AY652">
        <v>0.08</v>
      </c>
      <c r="AZ652" s="209">
        <v>266.40871345127539</v>
      </c>
      <c r="BA652" s="140">
        <v>8.9755889175735876E-2</v>
      </c>
      <c r="BB652" s="253">
        <v>80.908049311811638</v>
      </c>
      <c r="BC652" s="245">
        <v>236.80962490888069</v>
      </c>
      <c r="BD652" s="210">
        <v>139455.41383307314</v>
      </c>
      <c r="BE652" s="245">
        <v>100.27254440344139</v>
      </c>
      <c r="BF652" s="140">
        <v>523100.78069716663</v>
      </c>
      <c r="BG652" t="s">
        <v>387</v>
      </c>
      <c r="BH652" s="140">
        <v>6.9408355948482237E-6</v>
      </c>
      <c r="BI652" s="140">
        <v>2594554.1383307315</v>
      </c>
      <c r="BJ652">
        <f t="shared" si="42"/>
        <v>0.20161490291110903</v>
      </c>
    </row>
    <row r="653" spans="1:62" x14ac:dyDescent="0.3">
      <c r="A653">
        <v>-0.1</v>
      </c>
      <c r="B653" s="146">
        <v>1000</v>
      </c>
      <c r="C653" s="146">
        <v>25</v>
      </c>
      <c r="D653" s="146">
        <v>200</v>
      </c>
      <c r="E653" s="252">
        <v>12.054101751253743</v>
      </c>
      <c r="F653" s="146">
        <v>9.622044469820608</v>
      </c>
      <c r="G653" s="146">
        <v>17.680332524030902</v>
      </c>
      <c r="H653" s="146">
        <v>5.7158057439562935</v>
      </c>
      <c r="I653" s="146"/>
      <c r="J653" s="146">
        <v>0.1591184163191274</v>
      </c>
      <c r="K653" s="146">
        <v>0.08</v>
      </c>
      <c r="L653" s="146">
        <v>116.52000732944821</v>
      </c>
      <c r="M653" s="146">
        <v>65.086107636340273</v>
      </c>
      <c r="N653" s="146">
        <v>0.78259857773670483</v>
      </c>
      <c r="O653" s="146"/>
      <c r="P653" s="146"/>
      <c r="Q653" s="146"/>
      <c r="R653" s="146"/>
      <c r="S653" s="146"/>
      <c r="T653" s="146"/>
      <c r="U653" s="146"/>
      <c r="V653" s="146"/>
      <c r="W653" s="146"/>
      <c r="X653" s="146"/>
      <c r="Y653" s="146"/>
      <c r="Z653" s="146">
        <v>0.1369183301171841</v>
      </c>
      <c r="AA653" s="146"/>
      <c r="AB653" s="146"/>
      <c r="AC653" s="146"/>
      <c r="AD653" s="146"/>
      <c r="AE653" s="146"/>
      <c r="AF653" s="146"/>
      <c r="AG653" s="146"/>
      <c r="AH653" s="146"/>
      <c r="AI653" s="146"/>
      <c r="AJ653" s="146"/>
      <c r="AK653" s="146"/>
      <c r="AL653" s="146">
        <v>519.48829467883172</v>
      </c>
      <c r="AM653" s="146">
        <v>0.5442230487883889</v>
      </c>
      <c r="AN653" s="146">
        <v>0.28826528054584005</v>
      </c>
      <c r="AO653" s="146">
        <v>158.18399729433634</v>
      </c>
      <c r="AP653" s="146">
        <v>128.18900581047922</v>
      </c>
      <c r="AQ653" t="s">
        <v>382</v>
      </c>
      <c r="AR653">
        <f t="shared" si="40"/>
        <v>4.8813386259591285</v>
      </c>
      <c r="AS653">
        <f t="shared" si="41"/>
        <v>1.3321822791215501</v>
      </c>
      <c r="AT653">
        <v>0.1</v>
      </c>
      <c r="AU653">
        <v>0</v>
      </c>
      <c r="AV653">
        <v>0.2</v>
      </c>
      <c r="AW653" s="146">
        <v>3</v>
      </c>
      <c r="AX653">
        <v>8.2487120588929888E-2</v>
      </c>
      <c r="AY653">
        <v>0.08</v>
      </c>
      <c r="AZ653" s="209">
        <v>128.18900581047922</v>
      </c>
      <c r="BA653">
        <v>8.2487120588929888E-2</v>
      </c>
      <c r="BB653" s="249">
        <v>83.666992352258035</v>
      </c>
      <c r="BC653" s="243">
        <v>225.09690698812238</v>
      </c>
      <c r="BD653" s="209">
        <v>135279.05628470518</v>
      </c>
      <c r="BE653" s="243">
        <v>100.98650815861947</v>
      </c>
      <c r="BF653">
        <v>238822.54201802437</v>
      </c>
      <c r="BG653" t="s">
        <v>388</v>
      </c>
      <c r="BH653">
        <v>4.0780467002509447E-6</v>
      </c>
      <c r="BI653">
        <v>2552790.5628470518</v>
      </c>
      <c r="BJ653">
        <f t="shared" si="42"/>
        <v>9.3553519624294076E-2</v>
      </c>
    </row>
    <row r="654" spans="1:62" x14ac:dyDescent="0.3">
      <c r="A654">
        <v>-0.1</v>
      </c>
      <c r="B654" s="146">
        <v>1000</v>
      </c>
      <c r="C654" s="146">
        <v>25</v>
      </c>
      <c r="D654" s="146">
        <v>300</v>
      </c>
      <c r="E654" s="252">
        <v>15.57760560018153</v>
      </c>
      <c r="F654" s="146">
        <v>7.2806546332659199</v>
      </c>
      <c r="G654" s="146">
        <v>19.972214572578942</v>
      </c>
      <c r="H654" s="146">
        <v>5.5421534018767389</v>
      </c>
      <c r="I654" s="146"/>
      <c r="J654" s="146">
        <v>0.13973408019914305</v>
      </c>
      <c r="K654" s="146">
        <v>0.08</v>
      </c>
      <c r="L654" s="146">
        <v>112.63259951041319</v>
      </c>
      <c r="M654" s="146">
        <v>62.914667301456952</v>
      </c>
      <c r="N654" s="146">
        <v>1.0392565219972472</v>
      </c>
      <c r="O654" s="146"/>
      <c r="P654" s="146"/>
      <c r="Q654" s="146"/>
      <c r="R654" s="146"/>
      <c r="S654" s="146"/>
      <c r="T654" s="146"/>
      <c r="U654" s="146"/>
      <c r="V654" s="146"/>
      <c r="W654" s="146"/>
      <c r="X654" s="146"/>
      <c r="Y654" s="146"/>
      <c r="Z654" s="146">
        <v>0.1875185413751492</v>
      </c>
      <c r="AA654" s="146"/>
      <c r="AB654" s="146"/>
      <c r="AC654" s="146"/>
      <c r="AD654" s="146"/>
      <c r="AE654" s="146"/>
      <c r="AF654" s="146"/>
      <c r="AG654" s="146"/>
      <c r="AH654" s="146"/>
      <c r="AI654" s="146"/>
      <c r="AJ654" s="146"/>
      <c r="AK654" s="146"/>
      <c r="AL654" s="146">
        <v>725.59971774284566</v>
      </c>
      <c r="AM654" s="146">
        <v>0.36453917550345016</v>
      </c>
      <c r="AN654" s="146">
        <v>0.28186685741904521</v>
      </c>
      <c r="AO654" s="146">
        <v>244.73417079673666</v>
      </c>
      <c r="AP654" s="146">
        <v>205.97145674422262</v>
      </c>
      <c r="AQ654" t="s">
        <v>382</v>
      </c>
      <c r="AR654">
        <f t="shared" si="40"/>
        <v>4.8813386259591285</v>
      </c>
      <c r="AS654">
        <f t="shared" si="41"/>
        <v>1.3321822791215501</v>
      </c>
      <c r="AT654">
        <v>0.1</v>
      </c>
      <c r="AU654">
        <v>0</v>
      </c>
      <c r="AV654">
        <v>0.2</v>
      </c>
      <c r="AW654" s="146">
        <v>3</v>
      </c>
      <c r="AX654">
        <v>8.3210238538473993E-2</v>
      </c>
      <c r="AY654">
        <v>0.08</v>
      </c>
      <c r="AZ654" s="209">
        <v>205.97145674422262</v>
      </c>
      <c r="BA654">
        <v>8.3210238538473993E-2</v>
      </c>
      <c r="BB654" s="249">
        <v>70.08247358870932</v>
      </c>
      <c r="BC654" s="243">
        <v>212.72839303429174</v>
      </c>
      <c r="BD654" s="209">
        <v>121764.07238047682</v>
      </c>
      <c r="BE654" s="243">
        <v>88.984269271489367</v>
      </c>
      <c r="BF654">
        <v>304425.94997872924</v>
      </c>
      <c r="BG654" t="s">
        <v>388</v>
      </c>
      <c r="BH654">
        <v>5.4705224399972968E-6</v>
      </c>
      <c r="BI654">
        <v>2417640.7238047682</v>
      </c>
      <c r="BJ654">
        <f t="shared" si="42"/>
        <v>0.12591860609447303</v>
      </c>
    </row>
    <row r="655" spans="1:62" x14ac:dyDescent="0.3">
      <c r="A655">
        <v>-0.1</v>
      </c>
      <c r="B655" s="146">
        <v>1000</v>
      </c>
      <c r="C655" s="146">
        <v>25</v>
      </c>
      <c r="D655" s="146">
        <v>400</v>
      </c>
      <c r="E655" s="252">
        <v>17.794067999341696</v>
      </c>
      <c r="F655" s="146">
        <v>5.7202063850697549</v>
      </c>
      <c r="G655" s="146">
        <v>21.364860620047253</v>
      </c>
      <c r="H655" s="146">
        <v>5.427763347031199</v>
      </c>
      <c r="I655" s="146"/>
      <c r="J655" s="146">
        <v>0.13782486999415353</v>
      </c>
      <c r="K655" s="146">
        <v>0.08</v>
      </c>
      <c r="L655" s="146">
        <v>110.15316987938307</v>
      </c>
      <c r="M655" s="146">
        <v>61.529699796385643</v>
      </c>
      <c r="N655" s="146">
        <v>1.1625119788115272</v>
      </c>
      <c r="O655" s="146"/>
      <c r="P655" s="146"/>
      <c r="Q655" s="146"/>
      <c r="R655" s="146"/>
      <c r="S655" s="146"/>
      <c r="T655" s="146"/>
      <c r="U655" s="146"/>
      <c r="V655" s="146"/>
      <c r="W655" s="146"/>
      <c r="X655" s="146"/>
      <c r="Y655" s="146"/>
      <c r="Z655" s="146">
        <v>0.21417882550966072</v>
      </c>
      <c r="AA655" s="146"/>
      <c r="AB655" s="146"/>
      <c r="AC655" s="146"/>
      <c r="AD655" s="146"/>
      <c r="AE655" s="146"/>
      <c r="AF655" s="146"/>
      <c r="AG655" s="146"/>
      <c r="AH655" s="146"/>
      <c r="AI655" s="146"/>
      <c r="AJ655" s="146"/>
      <c r="AK655" s="146"/>
      <c r="AL655" s="146">
        <v>872.98266570408123</v>
      </c>
      <c r="AM655" s="146">
        <v>0.26773899847969629</v>
      </c>
      <c r="AN655" s="146">
        <v>0.27805269400383115</v>
      </c>
      <c r="AO655" s="146">
        <v>336.00469125792205</v>
      </c>
      <c r="AP655" s="146">
        <v>291.72667629831824</v>
      </c>
      <c r="AQ655" t="s">
        <v>382</v>
      </c>
      <c r="AR655">
        <f t="shared" si="40"/>
        <v>4.8813386259591285</v>
      </c>
      <c r="AS655">
        <f t="shared" si="41"/>
        <v>1.3321822791215501</v>
      </c>
      <c r="AT655">
        <v>0.1</v>
      </c>
      <c r="AU655">
        <v>0</v>
      </c>
      <c r="AV655">
        <v>0.2</v>
      </c>
      <c r="AW655" s="146">
        <v>3</v>
      </c>
      <c r="AX655">
        <v>8.8213832938699346E-2</v>
      </c>
      <c r="AY655">
        <v>0.08</v>
      </c>
      <c r="AZ655" s="209">
        <v>291.72667629831824</v>
      </c>
      <c r="BA655">
        <v>8.8213832938699346E-2</v>
      </c>
      <c r="BB655" s="249">
        <v>60.764306611515302</v>
      </c>
      <c r="BC655" s="243">
        <v>205.19767268178359</v>
      </c>
      <c r="BD655" s="209">
        <v>111927.00792763248</v>
      </c>
      <c r="BE655" s="243">
        <v>79.078098586487314</v>
      </c>
      <c r="BF655">
        <v>338954.34940863302</v>
      </c>
      <c r="BG655" t="s">
        <v>388</v>
      </c>
      <c r="BH655">
        <v>6.43446212917229E-6</v>
      </c>
      <c r="BI655">
        <v>2319270.0792763247</v>
      </c>
      <c r="BJ655">
        <f t="shared" si="42"/>
        <v>0.14614699358963662</v>
      </c>
    </row>
    <row r="656" spans="1:62" x14ac:dyDescent="0.3">
      <c r="A656">
        <v>-0.1</v>
      </c>
      <c r="B656" s="146">
        <v>1000</v>
      </c>
      <c r="C656" s="146">
        <v>25</v>
      </c>
      <c r="D656" s="146">
        <v>500</v>
      </c>
      <c r="E656" s="252">
        <v>19.235964515243616</v>
      </c>
      <c r="F656" s="146">
        <v>4.6589093672129032</v>
      </c>
      <c r="G656" s="146">
        <v>22.247050101787195</v>
      </c>
      <c r="H656" s="146">
        <v>5.355922715747063</v>
      </c>
      <c r="I656" s="146"/>
      <c r="J656" s="146">
        <v>0.13849691652274052</v>
      </c>
      <c r="K656" s="146">
        <v>0.08</v>
      </c>
      <c r="L656" s="146">
        <v>108.6100383136463</v>
      </c>
      <c r="M656" s="146">
        <v>60.667732573017695</v>
      </c>
      <c r="N656" s="146">
        <v>1.2455930804929265</v>
      </c>
      <c r="O656" s="146"/>
      <c r="P656" s="146"/>
      <c r="Q656" s="146"/>
      <c r="R656" s="146"/>
      <c r="S656" s="146"/>
      <c r="T656" s="146"/>
      <c r="U656" s="146"/>
      <c r="V656" s="146"/>
      <c r="W656" s="146"/>
      <c r="X656" s="146"/>
      <c r="Y656" s="146"/>
      <c r="Z656" s="146">
        <v>0.23256367699831285</v>
      </c>
      <c r="AA656" s="146"/>
      <c r="AB656" s="146"/>
      <c r="AC656" s="146"/>
      <c r="AD656" s="146"/>
      <c r="AE656" s="146"/>
      <c r="AF656" s="146"/>
      <c r="AG656" s="146"/>
      <c r="AH656" s="146"/>
      <c r="AI656" s="146"/>
      <c r="AJ656" s="146"/>
      <c r="AK656" s="146"/>
      <c r="AL656" s="146">
        <v>1005.0227140574497</v>
      </c>
      <c r="AM656" s="146">
        <v>0.20941694947855735</v>
      </c>
      <c r="AN656" s="146">
        <v>0.2751622486140583</v>
      </c>
      <c r="AO656" s="146">
        <v>430.0922833269039</v>
      </c>
      <c r="AP656" s="146">
        <v>382.22617381098672</v>
      </c>
      <c r="AQ656" t="s">
        <v>382</v>
      </c>
      <c r="AR656">
        <f t="shared" si="40"/>
        <v>4.8813386259591285</v>
      </c>
      <c r="AS656">
        <f t="shared" si="41"/>
        <v>1.3321822791215501</v>
      </c>
      <c r="AT656">
        <v>0.1</v>
      </c>
      <c r="AU656">
        <v>0</v>
      </c>
      <c r="AV656">
        <v>0.2</v>
      </c>
      <c r="AW656" s="146">
        <v>3</v>
      </c>
      <c r="AX656">
        <v>9.3312513035411576E-2</v>
      </c>
      <c r="AY656">
        <v>0.08</v>
      </c>
      <c r="AZ656" s="209">
        <v>382.22617381098672</v>
      </c>
      <c r="BA656">
        <v>9.3312513035411576E-2</v>
      </c>
      <c r="BB656" s="249">
        <v>54.342975123256132</v>
      </c>
      <c r="BC656" s="243">
        <v>200.64113880857664</v>
      </c>
      <c r="BD656" s="209">
        <v>105301.47276496161</v>
      </c>
      <c r="BE656" s="243">
        <v>72.011222366275831</v>
      </c>
      <c r="BF656">
        <v>357961.83530494978</v>
      </c>
      <c r="BG656" t="s">
        <v>388</v>
      </c>
      <c r="BH656">
        <v>7.1033653114027571E-6</v>
      </c>
      <c r="BI656">
        <v>2253014.7276496161</v>
      </c>
      <c r="BJ656">
        <f t="shared" si="42"/>
        <v>0.15888126735788441</v>
      </c>
    </row>
    <row r="657" spans="1:62" s="146" customFormat="1" x14ac:dyDescent="0.3">
      <c r="A657">
        <v>-0.1</v>
      </c>
      <c r="B657" s="146">
        <v>1000</v>
      </c>
      <c r="C657" s="146">
        <v>25</v>
      </c>
      <c r="D657" s="146">
        <v>600</v>
      </c>
      <c r="E657" s="252">
        <v>20.248559463240785</v>
      </c>
      <c r="F657" s="146">
        <v>3.9174351994080108</v>
      </c>
      <c r="G657" s="146">
        <v>22.868838796248088</v>
      </c>
      <c r="H657" s="146">
        <v>5.3072394813638839</v>
      </c>
      <c r="J657" s="146">
        <v>0.13976089149372128</v>
      </c>
      <c r="K657" s="146">
        <v>0.08</v>
      </c>
      <c r="L657" s="146">
        <v>107.57013706000001</v>
      </c>
      <c r="M657" s="146">
        <v>60.08686130054496</v>
      </c>
      <c r="N657" s="146">
        <v>1.300792531336767</v>
      </c>
      <c r="Z657" s="146">
        <v>0.24509776427169669</v>
      </c>
      <c r="AL657" s="146">
        <v>1125.8194881216743</v>
      </c>
      <c r="AM657" s="146">
        <v>0.1713001361508007</v>
      </c>
      <c r="AN657" s="146">
        <v>0.27292444563002211</v>
      </c>
      <c r="AO657" s="146">
        <v>525.80891969387801</v>
      </c>
      <c r="AP657" s="146">
        <v>475.4232224532912</v>
      </c>
      <c r="AQ657" t="s">
        <v>382</v>
      </c>
      <c r="AR657">
        <f t="shared" si="40"/>
        <v>4.8813386259591285</v>
      </c>
      <c r="AS657">
        <f t="shared" si="41"/>
        <v>1.3321822791215501</v>
      </c>
      <c r="AT657">
        <v>0.1</v>
      </c>
      <c r="AU657">
        <v>0</v>
      </c>
      <c r="AV657">
        <v>0.2</v>
      </c>
      <c r="AW657" s="146">
        <v>3</v>
      </c>
      <c r="AX657">
        <v>9.7869201114881593E-2</v>
      </c>
      <c r="AY657">
        <v>0.08</v>
      </c>
      <c r="AZ657" s="209">
        <v>475.4232224532912</v>
      </c>
      <c r="BA657" s="146">
        <v>9.7869201114881593E-2</v>
      </c>
      <c r="BB657" s="252">
        <v>49.856015984180544</v>
      </c>
      <c r="BC657" s="244">
        <v>197.62431547887189</v>
      </c>
      <c r="BD657" s="229">
        <v>100722.91534228552</v>
      </c>
      <c r="BE657" s="244">
        <v>67.000377842447548</v>
      </c>
      <c r="BF657" s="146">
        <v>369795.78441232879</v>
      </c>
      <c r="BG657" t="s">
        <v>388</v>
      </c>
      <c r="BH657" s="146">
        <v>7.590374009359188E-6</v>
      </c>
      <c r="BI657" s="146">
        <v>2207229.1534228553</v>
      </c>
      <c r="BJ657">
        <f t="shared" si="42"/>
        <v>0.16753846506551839</v>
      </c>
    </row>
    <row r="658" spans="1:62" s="140" customFormat="1" x14ac:dyDescent="0.3">
      <c r="A658">
        <v>-0.1</v>
      </c>
      <c r="B658" s="146">
        <v>1000</v>
      </c>
      <c r="C658" s="146">
        <v>25</v>
      </c>
      <c r="D658" s="146">
        <v>700</v>
      </c>
      <c r="E658" s="252">
        <v>20.996169584889284</v>
      </c>
      <c r="F658" s="146">
        <v>3.3753210169926406</v>
      </c>
      <c r="G658" s="146">
        <v>23.330954765958428</v>
      </c>
      <c r="H658" s="146">
        <v>5.2727651917176068</v>
      </c>
      <c r="I658" s="146"/>
      <c r="J658" s="146">
        <v>0.14096918636278394</v>
      </c>
      <c r="K658" s="146">
        <v>0.08</v>
      </c>
      <c r="L658" s="146">
        <v>106.83589656961509</v>
      </c>
      <c r="M658" s="146">
        <v>59.676726966678736</v>
      </c>
      <c r="N658" s="146">
        <v>1.3400907689947612</v>
      </c>
      <c r="O658" s="146"/>
      <c r="P658" s="146"/>
      <c r="Q658" s="146"/>
      <c r="R658" s="146"/>
      <c r="S658" s="146"/>
      <c r="T658" s="146"/>
      <c r="U658" s="146"/>
      <c r="V658" s="146"/>
      <c r="W658" s="146"/>
      <c r="X658" s="146"/>
      <c r="Y658" s="146"/>
      <c r="Z658" s="146">
        <v>0.25415331809194897</v>
      </c>
      <c r="AA658" s="146"/>
      <c r="AB658" s="146"/>
      <c r="AC658" s="146"/>
      <c r="AD658" s="146"/>
      <c r="AE658" s="146"/>
      <c r="AF658" s="146"/>
      <c r="AG658" s="146"/>
      <c r="AH658" s="146"/>
      <c r="AI658" s="146"/>
      <c r="AJ658" s="146"/>
      <c r="AK658" s="146"/>
      <c r="AL658" s="146">
        <v>1240.3540764243389</v>
      </c>
      <c r="AM658" s="146">
        <v>0.14467136261039268</v>
      </c>
      <c r="AN658" s="146">
        <v>0.27110947482595715</v>
      </c>
      <c r="AO658" s="146">
        <v>622.55464476714405</v>
      </c>
      <c r="AP658" s="146">
        <v>570.30869192695764</v>
      </c>
      <c r="AQ658" t="s">
        <v>382</v>
      </c>
      <c r="AR658">
        <f t="shared" si="40"/>
        <v>4.8813386259591285</v>
      </c>
      <c r="AS658">
        <f t="shared" si="41"/>
        <v>1.3321822791215501</v>
      </c>
      <c r="AT658">
        <v>0.1</v>
      </c>
      <c r="AU658">
        <v>0</v>
      </c>
      <c r="AV658">
        <v>0.2</v>
      </c>
      <c r="AW658" s="146">
        <v>3</v>
      </c>
      <c r="AX658">
        <v>0.10180541648392456</v>
      </c>
      <c r="AY658">
        <v>0.08</v>
      </c>
      <c r="AZ658" s="209">
        <v>570.30869192695764</v>
      </c>
      <c r="BA658" s="140">
        <v>0.10180541648392456</v>
      </c>
      <c r="BB658" s="253">
        <v>46.581045778142382</v>
      </c>
      <c r="BC658" s="245">
        <v>195.51952075943873</v>
      </c>
      <c r="BD658" s="210">
        <v>97429.827002484017</v>
      </c>
      <c r="BE658" s="245">
        <v>63.330348269689502</v>
      </c>
      <c r="BF658" s="140">
        <v>377803.44409488456</v>
      </c>
      <c r="BG658" t="s">
        <v>388</v>
      </c>
      <c r="BH658" s="140">
        <v>7.9579277172969402E-6</v>
      </c>
      <c r="BI658" s="140">
        <v>2174298.2700248403</v>
      </c>
      <c r="BJ658">
        <f t="shared" si="42"/>
        <v>0.17375879349366743</v>
      </c>
    </row>
    <row r="659" spans="1:62" x14ac:dyDescent="0.3">
      <c r="A659">
        <v>-0.1</v>
      </c>
      <c r="B659" s="146">
        <v>1000</v>
      </c>
      <c r="C659" s="146">
        <v>25</v>
      </c>
      <c r="D659" s="146">
        <v>800</v>
      </c>
      <c r="E659" s="252">
        <v>21.567142898878704</v>
      </c>
      <c r="F659" s="146">
        <v>2.9629491235374208</v>
      </c>
      <c r="G659" s="146">
        <v>23.684849798495815</v>
      </c>
      <c r="H659" s="146">
        <v>5.2470940949751279</v>
      </c>
      <c r="I659" s="146"/>
      <c r="J659" s="146">
        <v>0.14203944394924048</v>
      </c>
      <c r="K659" s="146">
        <v>0.08</v>
      </c>
      <c r="L659" s="146">
        <v>106.2903680366135</v>
      </c>
      <c r="M659" s="146">
        <v>59.372003944157406</v>
      </c>
      <c r="N659" s="146">
        <v>1.3685162416920731</v>
      </c>
      <c r="O659" s="146"/>
      <c r="P659" s="146"/>
      <c r="Q659" s="146"/>
      <c r="R659" s="146"/>
      <c r="S659" s="146"/>
      <c r="T659" s="146"/>
      <c r="U659" s="146"/>
      <c r="V659" s="146"/>
      <c r="W659" s="146"/>
      <c r="X659" s="146"/>
      <c r="Y659" s="146"/>
      <c r="Z659" s="146">
        <v>0.26081412243066704</v>
      </c>
      <c r="AA659" s="146"/>
      <c r="AB659" s="146"/>
      <c r="AC659" s="146"/>
      <c r="AD659" s="146"/>
      <c r="AE659" s="146"/>
      <c r="AF659" s="146"/>
      <c r="AG659" s="146"/>
      <c r="AH659" s="146"/>
      <c r="AI659" s="146"/>
      <c r="AJ659" s="146"/>
      <c r="AK659" s="146"/>
      <c r="AL659" s="146">
        <v>1350.6095121228504</v>
      </c>
      <c r="AM659" s="146">
        <v>0.125098919720639</v>
      </c>
      <c r="AN659" s="146">
        <v>0.26965116376961962</v>
      </c>
      <c r="AO659" s="146">
        <v>720.0183578020642</v>
      </c>
      <c r="AP659" s="146">
        <v>666.35139127681407</v>
      </c>
      <c r="AQ659" t="s">
        <v>382</v>
      </c>
      <c r="AR659">
        <f t="shared" si="40"/>
        <v>4.8813386259591285</v>
      </c>
      <c r="AS659">
        <f t="shared" si="41"/>
        <v>1.3321822791215501</v>
      </c>
      <c r="AT659">
        <v>0.1</v>
      </c>
      <c r="AU659">
        <v>0</v>
      </c>
      <c r="AV659">
        <v>0.2</v>
      </c>
      <c r="AW659" s="146">
        <v>3</v>
      </c>
      <c r="AX659">
        <v>0.1052232941175221</v>
      </c>
      <c r="AY659">
        <v>0.08</v>
      </c>
      <c r="AZ659" s="209">
        <v>666.35139127681407</v>
      </c>
      <c r="BA659">
        <v>0.1052232941175221</v>
      </c>
      <c r="BB659" s="249">
        <v>44.091445484488403</v>
      </c>
      <c r="BC659" s="243">
        <v>193.96895780041888</v>
      </c>
      <c r="BD659" s="209">
        <v>94946.037580560864</v>
      </c>
      <c r="BE659" s="243">
        <v>60.523977338941961</v>
      </c>
      <c r="BF659">
        <v>383443.0412279584</v>
      </c>
      <c r="BG659" t="s">
        <v>388</v>
      </c>
      <c r="BH659">
        <v>8.2441446401542283E-6</v>
      </c>
      <c r="BI659">
        <v>2149460.3758056089</v>
      </c>
      <c r="BJ659">
        <f t="shared" si="42"/>
        <v>0.17839037441397146</v>
      </c>
    </row>
    <row r="660" spans="1:62" x14ac:dyDescent="0.3">
      <c r="A660">
        <v>-0.1</v>
      </c>
      <c r="B660" s="146">
        <v>1000</v>
      </c>
      <c r="C660" s="146">
        <v>25</v>
      </c>
      <c r="D660" s="146">
        <v>900</v>
      </c>
      <c r="E660" s="252">
        <v>22.017926051907629</v>
      </c>
      <c r="F660" s="146">
        <v>2.6396888675009138</v>
      </c>
      <c r="G660" s="146">
        <v>23.9655649893167</v>
      </c>
      <c r="H660" s="146">
        <v>5.2274332631799085</v>
      </c>
      <c r="I660" s="146"/>
      <c r="J660" s="146">
        <v>0.14292109544169554</v>
      </c>
      <c r="K660" s="146">
        <v>0.08</v>
      </c>
      <c r="L660" s="146">
        <v>105.87308974754518</v>
      </c>
      <c r="M660" s="146">
        <v>59.138919341271837</v>
      </c>
      <c r="N660" s="146">
        <v>1.3898610156330484</v>
      </c>
      <c r="O660" s="146"/>
      <c r="P660" s="146"/>
      <c r="Q660" s="146"/>
      <c r="R660" s="146"/>
      <c r="S660" s="146"/>
      <c r="T660" s="146"/>
      <c r="U660" s="146"/>
      <c r="V660" s="146"/>
      <c r="W660" s="146"/>
      <c r="X660" s="146"/>
      <c r="Y660" s="146"/>
      <c r="Z660" s="146">
        <v>0.26587828971872512</v>
      </c>
      <c r="AA660" s="146"/>
      <c r="AB660" s="146"/>
      <c r="AC660" s="146"/>
      <c r="AD660" s="146"/>
      <c r="AE660" s="146"/>
      <c r="AF660" s="146"/>
      <c r="AG660" s="146"/>
      <c r="AH660" s="146"/>
      <c r="AI660" s="146"/>
      <c r="AJ660" s="146"/>
      <c r="AK660" s="146"/>
      <c r="AL660" s="146">
        <v>1458.1179782730514</v>
      </c>
      <c r="AM660" s="146">
        <v>0.11014507142550684</v>
      </c>
      <c r="AN660" s="146">
        <v>0.26843266151020378</v>
      </c>
      <c r="AO660" s="146">
        <v>817.97597979308989</v>
      </c>
      <c r="AP660" s="146">
        <v>763.18747045652765</v>
      </c>
      <c r="AQ660" t="s">
        <v>382</v>
      </c>
      <c r="AR660">
        <f t="shared" si="40"/>
        <v>4.8813386259591285</v>
      </c>
      <c r="AS660">
        <f t="shared" si="41"/>
        <v>1.3321822791215501</v>
      </c>
      <c r="AT660">
        <v>0.1</v>
      </c>
      <c r="AU660">
        <v>0</v>
      </c>
      <c r="AV660">
        <v>0.2</v>
      </c>
      <c r="AW660" s="146">
        <v>3</v>
      </c>
      <c r="AX660">
        <v>0.10818706943656896</v>
      </c>
      <c r="AY660">
        <v>0.08</v>
      </c>
      <c r="AZ660" s="209">
        <v>763.18747045652765</v>
      </c>
      <c r="BA660">
        <v>0.10818706943656896</v>
      </c>
      <c r="BB660" s="249">
        <v>42.142917632445418</v>
      </c>
      <c r="BC660" s="243">
        <v>192.7904375296651</v>
      </c>
      <c r="BD660" s="209">
        <v>93022.6145787352</v>
      </c>
      <c r="BE660" s="243">
        <v>58.327363933779651</v>
      </c>
      <c r="BF660">
        <v>387650.80646982783</v>
      </c>
      <c r="BG660" t="s">
        <v>388</v>
      </c>
      <c r="BH660">
        <v>8.4727917035999946E-6</v>
      </c>
      <c r="BI660">
        <v>2130226.1457873518</v>
      </c>
      <c r="BJ660">
        <f t="shared" si="42"/>
        <v>0.1819763630431587</v>
      </c>
    </row>
    <row r="661" spans="1:62" x14ac:dyDescent="0.3">
      <c r="A661">
        <v>-0.1</v>
      </c>
      <c r="B661" s="146">
        <v>1000</v>
      </c>
      <c r="C661" s="146">
        <v>25</v>
      </c>
      <c r="D661" s="146">
        <v>1000</v>
      </c>
      <c r="E661" s="252">
        <v>22.381946199056316</v>
      </c>
      <c r="F661" s="146">
        <v>2.379692379047448</v>
      </c>
      <c r="G661" s="146">
        <v>24.192851963701688</v>
      </c>
      <c r="H661" s="146">
        <v>5.2118949975939337</v>
      </c>
      <c r="I661" s="146"/>
      <c r="J661" s="146">
        <v>0.14365188340690827</v>
      </c>
      <c r="K661" s="146">
        <v>0.08</v>
      </c>
      <c r="L661" s="146">
        <v>105.54365629956553</v>
      </c>
      <c r="M661" s="146">
        <v>58.954903382591098</v>
      </c>
      <c r="N661" s="146">
        <v>1.4059285970143893</v>
      </c>
      <c r="O661" s="146"/>
      <c r="P661" s="146"/>
      <c r="Q661" s="146"/>
      <c r="R661" s="146"/>
      <c r="S661" s="146"/>
      <c r="T661" s="146"/>
      <c r="U661" s="146"/>
      <c r="V661" s="146"/>
      <c r="W661" s="146"/>
      <c r="X661" s="146"/>
      <c r="Y661" s="146"/>
      <c r="Z661" s="146">
        <v>0.26975382229753953</v>
      </c>
      <c r="AA661" s="146"/>
      <c r="AB661" s="146"/>
      <c r="AC661" s="146"/>
      <c r="AD661" s="146"/>
      <c r="AE661" s="146"/>
      <c r="AF661" s="146"/>
      <c r="AG661" s="146"/>
      <c r="AH661" s="146"/>
      <c r="AI661" s="146"/>
      <c r="AJ661" s="146"/>
      <c r="AK661" s="146"/>
      <c r="AL661" s="146">
        <v>1563.5716529644267</v>
      </c>
      <c r="AM661" s="146">
        <v>9.8363449775077161E-2</v>
      </c>
      <c r="AN661" s="146">
        <v>0.26741289874541996</v>
      </c>
      <c r="AO661" s="146">
        <v>916.30191997445797</v>
      </c>
      <c r="AP661" s="146">
        <v>860.60735445723196</v>
      </c>
      <c r="AQ661" t="s">
        <v>382</v>
      </c>
      <c r="AR661">
        <f t="shared" si="40"/>
        <v>4.8813386259591285</v>
      </c>
      <c r="AS661">
        <f t="shared" si="41"/>
        <v>1.3321822791215501</v>
      </c>
      <c r="AT661">
        <v>0.1</v>
      </c>
      <c r="AU661">
        <v>0</v>
      </c>
      <c r="AV661">
        <v>0.2</v>
      </c>
      <c r="AW661" s="146">
        <v>3</v>
      </c>
      <c r="AX661">
        <v>0.11078466948699339</v>
      </c>
      <c r="AY661">
        <v>0.08</v>
      </c>
      <c r="AZ661" s="209">
        <v>860.60735445723196</v>
      </c>
      <c r="BA661">
        <v>0.11078466948699339</v>
      </c>
      <c r="BB661" s="249">
        <v>40.577174892097972</v>
      </c>
      <c r="BC661" s="243">
        <v>191.86456524335287</v>
      </c>
      <c r="BD661" s="209">
        <v>91487.801332997245</v>
      </c>
      <c r="BE661" s="243">
        <v>56.55926480530615</v>
      </c>
      <c r="BF661">
        <v>390874.54484156024</v>
      </c>
      <c r="BG661" t="s">
        <v>388</v>
      </c>
      <c r="BH661">
        <v>8.6594294778768711E-6</v>
      </c>
      <c r="BI661">
        <v>2114878.0133299725</v>
      </c>
      <c r="BJ661">
        <f t="shared" si="42"/>
        <v>0.184821319422632</v>
      </c>
    </row>
    <row r="662" spans="1:62" s="140" customFormat="1" x14ac:dyDescent="0.3">
      <c r="A662" s="140">
        <v>-0.1</v>
      </c>
      <c r="B662" s="140">
        <v>1000</v>
      </c>
      <c r="C662" s="140">
        <v>25</v>
      </c>
      <c r="D662" s="140">
        <v>1100</v>
      </c>
      <c r="E662" s="253">
        <v>22.682247889775589</v>
      </c>
      <c r="F662" s="140">
        <v>2.1662384512866599</v>
      </c>
      <c r="G662" s="140">
        <v>24.380944643581579</v>
      </c>
      <c r="H662" s="140">
        <v>5.1993561633268399</v>
      </c>
      <c r="J662" s="140">
        <v>0.14424815021344745</v>
      </c>
      <c r="K662" s="140">
        <v>0.08</v>
      </c>
      <c r="L662" s="140">
        <v>105.27799871954035</v>
      </c>
      <c r="M662" s="140">
        <v>58.806511546337255</v>
      </c>
      <c r="N662" s="140">
        <v>1.4182281648884558</v>
      </c>
      <c r="Z662" s="140">
        <v>0.27276995849828334</v>
      </c>
      <c r="AL662" s="140">
        <v>1667.5740100045734</v>
      </c>
      <c r="AM662" s="140">
        <v>8.8849652175266899E-2</v>
      </c>
      <c r="AN662" s="140">
        <v>0.2665410142047846</v>
      </c>
      <c r="AO662" s="140">
        <v>1014.90147226517</v>
      </c>
      <c r="AP662" s="140">
        <v>958.4599275603457</v>
      </c>
      <c r="AQ662" t="s">
        <v>382</v>
      </c>
      <c r="AR662">
        <f t="shared" si="40"/>
        <v>4.8813386259591285</v>
      </c>
      <c r="AS662">
        <f t="shared" si="41"/>
        <v>1.3321822791215501</v>
      </c>
      <c r="AT662">
        <v>0.1</v>
      </c>
      <c r="AU662">
        <v>0</v>
      </c>
      <c r="AV662">
        <v>0.2</v>
      </c>
      <c r="AW662" s="140">
        <v>3</v>
      </c>
      <c r="AX662">
        <v>0.11307322189084647</v>
      </c>
      <c r="AY662">
        <v>0.08</v>
      </c>
      <c r="AZ662" s="209">
        <v>958.4599275603457</v>
      </c>
      <c r="BA662" s="140">
        <v>0.11307322189084647</v>
      </c>
      <c r="BB662" s="253">
        <v>39.29325440441724</v>
      </c>
      <c r="BC662" s="245">
        <v>191.12083070230034</v>
      </c>
      <c r="BD662" s="210">
        <v>90238.830308077027</v>
      </c>
      <c r="BE662" s="245">
        <v>55.110180562763581</v>
      </c>
      <c r="BF662" s="140">
        <v>393431.23204174155</v>
      </c>
      <c r="BG662" t="s">
        <v>388</v>
      </c>
      <c r="BH662" s="140">
        <v>8.8145326340879538E-6</v>
      </c>
      <c r="BI662" s="140">
        <v>2102388.3030807702</v>
      </c>
      <c r="BJ662">
        <f t="shared" si="42"/>
        <v>0.18713537906637914</v>
      </c>
    </row>
    <row r="663" spans="1:62" x14ac:dyDescent="0.3">
      <c r="A663">
        <v>-0.1</v>
      </c>
      <c r="B663" s="146">
        <v>1000</v>
      </c>
      <c r="C663" s="146">
        <v>25</v>
      </c>
      <c r="D663" s="146">
        <v>400</v>
      </c>
      <c r="E663" s="252">
        <v>17.794600585523064</v>
      </c>
      <c r="F663" s="146">
        <v>5.7205030612237424</v>
      </c>
      <c r="G663" s="146">
        <v>21.365573404108904</v>
      </c>
      <c r="H663" s="146">
        <v>5.4278482917652493</v>
      </c>
      <c r="I663" s="146"/>
      <c r="J663" s="146">
        <v>0.13781566083586788</v>
      </c>
      <c r="K663" s="146">
        <v>0.08</v>
      </c>
      <c r="L663" s="146">
        <v>110.15488336418827</v>
      </c>
      <c r="M663" s="146">
        <v>61.530656920050667</v>
      </c>
      <c r="N663" s="146">
        <v>1.1625987569925798</v>
      </c>
      <c r="O663" s="146"/>
      <c r="P663" s="146"/>
      <c r="Q663" s="146"/>
      <c r="R663" s="146"/>
      <c r="S663" s="146"/>
      <c r="T663" s="146"/>
      <c r="U663" s="146"/>
      <c r="V663" s="146"/>
      <c r="W663" s="146"/>
      <c r="X663" s="146"/>
      <c r="Y663" s="146"/>
      <c r="Z663" s="146">
        <v>0.21419146123822086</v>
      </c>
      <c r="AA663" s="146"/>
      <c r="AB663" s="146"/>
      <c r="AC663" s="146"/>
      <c r="AD663" s="146"/>
      <c r="AE663" s="146"/>
      <c r="AF663" s="146"/>
      <c r="AG663" s="146"/>
      <c r="AH663" s="146"/>
      <c r="AI663" s="146"/>
      <c r="AJ663" s="146"/>
      <c r="AK663" s="146"/>
      <c r="AL663" s="146">
        <v>873.02031439503685</v>
      </c>
      <c r="AM663" s="146">
        <v>0.26774395205904505</v>
      </c>
      <c r="AN663" s="146">
        <v>0.27804275346346624</v>
      </c>
      <c r="AO663" s="146">
        <v>336.00048782475744</v>
      </c>
      <c r="AP663" s="146">
        <v>291.72093589874709</v>
      </c>
      <c r="AQ663" t="s">
        <v>382</v>
      </c>
      <c r="AR663">
        <f t="shared" si="40"/>
        <v>4.8813386259591285</v>
      </c>
      <c r="AS663">
        <f t="shared" si="41"/>
        <v>1.3321822791215501</v>
      </c>
      <c r="AT663">
        <v>0.1</v>
      </c>
      <c r="AU663">
        <v>0</v>
      </c>
      <c r="AV663">
        <v>0.2</v>
      </c>
      <c r="AW663" s="146">
        <v>3</v>
      </c>
      <c r="AX663">
        <v>8.8209083835257843E-2</v>
      </c>
      <c r="AY663">
        <v>0.08</v>
      </c>
      <c r="AZ663" s="209">
        <v>291.72093589874709</v>
      </c>
      <c r="BA663">
        <v>8.8209083835257843E-2</v>
      </c>
      <c r="BB663" s="249">
        <v>60.767103993712432</v>
      </c>
      <c r="BC663" s="243">
        <v>205.20278652901138</v>
      </c>
      <c r="BD663" s="209">
        <v>111934.26842472707</v>
      </c>
      <c r="BE663" s="243">
        <v>79.085728660575015</v>
      </c>
      <c r="BF663">
        <v>338980.64973232284</v>
      </c>
      <c r="BG663" t="s">
        <v>389</v>
      </c>
      <c r="BH663">
        <v>6.4344110177318875E-6</v>
      </c>
      <c r="BI663">
        <v>2319342.6842472707</v>
      </c>
      <c r="BJ663">
        <f t="shared" si="42"/>
        <v>0.14615375814649703</v>
      </c>
    </row>
    <row r="664" spans="1:62" x14ac:dyDescent="0.3">
      <c r="A664">
        <v>-0.1</v>
      </c>
      <c r="B664" s="146">
        <v>1000</v>
      </c>
      <c r="C664" s="146">
        <v>25</v>
      </c>
      <c r="D664" s="146">
        <v>400</v>
      </c>
      <c r="E664" s="252">
        <v>17.194889475229591</v>
      </c>
      <c r="F664" s="146">
        <v>5.4540989903622741</v>
      </c>
      <c r="G664" s="146">
        <v>20.594516351015493</v>
      </c>
      <c r="H664" s="146">
        <v>5.235037550534444</v>
      </c>
      <c r="I664" s="146"/>
      <c r="J664" s="146">
        <v>0.13988414586835402</v>
      </c>
      <c r="K664" s="146">
        <v>0.08</v>
      </c>
      <c r="L664" s="146">
        <v>106.27714850509069</v>
      </c>
      <c r="M664" s="146">
        <v>59.364619737176</v>
      </c>
      <c r="N664" s="146">
        <v>1.1216366549895538</v>
      </c>
      <c r="O664" s="146"/>
      <c r="P664" s="146"/>
      <c r="Q664" s="146"/>
      <c r="R664" s="146"/>
      <c r="S664" s="146"/>
      <c r="T664" s="146"/>
      <c r="U664" s="146"/>
      <c r="V664" s="146"/>
      <c r="W664" s="146"/>
      <c r="X664" s="146"/>
      <c r="Y664" s="146"/>
      <c r="Z664" s="146">
        <v>0.21425570383445408</v>
      </c>
      <c r="AA664" s="146"/>
      <c r="AB664" s="146"/>
      <c r="AC664" s="146"/>
      <c r="AD664" s="146"/>
      <c r="AE664" s="146"/>
      <c r="AF664" s="146"/>
      <c r="AG664" s="146"/>
      <c r="AH664" s="146"/>
      <c r="AI664" s="146"/>
      <c r="AJ664" s="146"/>
      <c r="AK664" s="146"/>
      <c r="AL664" s="146">
        <v>856.52142571246679</v>
      </c>
      <c r="AM664" s="146">
        <v>0.26483258443179408</v>
      </c>
      <c r="AN664" s="146">
        <v>0.27954682314499696</v>
      </c>
      <c r="AO664" s="146">
        <v>338.49012740770496</v>
      </c>
      <c r="AP664" s="146">
        <v>295.70309821768996</v>
      </c>
      <c r="AQ664" t="s">
        <v>382</v>
      </c>
      <c r="AR664">
        <f t="shared" si="40"/>
        <v>4.8813386259591285</v>
      </c>
      <c r="AS664">
        <f t="shared" si="41"/>
        <v>1.3321822791215501</v>
      </c>
      <c r="AT664">
        <v>0.1</v>
      </c>
      <c r="AU664">
        <v>0</v>
      </c>
      <c r="AV664">
        <v>0.2</v>
      </c>
      <c r="AW664" s="146">
        <v>2.5</v>
      </c>
      <c r="AX664">
        <v>8.9334732952155715E-2</v>
      </c>
      <c r="AY664">
        <v>0.08</v>
      </c>
      <c r="AZ664" s="209">
        <v>295.70309821768996</v>
      </c>
      <c r="BA664">
        <v>8.9334732952155715E-2</v>
      </c>
      <c r="BB664" s="249">
        <v>58.163321117357725</v>
      </c>
      <c r="BC664" s="243">
        <v>193.93152243198804</v>
      </c>
      <c r="BD664" s="209">
        <v>104717.74529843353</v>
      </c>
      <c r="BE664" s="243">
        <v>75.099429809917879</v>
      </c>
      <c r="BF664">
        <v>386451.84858384414</v>
      </c>
      <c r="BG664" t="s">
        <v>389</v>
      </c>
      <c r="BH664">
        <v>6.2604936120252701E-6</v>
      </c>
      <c r="BI664">
        <v>2247177.4529843354</v>
      </c>
      <c r="BJ664">
        <f t="shared" si="42"/>
        <v>0.17197211020011868</v>
      </c>
    </row>
    <row r="665" spans="1:62" x14ac:dyDescent="0.3">
      <c r="A665">
        <v>-0.1</v>
      </c>
      <c r="B665" s="146">
        <v>1000</v>
      </c>
      <c r="C665" s="146">
        <v>25</v>
      </c>
      <c r="D665" s="146">
        <v>400</v>
      </c>
      <c r="E665" s="252">
        <v>15.018246440068413</v>
      </c>
      <c r="F665" s="146">
        <v>4.5578515658511165</v>
      </c>
      <c r="G665" s="146">
        <v>17.846548899669536</v>
      </c>
      <c r="H665" s="146">
        <v>4.5430166046185594</v>
      </c>
      <c r="I665" s="146"/>
      <c r="J665" s="146">
        <v>0.1475423868645267</v>
      </c>
      <c r="K665" s="146">
        <v>0.08</v>
      </c>
      <c r="L665" s="146">
        <v>92.331777710530403</v>
      </c>
      <c r="M665" s="146">
        <v>51.574971200704994</v>
      </c>
      <c r="N665" s="146">
        <v>0.97458887088760315</v>
      </c>
      <c r="O665" s="146"/>
      <c r="P665" s="146"/>
      <c r="Q665" s="146"/>
      <c r="R665" s="146"/>
      <c r="S665" s="146"/>
      <c r="T665" s="146"/>
      <c r="U665" s="146"/>
      <c r="V665" s="146"/>
      <c r="W665" s="146"/>
      <c r="X665" s="146"/>
      <c r="Y665" s="146"/>
      <c r="Z665" s="146">
        <v>0.21452461122347835</v>
      </c>
      <c r="AA665" s="146"/>
      <c r="AB665" s="146"/>
      <c r="AC665" s="146"/>
      <c r="AD665" s="146"/>
      <c r="AE665" s="146"/>
      <c r="AF665" s="146"/>
      <c r="AG665" s="146"/>
      <c r="AH665" s="146"/>
      <c r="AI665" s="146"/>
      <c r="AJ665" s="146"/>
      <c r="AK665" s="146"/>
      <c r="AL665" s="146">
        <v>797.04945945059148</v>
      </c>
      <c r="AM665" s="146">
        <v>0.25539120148520783</v>
      </c>
      <c r="AN665" s="146">
        <v>0.28403722857838487</v>
      </c>
      <c r="AO665" s="146">
        <v>347.12578166166736</v>
      </c>
      <c r="AP665" s="146">
        <v>309.75502400679005</v>
      </c>
      <c r="AQ665" t="s">
        <v>382</v>
      </c>
      <c r="AR665">
        <f t="shared" si="40"/>
        <v>4.8813386259591285</v>
      </c>
      <c r="AS665">
        <f t="shared" si="41"/>
        <v>1.3321822791215501</v>
      </c>
      <c r="AT665">
        <v>0.1</v>
      </c>
      <c r="AU665">
        <v>0</v>
      </c>
      <c r="AV665">
        <v>0.2</v>
      </c>
      <c r="AW665" s="146">
        <v>1.5</v>
      </c>
      <c r="AX665">
        <v>9.3475777927870915E-2</v>
      </c>
      <c r="AY665">
        <v>0.08</v>
      </c>
      <c r="AZ665" s="209">
        <v>309.75502400679005</v>
      </c>
      <c r="BA665">
        <v>9.3475777927870915E-2</v>
      </c>
      <c r="BB665" s="249">
        <v>49.252151460415895</v>
      </c>
      <c r="BC665" s="243">
        <v>157.66565267854986</v>
      </c>
      <c r="BD665" s="209">
        <v>81891.230051117556</v>
      </c>
      <c r="BE665" s="243">
        <v>62.085017991675606</v>
      </c>
      <c r="BF665">
        <v>508633.87221485766</v>
      </c>
      <c r="BG665" t="s">
        <v>389</v>
      </c>
      <c r="BH665">
        <v>5.6479184775590178E-6</v>
      </c>
      <c r="BI665">
        <v>2018912.3005111755</v>
      </c>
      <c r="BJ665">
        <f t="shared" si="42"/>
        <v>0.25193460463145173</v>
      </c>
    </row>
    <row r="666" spans="1:62" x14ac:dyDescent="0.3">
      <c r="A666">
        <v>-0.1</v>
      </c>
      <c r="B666" s="146">
        <v>1000</v>
      </c>
      <c r="C666" s="146">
        <v>25</v>
      </c>
      <c r="D666" s="146">
        <v>400</v>
      </c>
      <c r="E666" s="252">
        <v>12.994099995238335</v>
      </c>
      <c r="F666" s="146">
        <v>3.8046282295472489</v>
      </c>
      <c r="G666" s="146">
        <v>15.347525873629239</v>
      </c>
      <c r="H666" s="146">
        <v>3.9116490542538029</v>
      </c>
      <c r="I666" s="146"/>
      <c r="J666" s="146">
        <v>0.1553948643446541</v>
      </c>
      <c r="K666" s="146">
        <v>0.08</v>
      </c>
      <c r="L666" s="146">
        <v>79.574184131205939</v>
      </c>
      <c r="M666" s="146">
        <v>44.448794950673616</v>
      </c>
      <c r="N666" s="146">
        <v>0.83767025770862169</v>
      </c>
      <c r="O666" s="146"/>
      <c r="P666" s="146"/>
      <c r="Q666" s="146"/>
      <c r="R666" s="146"/>
      <c r="S666" s="146"/>
      <c r="T666" s="146"/>
      <c r="U666" s="146"/>
      <c r="V666" s="146"/>
      <c r="W666" s="146"/>
      <c r="X666" s="146"/>
      <c r="Y666" s="146"/>
      <c r="Z666" s="146">
        <v>0.2141476001784158</v>
      </c>
      <c r="AA666" s="146"/>
      <c r="AB666" s="146"/>
      <c r="AC666" s="146"/>
      <c r="AD666" s="146"/>
      <c r="AE666" s="146"/>
      <c r="AF666" s="146"/>
      <c r="AG666" s="146"/>
      <c r="AH666" s="146"/>
      <c r="AI666" s="146"/>
      <c r="AJ666" s="146"/>
      <c r="AK666" s="146"/>
      <c r="AL666" s="146">
        <v>741.30088032824824</v>
      </c>
      <c r="AM666" s="146">
        <v>0.24789847307470711</v>
      </c>
      <c r="AN666" s="146">
        <v>0.2874787504771017</v>
      </c>
      <c r="AO666" s="146">
        <v>354.79978964124047</v>
      </c>
      <c r="AP666" s="146">
        <v>322.46575147393764</v>
      </c>
      <c r="AQ666" t="s">
        <v>382</v>
      </c>
      <c r="AR666">
        <f t="shared" si="40"/>
        <v>4.8813386259591285</v>
      </c>
      <c r="AS666">
        <f t="shared" si="41"/>
        <v>1.3321822791215501</v>
      </c>
      <c r="AT666">
        <v>0.1</v>
      </c>
      <c r="AU666">
        <v>0</v>
      </c>
      <c r="AV666">
        <v>0.2</v>
      </c>
      <c r="AW666" s="146">
        <v>1</v>
      </c>
      <c r="AX666">
        <v>9.7727504152109582E-2</v>
      </c>
      <c r="AY666">
        <v>0.08</v>
      </c>
      <c r="AZ666" s="209">
        <v>322.46575147393764</v>
      </c>
      <c r="BA666">
        <v>9.7727504152109582E-2</v>
      </c>
      <c r="BB666" s="249">
        <v>41.574458708164386</v>
      </c>
      <c r="BC666" s="243">
        <v>129.02464700247438</v>
      </c>
      <c r="BD666" s="209">
        <v>64355.628186670496</v>
      </c>
      <c r="BE666" s="243">
        <v>51.420058444437721</v>
      </c>
      <c r="BF666">
        <v>577203.1411923999</v>
      </c>
      <c r="BG666" t="s">
        <v>389</v>
      </c>
      <c r="BH666">
        <v>5.0565068664561229E-6</v>
      </c>
      <c r="BI666">
        <v>1843556.281866705</v>
      </c>
      <c r="BJ666">
        <f t="shared" si="42"/>
        <v>0.31309222662187947</v>
      </c>
    </row>
    <row r="667" spans="1:62" x14ac:dyDescent="0.3">
      <c r="A667">
        <v>-0.1</v>
      </c>
      <c r="B667" s="146">
        <v>1000</v>
      </c>
      <c r="C667" s="146">
        <v>25</v>
      </c>
      <c r="D667" s="146">
        <v>400</v>
      </c>
      <c r="E667" s="252">
        <v>11.881020212712945</v>
      </c>
      <c r="F667" s="146">
        <v>3.4178024930987321</v>
      </c>
      <c r="G667" s="146">
        <v>13.991971571538858</v>
      </c>
      <c r="H667" s="146">
        <v>3.5674410337891556</v>
      </c>
      <c r="I667" s="146"/>
      <c r="J667" s="146">
        <v>0.16002613461214923</v>
      </c>
      <c r="K667" s="146">
        <v>0.08</v>
      </c>
      <c r="L667" s="146">
        <v>72.606625779253505</v>
      </c>
      <c r="M667" s="146">
        <v>40.55683456334323</v>
      </c>
      <c r="N667" s="146">
        <v>0.76240587634524148</v>
      </c>
      <c r="O667" s="146"/>
      <c r="P667" s="146"/>
      <c r="Q667" s="146"/>
      <c r="R667" s="146"/>
      <c r="S667" s="146"/>
      <c r="T667" s="146"/>
      <c r="U667" s="146"/>
      <c r="V667" s="146"/>
      <c r="W667" s="146"/>
      <c r="X667" s="146"/>
      <c r="Y667" s="146"/>
      <c r="Z667" s="146">
        <v>0.21371225736433616</v>
      </c>
      <c r="AA667" s="146"/>
      <c r="AB667" s="146"/>
      <c r="AC667" s="146"/>
      <c r="AD667" s="146"/>
      <c r="AE667" s="146"/>
      <c r="AF667" s="146"/>
      <c r="AG667" s="146"/>
      <c r="AH667" s="146"/>
      <c r="AI667" s="146"/>
      <c r="AJ667" s="146"/>
      <c r="AK667" s="146"/>
      <c r="AL667" s="146">
        <v>710.53140717806161</v>
      </c>
      <c r="AM667" s="146">
        <v>0.24426882770766215</v>
      </c>
      <c r="AN667" s="146">
        <v>0.28902445251005315</v>
      </c>
      <c r="AO667" s="146">
        <v>358.89268153773361</v>
      </c>
      <c r="AP667" s="146">
        <v>329.3284690054407</v>
      </c>
      <c r="AQ667" t="s">
        <v>382</v>
      </c>
      <c r="AR667">
        <f t="shared" si="40"/>
        <v>4.8813386259591285</v>
      </c>
      <c r="AS667">
        <f t="shared" si="41"/>
        <v>1.3321822791215501</v>
      </c>
      <c r="AT667">
        <v>0.1</v>
      </c>
      <c r="AU667">
        <v>0</v>
      </c>
      <c r="AV667">
        <v>0.2</v>
      </c>
      <c r="AW667" s="146">
        <v>0.8</v>
      </c>
      <c r="AX667">
        <v>0.10027397224073502</v>
      </c>
      <c r="AY667">
        <v>0.08</v>
      </c>
      <c r="AZ667" s="209">
        <v>329.3284690054407</v>
      </c>
      <c r="BA667">
        <v>0.10027397224073502</v>
      </c>
      <c r="BB667" s="249">
        <v>37.559662814772977</v>
      </c>
      <c r="BC667" s="243">
        <v>114.78163824029647</v>
      </c>
      <c r="BD667" s="209">
        <v>55907.866696716519</v>
      </c>
      <c r="BE667" s="243">
        <v>46.038406670321834</v>
      </c>
      <c r="BF667">
        <v>604101.47702640854</v>
      </c>
      <c r="BG667" t="s">
        <v>389</v>
      </c>
      <c r="BH667">
        <v>4.7082615303711532E-6</v>
      </c>
      <c r="BI667">
        <v>1759078.6669671652</v>
      </c>
      <c r="BJ667">
        <f t="shared" si="42"/>
        <v>0.34341925029876147</v>
      </c>
    </row>
    <row r="668" spans="1:62" x14ac:dyDescent="0.3">
      <c r="A668">
        <v>-0.1</v>
      </c>
      <c r="B668" s="146">
        <v>1000</v>
      </c>
      <c r="C668" s="146">
        <v>25</v>
      </c>
      <c r="D668" s="146">
        <v>400</v>
      </c>
      <c r="E668" s="252">
        <v>10.495708243102628</v>
      </c>
      <c r="F668" s="146">
        <v>2.959211691335597</v>
      </c>
      <c r="G668" s="146">
        <v>12.320303387643063</v>
      </c>
      <c r="H668" s="146">
        <v>3.1427910078092749</v>
      </c>
      <c r="I668" s="146"/>
      <c r="J668" s="146">
        <v>0.16634738996299778</v>
      </c>
      <c r="K668" s="146">
        <v>0.08</v>
      </c>
      <c r="L668" s="146">
        <v>63.999672200582701</v>
      </c>
      <c r="M668" s="146">
        <v>35.749135697873172</v>
      </c>
      <c r="N668" s="146">
        <v>0.66820517801970958</v>
      </c>
      <c r="O668" s="146"/>
      <c r="P668" s="146"/>
      <c r="Q668" s="146"/>
      <c r="R668" s="146"/>
      <c r="S668" s="146"/>
      <c r="T668" s="146"/>
      <c r="U668" s="146"/>
      <c r="V668" s="146"/>
      <c r="W668" s="146"/>
      <c r="X668" s="146"/>
      <c r="Y668" s="146"/>
      <c r="Z668" s="146">
        <v>0.21261521251630761</v>
      </c>
      <c r="AA668" s="146"/>
      <c r="AB668" s="146"/>
      <c r="AC668" s="146"/>
      <c r="AD668" s="146"/>
      <c r="AE668" s="146"/>
      <c r="AF668" s="146"/>
      <c r="AG668" s="146"/>
      <c r="AH668" s="146"/>
      <c r="AI668" s="146"/>
      <c r="AJ668" s="146"/>
      <c r="AK668" s="146"/>
      <c r="AL668" s="146">
        <v>671.89146140775381</v>
      </c>
      <c r="AM668" s="146">
        <v>0.24018983934304797</v>
      </c>
      <c r="AN668" s="146">
        <v>0.29078847518174838</v>
      </c>
      <c r="AO668" s="146">
        <v>363.90603775977502</v>
      </c>
      <c r="AP668" s="146">
        <v>337.7888723978993</v>
      </c>
      <c r="AQ668" t="s">
        <v>382</v>
      </c>
      <c r="AR668">
        <f t="shared" si="40"/>
        <v>4.8813386259591285</v>
      </c>
      <c r="AS668">
        <f t="shared" si="41"/>
        <v>1.3321822791215501</v>
      </c>
      <c r="AT668">
        <v>0.1</v>
      </c>
      <c r="AU668">
        <v>0</v>
      </c>
      <c r="AV668">
        <v>0.2</v>
      </c>
      <c r="AW668" s="146">
        <v>0.6</v>
      </c>
      <c r="AX668">
        <v>0.10383621966538045</v>
      </c>
      <c r="AY668">
        <v>0.08</v>
      </c>
      <c r="AZ668" s="209">
        <v>337.7888723978993</v>
      </c>
      <c r="BA668">
        <v>0.10383621966538045</v>
      </c>
      <c r="BB668" s="249">
        <v>32.734961881606417</v>
      </c>
      <c r="BC668" s="243">
        <v>98.297239328326356</v>
      </c>
      <c r="BD668" s="209">
        <v>46389.038636761521</v>
      </c>
      <c r="BE668" s="243">
        <v>39.698480220728719</v>
      </c>
      <c r="BF668">
        <v>627885.07230890752</v>
      </c>
      <c r="BG668" t="s">
        <v>389</v>
      </c>
      <c r="BH668">
        <v>4.2518738390062117E-6</v>
      </c>
      <c r="BI668">
        <v>1663890.3863676153</v>
      </c>
      <c r="BJ668">
        <f t="shared" si="42"/>
        <v>0.37735963706096221</v>
      </c>
    </row>
    <row r="669" spans="1:62" x14ac:dyDescent="0.3">
      <c r="A669">
        <v>-0.1</v>
      </c>
      <c r="B669" s="146">
        <v>1000</v>
      </c>
      <c r="C669" s="146">
        <v>25</v>
      </c>
      <c r="D669" s="146">
        <v>400</v>
      </c>
      <c r="E669" s="252">
        <v>8.7347184279050438</v>
      </c>
      <c r="F669" s="146">
        <v>2.4083030666891641</v>
      </c>
      <c r="G669" s="146">
        <v>10.216406455485874</v>
      </c>
      <c r="H669" s="146">
        <v>2.6007685760615749</v>
      </c>
      <c r="I669" s="146"/>
      <c r="J669" s="146">
        <v>0.17392799712358689</v>
      </c>
      <c r="K669" s="146">
        <v>0.08</v>
      </c>
      <c r="L669" s="146">
        <v>52.997612971941344</v>
      </c>
      <c r="M669" s="146">
        <v>29.603571278604839</v>
      </c>
      <c r="N669" s="146">
        <v>0.55337982454687795</v>
      </c>
      <c r="O669" s="146"/>
      <c r="P669" s="146"/>
      <c r="Q669" s="146"/>
      <c r="R669" s="146"/>
      <c r="S669" s="146"/>
      <c r="T669" s="146"/>
      <c r="U669" s="146"/>
      <c r="V669" s="146"/>
      <c r="W669" s="146"/>
      <c r="X669" s="146"/>
      <c r="Y669" s="146"/>
      <c r="Z669" s="146">
        <v>0.21277549630535691</v>
      </c>
      <c r="AA669" s="146"/>
      <c r="AB669" s="146"/>
      <c r="AC669" s="146"/>
      <c r="AD669" s="146"/>
      <c r="AE669" s="146"/>
      <c r="AF669" s="146"/>
      <c r="AG669" s="146"/>
      <c r="AH669" s="146"/>
      <c r="AI669" s="146"/>
      <c r="AJ669" s="146"/>
      <c r="AK669" s="146"/>
      <c r="AL669" s="146">
        <v>625.02335457798142</v>
      </c>
      <c r="AM669" s="146">
        <v>0.23572897938061035</v>
      </c>
      <c r="AN669" s="146">
        <v>0.29182408160783851</v>
      </c>
      <c r="AO669" s="146">
        <v>370.06854821651422</v>
      </c>
      <c r="AP669" s="146">
        <v>348.33344230454219</v>
      </c>
      <c r="AQ669" t="s">
        <v>382</v>
      </c>
      <c r="AR669">
        <f t="shared" si="40"/>
        <v>4.8813386259591285</v>
      </c>
      <c r="AS669">
        <f t="shared" si="41"/>
        <v>1.3321822791215501</v>
      </c>
      <c r="AT669">
        <v>0.1</v>
      </c>
      <c r="AU669">
        <v>0</v>
      </c>
      <c r="AV669">
        <v>0.2</v>
      </c>
      <c r="AW669" s="146">
        <v>0.4</v>
      </c>
      <c r="AX669">
        <v>0.10848355218612678</v>
      </c>
      <c r="AY669">
        <v>0.08</v>
      </c>
      <c r="AZ669" s="209">
        <v>348.33344230454219</v>
      </c>
      <c r="BA669">
        <v>0.10848355218612678</v>
      </c>
      <c r="BB669" s="249">
        <v>26.844565506036648</v>
      </c>
      <c r="BC669" s="243">
        <v>78.720004001136033</v>
      </c>
      <c r="BD669" s="209">
        <v>35686.810988020341</v>
      </c>
      <c r="BE669" s="243">
        <v>32.294593693363289</v>
      </c>
      <c r="BF669">
        <v>651150.12601781427</v>
      </c>
      <c r="BG669" t="s">
        <v>389</v>
      </c>
      <c r="BH669">
        <v>3.618287472461857E-6</v>
      </c>
      <c r="BI669">
        <v>1556868.1098802034</v>
      </c>
      <c r="BJ669">
        <f t="shared" si="42"/>
        <v>0.41824360193742965</v>
      </c>
    </row>
    <row r="670" spans="1:62" x14ac:dyDescent="0.3">
      <c r="A670">
        <v>-0.1</v>
      </c>
      <c r="B670" s="146">
        <v>1000</v>
      </c>
      <c r="C670" s="146">
        <v>25</v>
      </c>
      <c r="D670" s="146">
        <v>400</v>
      </c>
      <c r="E670" s="252">
        <v>7.5858764158531828</v>
      </c>
      <c r="F670" s="146">
        <v>2.0652848278483575</v>
      </c>
      <c r="G670" s="146">
        <v>8.8547345940091891</v>
      </c>
      <c r="H670" s="146">
        <v>2.2493712787164455</v>
      </c>
      <c r="I670" s="146"/>
      <c r="J670" s="146">
        <v>0.17941079665606069</v>
      </c>
      <c r="K670" s="146">
        <v>0.08</v>
      </c>
      <c r="L670" s="146">
        <v>45.855854614850465</v>
      </c>
      <c r="M670" s="146">
        <v>25.614305711292495</v>
      </c>
      <c r="N670" s="146">
        <v>0.47754795352388713</v>
      </c>
      <c r="O670" s="146"/>
      <c r="P670" s="146"/>
      <c r="Q670" s="146"/>
      <c r="R670" s="146"/>
      <c r="S670" s="146"/>
      <c r="T670" s="146"/>
      <c r="U670" s="146"/>
      <c r="V670" s="146"/>
      <c r="W670" s="146"/>
      <c r="X670" s="146"/>
      <c r="Y670" s="146"/>
      <c r="Z670" s="146">
        <v>0.21230285904441237</v>
      </c>
      <c r="AA670" s="146"/>
      <c r="AB670" s="146"/>
      <c r="AC670" s="146"/>
      <c r="AD670" s="146"/>
      <c r="AE670" s="146"/>
      <c r="AF670" s="146"/>
      <c r="AG670" s="146"/>
      <c r="AH670" s="146"/>
      <c r="AI670" s="146"/>
      <c r="AJ670" s="146"/>
      <c r="AK670" s="146"/>
      <c r="AL670" s="146">
        <v>593.92682971419094</v>
      </c>
      <c r="AM670" s="146">
        <v>0.23324073758751152</v>
      </c>
      <c r="AN670" s="146">
        <v>0.29209276238559251</v>
      </c>
      <c r="AO670" s="146">
        <v>374.02922155996782</v>
      </c>
      <c r="AP670" s="146">
        <v>355.1528529522476</v>
      </c>
      <c r="AQ670" t="s">
        <v>382</v>
      </c>
      <c r="AR670">
        <f t="shared" si="40"/>
        <v>4.8813386259591285</v>
      </c>
      <c r="AS670">
        <f t="shared" si="41"/>
        <v>1.3321822791215501</v>
      </c>
      <c r="AT670">
        <v>0.1</v>
      </c>
      <c r="AU670">
        <v>0</v>
      </c>
      <c r="AV670">
        <v>0.2</v>
      </c>
      <c r="AW670" s="146">
        <v>0.3</v>
      </c>
      <c r="AX670">
        <v>0.11213973887086415</v>
      </c>
      <c r="AY670">
        <v>0.08</v>
      </c>
      <c r="AZ670" s="209">
        <v>355.1528529522476</v>
      </c>
      <c r="BA670">
        <v>0.11213973887086415</v>
      </c>
      <c r="BB670" s="249">
        <v>23.123769807798602</v>
      </c>
      <c r="BC670" s="243">
        <v>66.768013116509252</v>
      </c>
      <c r="BD670" s="209">
        <v>29447.94962055346</v>
      </c>
      <c r="BE670" s="243">
        <v>27.718292576221732</v>
      </c>
      <c r="BF670">
        <v>652726.49282091483</v>
      </c>
      <c r="BG670" t="s">
        <v>389</v>
      </c>
      <c r="BH670">
        <v>3.19104434153743E-6</v>
      </c>
      <c r="BI670">
        <v>1494479.4962055346</v>
      </c>
      <c r="BJ670">
        <f t="shared" si="42"/>
        <v>0.43675841286426448</v>
      </c>
    </row>
    <row r="671" spans="1:62" x14ac:dyDescent="0.3">
      <c r="A671">
        <v>-0.1</v>
      </c>
      <c r="B671" s="146">
        <v>1000</v>
      </c>
      <c r="C671" s="146">
        <v>25</v>
      </c>
      <c r="D671" s="146">
        <v>400</v>
      </c>
      <c r="E671" s="252">
        <v>6.156353311521328</v>
      </c>
      <c r="F671" s="146">
        <v>1.6525664931123489</v>
      </c>
      <c r="G671" s="146">
        <v>7.1700400984924109</v>
      </c>
      <c r="H671" s="146">
        <v>1.8182969437032166</v>
      </c>
      <c r="I671" s="146"/>
      <c r="J671" s="146">
        <v>0.18684760608740578</v>
      </c>
      <c r="K671" s="146">
        <v>0.08</v>
      </c>
      <c r="L671" s="146">
        <v>37.085727580893426</v>
      </c>
      <c r="M671" s="146">
        <v>20.71546091030832</v>
      </c>
      <c r="N671" s="146">
        <v>0.385286739234451</v>
      </c>
      <c r="O671" s="146"/>
      <c r="P671" s="146"/>
      <c r="Q671" s="146"/>
      <c r="R671" s="146"/>
      <c r="S671" s="146"/>
      <c r="T671" s="146"/>
      <c r="U671" s="146"/>
      <c r="V671" s="146"/>
      <c r="W671" s="146"/>
      <c r="X671" s="146"/>
      <c r="Y671" s="146"/>
      <c r="Z671" s="146">
        <v>0.21189428963663137</v>
      </c>
      <c r="AA671" s="146"/>
      <c r="AB671" s="146"/>
      <c r="AC671" s="146"/>
      <c r="AD671" s="146"/>
      <c r="AE671" s="146"/>
      <c r="AF671" s="146"/>
      <c r="AG671" s="146"/>
      <c r="AH671" s="146"/>
      <c r="AI671" s="146"/>
      <c r="AJ671" s="146"/>
      <c r="AK671" s="146"/>
      <c r="AL671" s="146">
        <v>556.29219023180224</v>
      </c>
      <c r="AM671" s="146">
        <v>0.23048218286252281</v>
      </c>
      <c r="AN671" s="146">
        <v>0.29271397475508532</v>
      </c>
      <c r="AO671" s="146">
        <v>378.96802393301391</v>
      </c>
      <c r="AP671" s="146">
        <v>363.64882061457672</v>
      </c>
      <c r="AQ671" t="s">
        <v>382</v>
      </c>
      <c r="AR671">
        <f t="shared" si="40"/>
        <v>4.8813386259591285</v>
      </c>
      <c r="AS671">
        <f t="shared" si="41"/>
        <v>1.3321822791215501</v>
      </c>
      <c r="AT671">
        <v>0.1</v>
      </c>
      <c r="AU671">
        <v>0</v>
      </c>
      <c r="AV671">
        <v>0.2</v>
      </c>
      <c r="AW671" s="146">
        <v>0.2</v>
      </c>
      <c r="AX671">
        <v>0.11777451099504319</v>
      </c>
      <c r="AY671">
        <v>0.08</v>
      </c>
      <c r="AZ671" s="209">
        <v>363.64882061457672</v>
      </c>
      <c r="BA671">
        <v>0.11777451099504319</v>
      </c>
      <c r="BB671" s="249">
        <v>18.598386409382183</v>
      </c>
      <c r="BC671" s="243">
        <v>52.782508028254341</v>
      </c>
      <c r="BD671" s="209">
        <v>22423.726717381222</v>
      </c>
      <c r="BE671" s="243">
        <v>22.178908137708955</v>
      </c>
      <c r="BF671">
        <v>642822.2863589914</v>
      </c>
      <c r="BG671" t="s">
        <v>389</v>
      </c>
      <c r="BH671">
        <v>2.6331886074003208E-6</v>
      </c>
      <c r="BI671">
        <v>1424237.2671738123</v>
      </c>
      <c r="BJ671">
        <f t="shared" si="42"/>
        <v>0.4513449417277059</v>
      </c>
    </row>
    <row r="672" spans="1:62" s="140" customFormat="1" x14ac:dyDescent="0.3">
      <c r="A672" s="140">
        <v>-0.1</v>
      </c>
      <c r="B672" s="140">
        <v>1000</v>
      </c>
      <c r="C672" s="140">
        <v>25</v>
      </c>
      <c r="D672" s="140">
        <v>400</v>
      </c>
      <c r="E672" s="253">
        <v>4.2242292300545632</v>
      </c>
      <c r="F672" s="140">
        <v>1.1173314796185421</v>
      </c>
      <c r="G672" s="140">
        <v>4.9080689543649427</v>
      </c>
      <c r="H672" s="140">
        <v>1.2402373999601335</v>
      </c>
      <c r="J672" s="140">
        <v>0.19899174507238931</v>
      </c>
      <c r="K672" s="140">
        <v>0.08</v>
      </c>
      <c r="L672" s="140">
        <v>25.310992095495763</v>
      </c>
      <c r="M672" s="140">
        <v>14.138292587402267</v>
      </c>
      <c r="N672" s="140">
        <v>0.25852435383077244</v>
      </c>
      <c r="Z672" s="140">
        <v>0.20844747452308929</v>
      </c>
      <c r="AL672" s="140">
        <v>504.32805873306802</v>
      </c>
      <c r="AM672" s="140">
        <v>0.22765195232737193</v>
      </c>
      <c r="AN672" s="140">
        <v>0.29288697701365063</v>
      </c>
      <c r="AO672" s="140">
        <v>385.57727191175974</v>
      </c>
      <c r="AP672" s="140">
        <v>375.06588181768177</v>
      </c>
      <c r="AQ672" t="s">
        <v>382</v>
      </c>
      <c r="AR672">
        <f t="shared" si="40"/>
        <v>4.8813386259591285</v>
      </c>
      <c r="AS672">
        <f t="shared" si="41"/>
        <v>1.3321822791215501</v>
      </c>
      <c r="AT672">
        <v>0.1</v>
      </c>
      <c r="AU672">
        <v>0</v>
      </c>
      <c r="AV672">
        <v>0.2</v>
      </c>
      <c r="AW672" s="140">
        <v>0.1</v>
      </c>
      <c r="AX672">
        <v>0.12910107711741586</v>
      </c>
      <c r="AY672">
        <v>0.08</v>
      </c>
      <c r="AZ672" s="209">
        <v>375.06588181768177</v>
      </c>
      <c r="BA672" s="140">
        <v>0.12910107711741586</v>
      </c>
      <c r="BB672" s="253">
        <v>12.646819354107686</v>
      </c>
      <c r="BC672" s="245">
        <v>35.030180653949536</v>
      </c>
      <c r="BD672" s="210">
        <v>14100.511140868204</v>
      </c>
      <c r="BE672" s="245">
        <v>15.039413146493768</v>
      </c>
      <c r="BF672" s="140">
        <v>607817.73096959421</v>
      </c>
      <c r="BG672" t="s">
        <v>389</v>
      </c>
      <c r="BH672" s="140">
        <v>1.8220313873133468E-6</v>
      </c>
      <c r="BI672" s="140">
        <v>1341005.1114086821</v>
      </c>
      <c r="BJ672">
        <f t="shared" si="42"/>
        <v>0.45325534242826376</v>
      </c>
    </row>
    <row r="673" spans="1:62" x14ac:dyDescent="0.3">
      <c r="A673">
        <v>-0.1</v>
      </c>
      <c r="B673" s="146">
        <v>1000</v>
      </c>
      <c r="C673" s="146">
        <v>25</v>
      </c>
      <c r="D673" s="146">
        <v>400</v>
      </c>
      <c r="E673" s="252">
        <v>17.790295629662843</v>
      </c>
      <c r="F673" s="146">
        <v>5.7181402649190156</v>
      </c>
      <c r="G673" s="146">
        <v>21.359831685801506</v>
      </c>
      <c r="H673" s="146">
        <v>5.4271658248129313</v>
      </c>
      <c r="I673" s="146"/>
      <c r="J673" s="146">
        <v>0.13788974516431277</v>
      </c>
      <c r="K673" s="146">
        <v>0.08</v>
      </c>
      <c r="L673" s="146">
        <v>110.14111879428785</v>
      </c>
      <c r="M673" s="146">
        <v>61.522968263839267</v>
      </c>
      <c r="N673" s="146">
        <v>1.1618982429022839</v>
      </c>
      <c r="O673" s="146"/>
      <c r="P673" s="146"/>
      <c r="Q673" s="146"/>
      <c r="R673" s="146"/>
      <c r="S673" s="146"/>
      <c r="T673" s="146"/>
      <c r="U673" s="146"/>
      <c r="V673" s="146"/>
      <c r="W673" s="146"/>
      <c r="X673" s="146"/>
      <c r="Y673" s="146"/>
      <c r="Z673" s="146">
        <v>0.21408932035761655</v>
      </c>
      <c r="AA673" s="146"/>
      <c r="AB673" s="146"/>
      <c r="AC673" s="146"/>
      <c r="AD673" s="146"/>
      <c r="AE673" s="146"/>
      <c r="AF673" s="146"/>
      <c r="AG673" s="146"/>
      <c r="AH673" s="146"/>
      <c r="AI673" s="146"/>
      <c r="AJ673" s="146"/>
      <c r="AK673" s="146"/>
      <c r="AL673" s="146">
        <v>872.71482623035479</v>
      </c>
      <c r="AM673" s="146">
        <v>0.26770530540837678</v>
      </c>
      <c r="AN673" s="146">
        <v>0.2781224628290157</v>
      </c>
      <c r="AO673" s="146">
        <v>336.03430859664155</v>
      </c>
      <c r="AP673" s="146">
        <v>291.76570477921268</v>
      </c>
      <c r="AQ673" t="s">
        <v>382</v>
      </c>
      <c r="AR673">
        <f t="shared" si="40"/>
        <v>4.8813386259591285</v>
      </c>
      <c r="AS673">
        <f t="shared" si="41"/>
        <v>1.3321822791215501</v>
      </c>
      <c r="AT673">
        <v>0.1</v>
      </c>
      <c r="AU673">
        <v>0</v>
      </c>
      <c r="AV673">
        <v>0.2</v>
      </c>
      <c r="AW673" s="146">
        <v>3</v>
      </c>
      <c r="AX673">
        <v>8.824718719845151E-2</v>
      </c>
      <c r="AY673">
        <v>0.08</v>
      </c>
      <c r="AZ673" s="209">
        <v>291.76570477921268</v>
      </c>
      <c r="BA673">
        <v>8.824718719845151E-2</v>
      </c>
      <c r="BB673" s="249">
        <v>60.744756446448029</v>
      </c>
      <c r="BC673" s="243">
        <v>205.1617100090034</v>
      </c>
      <c r="BD673" s="209">
        <v>111876.10006195075</v>
      </c>
      <c r="BE673" s="243">
        <v>79.024659462658533</v>
      </c>
      <c r="BF673">
        <v>338769.08735760232</v>
      </c>
      <c r="BG673" t="s">
        <v>390</v>
      </c>
      <c r="BH673">
        <v>6.4348085647893643E-6</v>
      </c>
      <c r="BI673">
        <v>2318761.0006195074</v>
      </c>
      <c r="BJ673">
        <f t="shared" si="42"/>
        <v>0.14609918282526435</v>
      </c>
    </row>
    <row r="674" spans="1:62" s="140" customFormat="1" x14ac:dyDescent="0.3">
      <c r="A674">
        <v>-0.2</v>
      </c>
      <c r="B674" s="146">
        <v>1000</v>
      </c>
      <c r="C674" s="146">
        <v>25</v>
      </c>
      <c r="D674" s="146">
        <v>400</v>
      </c>
      <c r="E674" s="252">
        <v>17.65963583664179</v>
      </c>
      <c r="F674" s="146">
        <v>5.8240257679527065</v>
      </c>
      <c r="G674" s="146">
        <v>21.285494411605196</v>
      </c>
      <c r="H674" s="146">
        <v>5.4353055124048257</v>
      </c>
      <c r="I674" s="146"/>
      <c r="J674" s="146">
        <v>0.13655933551536259</v>
      </c>
      <c r="K674" s="146">
        <v>0.08</v>
      </c>
      <c r="L674" s="146">
        <v>110.31527504404733</v>
      </c>
      <c r="M674" s="146">
        <v>61.620249002805728</v>
      </c>
      <c r="N674" s="146">
        <v>1.1714898883622809</v>
      </c>
      <c r="O674" s="146"/>
      <c r="P674" s="146"/>
      <c r="Q674" s="146"/>
      <c r="R674" s="146"/>
      <c r="S674" s="146"/>
      <c r="T674" s="146"/>
      <c r="U674" s="146"/>
      <c r="V674" s="146"/>
      <c r="W674" s="146"/>
      <c r="X674" s="146"/>
      <c r="Y674" s="146"/>
      <c r="Z674" s="146">
        <v>0.21553340206702762</v>
      </c>
      <c r="AA674" s="146"/>
      <c r="AB674" s="146"/>
      <c r="AC674" s="146"/>
      <c r="AD674" s="146"/>
      <c r="AE674" s="146"/>
      <c r="AF674" s="146"/>
      <c r="AG674" s="146"/>
      <c r="AH674" s="146"/>
      <c r="AI674" s="146"/>
      <c r="AJ674" s="146"/>
      <c r="AK674" s="146"/>
      <c r="AL674" s="146">
        <v>870.41680459120494</v>
      </c>
      <c r="AM674" s="146">
        <v>0.27361477517653304</v>
      </c>
      <c r="AN674" s="146">
        <v>0.2473870208748753</v>
      </c>
      <c r="AO674" s="146">
        <v>328.6153502548795</v>
      </c>
      <c r="AP674" s="146">
        <v>284.67186041006511</v>
      </c>
      <c r="AQ674" t="s">
        <v>382</v>
      </c>
      <c r="AR674">
        <f t="shared" si="40"/>
        <v>4.8813386259591285</v>
      </c>
      <c r="AS674">
        <f t="shared" si="41"/>
        <v>1.3321822791215501</v>
      </c>
      <c r="AT674">
        <v>0.1</v>
      </c>
      <c r="AU674">
        <v>0</v>
      </c>
      <c r="AV674">
        <v>0.2</v>
      </c>
      <c r="AW674" s="146">
        <v>3</v>
      </c>
      <c r="AX674">
        <v>8.7279190567894169E-2</v>
      </c>
      <c r="AY674">
        <v>0.08</v>
      </c>
      <c r="AZ674" s="209">
        <v>284.67186041006511</v>
      </c>
      <c r="BA674" s="140">
        <v>8.7279190567894169E-2</v>
      </c>
      <c r="BB674" s="253">
        <v>61.406595352140187</v>
      </c>
      <c r="BC674" s="245">
        <v>205.68201294302966</v>
      </c>
      <c r="BD674" s="210">
        <v>112652.83510701299</v>
      </c>
      <c r="BE674" s="245">
        <v>79.856263451792088</v>
      </c>
      <c r="BF674" s="140">
        <v>337254.66842677206</v>
      </c>
      <c r="BG674" t="s">
        <v>390</v>
      </c>
      <c r="BH674" s="140">
        <v>6.3704489429528967E-6</v>
      </c>
      <c r="BI674" s="140">
        <v>2326528.3510701298</v>
      </c>
      <c r="BJ674">
        <f t="shared" si="42"/>
        <v>0.14496048082613974</v>
      </c>
    </row>
    <row r="675" spans="1:62" x14ac:dyDescent="0.3">
      <c r="A675">
        <v>-0.3</v>
      </c>
      <c r="B675" s="146">
        <v>1000</v>
      </c>
      <c r="C675" s="146">
        <v>25</v>
      </c>
      <c r="D675" s="146">
        <v>400</v>
      </c>
      <c r="E675" s="252">
        <v>17.469865137649808</v>
      </c>
      <c r="F675" s="146">
        <v>5.9553610063678075</v>
      </c>
      <c r="G675" s="146">
        <v>21.164997948248519</v>
      </c>
      <c r="H675" s="146">
        <v>5.4446624371268202</v>
      </c>
      <c r="I675" s="146"/>
      <c r="J675" s="146">
        <v>0.13661009600859891</v>
      </c>
      <c r="K675" s="146">
        <v>0.08</v>
      </c>
      <c r="L675" s="146">
        <v>110.51717270075623</v>
      </c>
      <c r="M675" s="146">
        <v>61.733025623038223</v>
      </c>
      <c r="N675" s="146">
        <v>1.1611791585234634</v>
      </c>
      <c r="O675" s="146"/>
      <c r="P675" s="146"/>
      <c r="Q675" s="146"/>
      <c r="R675" s="146"/>
      <c r="S675" s="146"/>
      <c r="T675" s="146"/>
      <c r="U675" s="146"/>
      <c r="V675" s="146"/>
      <c r="W675" s="146"/>
      <c r="X675" s="146"/>
      <c r="Y675" s="146"/>
      <c r="Z675" s="146">
        <v>0.21326926543791838</v>
      </c>
      <c r="AA675" s="146"/>
      <c r="AB675" s="146"/>
      <c r="AC675" s="146"/>
      <c r="AD675" s="146"/>
      <c r="AE675" s="146"/>
      <c r="AF675" s="146"/>
      <c r="AG675" s="146"/>
      <c r="AH675" s="146"/>
      <c r="AI675" s="146"/>
      <c r="AJ675" s="146"/>
      <c r="AK675" s="146"/>
      <c r="AL675" s="146">
        <v>856.51655910144927</v>
      </c>
      <c r="AM675" s="146">
        <v>0.28137782110489812</v>
      </c>
      <c r="AN675" s="146">
        <v>0.21674345375759832</v>
      </c>
      <c r="AO675" s="146">
        <v>319.3984185691358</v>
      </c>
      <c r="AP675" s="146">
        <v>275.92697983971829</v>
      </c>
      <c r="AQ675" t="s">
        <v>382</v>
      </c>
      <c r="AR675">
        <f t="shared" si="40"/>
        <v>4.8813386259591285</v>
      </c>
      <c r="AS675">
        <f t="shared" si="41"/>
        <v>1.3321822791215501</v>
      </c>
      <c r="AT675">
        <v>0.1</v>
      </c>
      <c r="AU675">
        <v>0</v>
      </c>
      <c r="AV675">
        <v>0.2</v>
      </c>
      <c r="AW675" s="146">
        <v>3</v>
      </c>
      <c r="AX675">
        <v>8.6782549791550825E-2</v>
      </c>
      <c r="AY675">
        <v>0.08</v>
      </c>
      <c r="AZ675" s="209">
        <v>275.92697983971829</v>
      </c>
      <c r="BA675">
        <v>8.6782549791550825E-2</v>
      </c>
      <c r="BB675" s="249">
        <v>62.189045074841999</v>
      </c>
      <c r="BC675" s="243">
        <v>206.28678295590643</v>
      </c>
      <c r="BD675" s="209">
        <v>113468.5462660698</v>
      </c>
      <c r="BE675" s="243">
        <v>80.694140010015744</v>
      </c>
      <c r="BF675">
        <v>334418.18118792406</v>
      </c>
      <c r="BG675" t="s">
        <v>390</v>
      </c>
      <c r="BH675">
        <v>6.2867482233837385E-6</v>
      </c>
      <c r="BI675">
        <v>2334685.4626606982</v>
      </c>
      <c r="BJ675">
        <f t="shared" si="42"/>
        <v>0.14323907290141263</v>
      </c>
    </row>
    <row r="676" spans="1:62" x14ac:dyDescent="0.3">
      <c r="A676">
        <v>-0.4</v>
      </c>
      <c r="B676" s="146">
        <v>1000</v>
      </c>
      <c r="C676" s="146">
        <v>25</v>
      </c>
      <c r="D676" s="146">
        <v>400</v>
      </c>
      <c r="E676" s="252">
        <v>17.212831944834697</v>
      </c>
      <c r="F676" s="146">
        <v>6.1336863557306804</v>
      </c>
      <c r="G676" s="146">
        <v>21.002049356325269</v>
      </c>
      <c r="H676" s="146">
        <v>5.4574685829102556</v>
      </c>
      <c r="I676" s="146"/>
      <c r="J676" s="146">
        <v>0.13671431410343568</v>
      </c>
      <c r="K676" s="146">
        <v>0.08</v>
      </c>
      <c r="L676" s="146">
        <v>110.79378453857659</v>
      </c>
      <c r="M676" s="146">
        <v>61.887536322638148</v>
      </c>
      <c r="N676" s="146">
        <v>1.1471019851935935</v>
      </c>
      <c r="O676" s="146"/>
      <c r="P676" s="146"/>
      <c r="Q676" s="146"/>
      <c r="R676" s="146"/>
      <c r="S676" s="146"/>
      <c r="T676" s="146"/>
      <c r="U676" s="146"/>
      <c r="V676" s="146"/>
      <c r="W676" s="146"/>
      <c r="X676" s="146"/>
      <c r="Y676" s="146"/>
      <c r="Z676" s="146">
        <v>0.21018938868208539</v>
      </c>
      <c r="AA676" s="146"/>
      <c r="AB676" s="146"/>
      <c r="AC676" s="146"/>
      <c r="AD676" s="146"/>
      <c r="AE676" s="146"/>
      <c r="AF676" s="146"/>
      <c r="AG676" s="146"/>
      <c r="AH676" s="146"/>
      <c r="AI676" s="146"/>
      <c r="AJ676" s="146"/>
      <c r="AK676" s="146"/>
      <c r="AL676" s="146">
        <v>838.22426155209996</v>
      </c>
      <c r="AM676" s="146">
        <v>0.29205180178682771</v>
      </c>
      <c r="AN676" s="146">
        <v>0.18609500372554102</v>
      </c>
      <c r="AO676" s="146">
        <v>307.50513662247084</v>
      </c>
      <c r="AP676" s="146">
        <v>264.67326895530317</v>
      </c>
      <c r="AQ676" t="s">
        <v>382</v>
      </c>
      <c r="AR676">
        <f t="shared" si="40"/>
        <v>4.8813386259591285</v>
      </c>
      <c r="AS676">
        <f t="shared" si="41"/>
        <v>1.3321822791215501</v>
      </c>
      <c r="AT676">
        <v>0.1</v>
      </c>
      <c r="AU676">
        <v>0</v>
      </c>
      <c r="AV676">
        <v>0.2</v>
      </c>
      <c r="AW676" s="146">
        <v>3</v>
      </c>
      <c r="AX676">
        <v>8.613822488023791E-2</v>
      </c>
      <c r="AY676">
        <v>0.08</v>
      </c>
      <c r="AZ676" s="209">
        <v>264.67326895530317</v>
      </c>
      <c r="BA676">
        <v>8.613822488023791E-2</v>
      </c>
      <c r="BB676" s="249">
        <v>63.251724253434745</v>
      </c>
      <c r="BC676" s="243">
        <v>207.11813934093578</v>
      </c>
      <c r="BD676" s="209">
        <v>114581.25592632717</v>
      </c>
      <c r="BE676" s="243">
        <v>81.831554109156471</v>
      </c>
      <c r="BF676">
        <v>330530.39015904412</v>
      </c>
      <c r="BG676" t="s">
        <v>390</v>
      </c>
      <c r="BH676">
        <v>6.1738410031155436E-6</v>
      </c>
      <c r="BI676">
        <v>2345812.5592632717</v>
      </c>
      <c r="BJ676">
        <f t="shared" si="42"/>
        <v>0.14090230221243713</v>
      </c>
    </row>
    <row r="677" spans="1:62" x14ac:dyDescent="0.3">
      <c r="A677">
        <v>-0.5</v>
      </c>
      <c r="B677" s="146">
        <v>1000</v>
      </c>
      <c r="C677" s="146">
        <v>25</v>
      </c>
      <c r="D677" s="146">
        <v>400</v>
      </c>
      <c r="E677" s="252">
        <v>16.842278209010026</v>
      </c>
      <c r="F677" s="146">
        <v>6.3863424557621853</v>
      </c>
      <c r="G677" s="146">
        <v>20.764559511138366</v>
      </c>
      <c r="H677" s="146">
        <v>5.4751326004031107</v>
      </c>
      <c r="I677" s="146"/>
      <c r="J677" s="146">
        <v>0.13742020578068281</v>
      </c>
      <c r="K677" s="146">
        <v>0.08</v>
      </c>
      <c r="L677" s="146">
        <v>111.1771263440107</v>
      </c>
      <c r="M677" s="146">
        <v>62.101664579079547</v>
      </c>
      <c r="N677" s="146">
        <v>1.1207667104523837</v>
      </c>
      <c r="O677" s="146"/>
      <c r="P677" s="146"/>
      <c r="Q677" s="146"/>
      <c r="R677" s="146"/>
      <c r="S677" s="146"/>
      <c r="T677" s="146"/>
      <c r="U677" s="146"/>
      <c r="V677" s="146"/>
      <c r="W677" s="146"/>
      <c r="X677" s="146"/>
      <c r="Y677" s="146"/>
      <c r="Z677" s="146">
        <v>0.20470129077236712</v>
      </c>
      <c r="AA677" s="146"/>
      <c r="AB677" s="146"/>
      <c r="AC677" s="146"/>
      <c r="AD677" s="146"/>
      <c r="AE677" s="146"/>
      <c r="AF677" s="146"/>
      <c r="AG677" s="146"/>
      <c r="AH677" s="146"/>
      <c r="AI677" s="146"/>
      <c r="AJ677" s="146"/>
      <c r="AK677" s="146"/>
      <c r="AL677" s="146">
        <v>810.14748820105001</v>
      </c>
      <c r="AM677" s="146">
        <v>0.30755973669157166</v>
      </c>
      <c r="AN677" s="146">
        <v>0.1554773242710811</v>
      </c>
      <c r="AO677" s="146">
        <v>291.67373256536871</v>
      </c>
      <c r="AP677" s="146">
        <v>249.76413297485746</v>
      </c>
      <c r="AQ677" t="s">
        <v>382</v>
      </c>
      <c r="AR677">
        <f t="shared" si="40"/>
        <v>4.8813386259591285</v>
      </c>
      <c r="AS677">
        <f t="shared" si="41"/>
        <v>1.3321822791215501</v>
      </c>
      <c r="AT677">
        <v>0.1</v>
      </c>
      <c r="AU677">
        <v>0</v>
      </c>
      <c r="AV677">
        <v>0.2</v>
      </c>
      <c r="AW677" s="146">
        <v>3</v>
      </c>
      <c r="AX677">
        <v>8.5464946302318642E-2</v>
      </c>
      <c r="AY677">
        <v>0.08</v>
      </c>
      <c r="AZ677" s="209">
        <v>249.76413297485746</v>
      </c>
      <c r="BA677">
        <v>8.5464946302318642E-2</v>
      </c>
      <c r="BB677" s="249">
        <v>64.746723000048647</v>
      </c>
      <c r="BC677" s="243">
        <v>208.2756401727901</v>
      </c>
      <c r="BD677" s="209">
        <v>116100.68529423048</v>
      </c>
      <c r="BE677" s="243">
        <v>83.368389526108814</v>
      </c>
      <c r="BF677">
        <v>324657.5724799133</v>
      </c>
      <c r="BG677" t="s">
        <v>390</v>
      </c>
      <c r="BH677">
        <v>6.0147642809949143E-6</v>
      </c>
      <c r="BI677">
        <v>2361006.8529423047</v>
      </c>
      <c r="BJ677">
        <f t="shared" si="42"/>
        <v>0.13750810256027957</v>
      </c>
    </row>
    <row r="678" spans="1:62" x14ac:dyDescent="0.3">
      <c r="A678">
        <v>-0.6</v>
      </c>
      <c r="B678" s="146">
        <v>1000</v>
      </c>
      <c r="C678" s="146">
        <v>25</v>
      </c>
      <c r="D678" s="146">
        <v>400</v>
      </c>
      <c r="E678" s="252">
        <v>16.28026653683267</v>
      </c>
      <c r="F678" s="146">
        <v>6.7767933123952222</v>
      </c>
      <c r="G678" s="146">
        <v>20.408498144569343</v>
      </c>
      <c r="H678" s="146">
        <v>5.5034096170898188</v>
      </c>
      <c r="I678" s="146"/>
      <c r="J678" s="146">
        <v>0.13827884154001371</v>
      </c>
      <c r="K678" s="146">
        <v>0.08</v>
      </c>
      <c r="L678" s="146">
        <v>111.79125722136561</v>
      </c>
      <c r="M678" s="146">
        <v>62.444707712206956</v>
      </c>
      <c r="N678" s="146">
        <v>1.085321219619261</v>
      </c>
      <c r="O678" s="146"/>
      <c r="P678" s="146"/>
      <c r="Q678" s="146"/>
      <c r="R678" s="146"/>
      <c r="S678" s="146"/>
      <c r="T678" s="146"/>
      <c r="U678" s="146"/>
      <c r="V678" s="146"/>
      <c r="W678" s="146"/>
      <c r="X678" s="146"/>
      <c r="Y678" s="146"/>
      <c r="Z678" s="146">
        <v>0.19720887506701246</v>
      </c>
      <c r="AA678" s="146"/>
      <c r="AB678" s="146"/>
      <c r="AC678" s="146"/>
      <c r="AD678" s="146"/>
      <c r="AE678" s="146"/>
      <c r="AF678" s="146"/>
      <c r="AG678" s="146"/>
      <c r="AH678" s="146"/>
      <c r="AI678" s="146"/>
      <c r="AJ678" s="146"/>
      <c r="AK678" s="146"/>
      <c r="AL678" s="146">
        <v>771.72423013172909</v>
      </c>
      <c r="AM678" s="146">
        <v>0.332057423549244</v>
      </c>
      <c r="AN678" s="146">
        <v>0.12482451010714153</v>
      </c>
      <c r="AO678" s="146">
        <v>269.5747612158965</v>
      </c>
      <c r="AP678" s="146">
        <v>229.06362032209881</v>
      </c>
      <c r="AQ678" t="s">
        <v>382</v>
      </c>
      <c r="AR678">
        <f t="shared" si="40"/>
        <v>4.8813386259591285</v>
      </c>
      <c r="AS678">
        <f t="shared" si="41"/>
        <v>1.3321822791215501</v>
      </c>
      <c r="AT678">
        <v>0.1</v>
      </c>
      <c r="AU678">
        <v>0</v>
      </c>
      <c r="AV678">
        <v>0.2</v>
      </c>
      <c r="AW678" s="146">
        <v>3</v>
      </c>
      <c r="AX678">
        <v>8.4386709687952186E-2</v>
      </c>
      <c r="AY678">
        <v>0.08</v>
      </c>
      <c r="AZ678" s="209">
        <v>229.06362032209881</v>
      </c>
      <c r="BA678">
        <v>8.4386709687952186E-2</v>
      </c>
      <c r="BB678" s="249">
        <v>67.068314292106763</v>
      </c>
      <c r="BC678" s="243">
        <v>210.1431654426157</v>
      </c>
      <c r="BD678" s="209">
        <v>118518.08853046603</v>
      </c>
      <c r="BE678" s="243">
        <v>85.790815173009833</v>
      </c>
      <c r="BF678">
        <v>315698.77952273662</v>
      </c>
      <c r="BG678" t="s">
        <v>390</v>
      </c>
      <c r="BH678">
        <v>5.7732170410313541E-6</v>
      </c>
      <c r="BI678">
        <v>2385180.8853046605</v>
      </c>
      <c r="BJ678">
        <f t="shared" si="42"/>
        <v>0.1323584225698724</v>
      </c>
    </row>
    <row r="679" spans="1:62" x14ac:dyDescent="0.3">
      <c r="A679">
        <v>-0.7</v>
      </c>
      <c r="B679" s="146">
        <v>1000</v>
      </c>
      <c r="C679" s="146">
        <v>25</v>
      </c>
      <c r="D679" s="146">
        <v>400</v>
      </c>
      <c r="E679" s="252">
        <v>15.330668134428048</v>
      </c>
      <c r="F679" s="146">
        <v>7.4414011903453758</v>
      </c>
      <c r="G679" s="146">
        <v>19.809698016828904</v>
      </c>
      <c r="H679" s="146">
        <v>5.5529591103709626</v>
      </c>
      <c r="I679" s="146"/>
      <c r="J679" s="146">
        <v>0.14046297098834534</v>
      </c>
      <c r="K679" s="146">
        <v>0.08</v>
      </c>
      <c r="L679" s="146">
        <v>112.87188154681456</v>
      </c>
      <c r="M679" s="146">
        <v>63.04832620462394</v>
      </c>
      <c r="N679" s="146">
        <v>1.0228116984473612</v>
      </c>
      <c r="O679" s="146"/>
      <c r="P679" s="146"/>
      <c r="Q679" s="146"/>
      <c r="R679" s="146"/>
      <c r="S679" s="146"/>
      <c r="T679" s="146"/>
      <c r="U679" s="146"/>
      <c r="V679" s="146"/>
      <c r="W679" s="146"/>
      <c r="X679" s="146"/>
      <c r="Y679" s="146"/>
      <c r="Z679" s="146">
        <v>0.18419218980689248</v>
      </c>
      <c r="AA679" s="146"/>
      <c r="AB679" s="146"/>
      <c r="AC679" s="146"/>
      <c r="AD679" s="146"/>
      <c r="AE679" s="146"/>
      <c r="AF679" s="146"/>
      <c r="AG679" s="146"/>
      <c r="AH679" s="146"/>
      <c r="AI679" s="146"/>
      <c r="AJ679" s="146"/>
      <c r="AK679" s="146"/>
      <c r="AL679" s="146">
        <v>710.39404397452699</v>
      </c>
      <c r="AM679" s="146">
        <v>0.37564435278234393</v>
      </c>
      <c r="AN679" s="146">
        <v>9.4132028186024716E-2</v>
      </c>
      <c r="AO679" s="146">
        <v>237.1365365236642</v>
      </c>
      <c r="AP679" s="146">
        <v>198.98819475084593</v>
      </c>
      <c r="AQ679" t="s">
        <v>382</v>
      </c>
      <c r="AR679">
        <f t="shared" si="40"/>
        <v>4.8813386259591285</v>
      </c>
      <c r="AS679">
        <f t="shared" si="41"/>
        <v>1.3321822791215501</v>
      </c>
      <c r="AT679">
        <v>0.1</v>
      </c>
      <c r="AU679">
        <v>0</v>
      </c>
      <c r="AV679">
        <v>0.2</v>
      </c>
      <c r="AW679" s="146">
        <v>3</v>
      </c>
      <c r="AX679">
        <v>8.2939285631094678E-2</v>
      </c>
      <c r="AY679">
        <v>0.08</v>
      </c>
      <c r="AZ679" s="209">
        <v>198.98819475084593</v>
      </c>
      <c r="BA679">
        <v>8.2939285631094678E-2</v>
      </c>
      <c r="BB679" s="249">
        <v>71.018475441607748</v>
      </c>
      <c r="BC679" s="243">
        <v>213.46939077588496</v>
      </c>
      <c r="BD679" s="209">
        <v>122670.63035775778</v>
      </c>
      <c r="BE679" s="243">
        <v>89.862324115382577</v>
      </c>
      <c r="BF679">
        <v>300005.35838911042</v>
      </c>
      <c r="BG679" t="s">
        <v>390</v>
      </c>
      <c r="BH679">
        <v>5.3710568322027613E-6</v>
      </c>
      <c r="BI679">
        <v>2426706.3035775777</v>
      </c>
      <c r="BJ679">
        <f t="shared" si="42"/>
        <v>0.12362656245085232</v>
      </c>
    </row>
    <row r="680" spans="1:62" x14ac:dyDescent="0.3">
      <c r="A680">
        <v>-0.8</v>
      </c>
      <c r="B680" s="146">
        <v>1000</v>
      </c>
      <c r="C680" s="146">
        <v>25</v>
      </c>
      <c r="D680" s="146">
        <v>400</v>
      </c>
      <c r="E680" s="252">
        <v>13.458682547703646</v>
      </c>
      <c r="F680" s="146">
        <v>8.6682767344600489</v>
      </c>
      <c r="G680" s="146">
        <v>18.581911715192636</v>
      </c>
      <c r="H680" s="146">
        <v>5.634056555950143</v>
      </c>
      <c r="I680" s="146"/>
      <c r="J680" s="146">
        <v>0.14889114112135121</v>
      </c>
      <c r="K680" s="146">
        <v>0.08</v>
      </c>
      <c r="L680" s="146">
        <v>114.6942317795726</v>
      </c>
      <c r="M680" s="146">
        <v>64.066260258344371</v>
      </c>
      <c r="N680" s="146">
        <v>0.88720182422147253</v>
      </c>
      <c r="O680" s="146"/>
      <c r="P680" s="146"/>
      <c r="Q680" s="146"/>
      <c r="R680" s="146"/>
      <c r="S680" s="146"/>
      <c r="T680" s="146"/>
      <c r="U680" s="146"/>
      <c r="V680" s="146"/>
      <c r="W680" s="146"/>
      <c r="X680" s="146"/>
      <c r="Y680" s="146"/>
      <c r="Z680" s="146">
        <v>0.15747123150272538</v>
      </c>
      <c r="AA680" s="146"/>
      <c r="AB680" s="146"/>
      <c r="AC680" s="146"/>
      <c r="AD680" s="146"/>
      <c r="AE680" s="146"/>
      <c r="AF680" s="146"/>
      <c r="AG680" s="146"/>
      <c r="AH680" s="146"/>
      <c r="AI680" s="146"/>
      <c r="AJ680" s="146"/>
      <c r="AK680" s="146"/>
      <c r="AL680" s="146">
        <v>598.09991368363035</v>
      </c>
      <c r="AM680" s="146">
        <v>0.46649003973971287</v>
      </c>
      <c r="AN680" s="146">
        <v>6.3481073776033514E-2</v>
      </c>
      <c r="AO680" s="146">
        <v>187.98905331710372</v>
      </c>
      <c r="AP680" s="146">
        <v>154.49900157289488</v>
      </c>
      <c r="AQ680" t="s">
        <v>382</v>
      </c>
      <c r="AR680">
        <f t="shared" si="40"/>
        <v>4.8813386259591285</v>
      </c>
      <c r="AS680">
        <f t="shared" si="41"/>
        <v>1.3321822791215501</v>
      </c>
      <c r="AT680">
        <v>0.1</v>
      </c>
      <c r="AU680">
        <v>0</v>
      </c>
      <c r="AV680">
        <v>0.2</v>
      </c>
      <c r="AW680" s="146">
        <v>3</v>
      </c>
      <c r="AX680">
        <v>8.1944100088950381E-2</v>
      </c>
      <c r="AY680">
        <v>0.08</v>
      </c>
      <c r="AZ680" s="209">
        <v>154.49900157289488</v>
      </c>
      <c r="BA680">
        <v>8.1944100088950381E-2</v>
      </c>
      <c r="BB680" s="249">
        <v>78.137481890550191</v>
      </c>
      <c r="BC680" s="243">
        <v>219.19864791640384</v>
      </c>
      <c r="BD680" s="209">
        <v>129556.81312566985</v>
      </c>
      <c r="BE680" s="243">
        <v>96.437672187181803</v>
      </c>
      <c r="BF680">
        <v>271672.28331789951</v>
      </c>
      <c r="BG680" t="s">
        <v>390</v>
      </c>
      <c r="BH680">
        <v>4.6177607115757033E-6</v>
      </c>
      <c r="BI680">
        <v>2495568.1312566986</v>
      </c>
      <c r="BJ680">
        <f t="shared" si="42"/>
        <v>0.10886189798436514</v>
      </c>
    </row>
    <row r="681" spans="1:62" x14ac:dyDescent="0.3">
      <c r="A681">
        <v>-0.85</v>
      </c>
      <c r="B681" s="146">
        <v>1000</v>
      </c>
      <c r="C681" s="146">
        <v>25</v>
      </c>
      <c r="D681" s="146">
        <v>400</v>
      </c>
      <c r="E681" s="252">
        <v>9.3377778114751351</v>
      </c>
      <c r="F681" s="146">
        <v>5.0326112714514508</v>
      </c>
      <c r="G681" s="146">
        <v>12.286062501504913</v>
      </c>
      <c r="H681" s="146">
        <v>3.5933560577339332</v>
      </c>
      <c r="I681" s="146"/>
      <c r="J681" s="146">
        <v>0.1622778480062203</v>
      </c>
      <c r="K681" s="146">
        <v>0.08</v>
      </c>
      <c r="L681" s="146">
        <v>73.399853280748317</v>
      </c>
      <c r="M681" s="146">
        <v>40.999918045104643</v>
      </c>
      <c r="N681" s="146">
        <v>0.66951710974794132</v>
      </c>
      <c r="O681" s="146"/>
      <c r="P681" s="146"/>
      <c r="Q681" s="146"/>
      <c r="R681" s="146"/>
      <c r="S681" s="146"/>
      <c r="T681" s="146"/>
      <c r="U681" s="146"/>
      <c r="V681" s="146"/>
      <c r="W681" s="146"/>
      <c r="X681" s="146"/>
      <c r="Y681" s="146"/>
      <c r="Z681" s="146">
        <v>0.18632083739849503</v>
      </c>
      <c r="AA681" s="146"/>
      <c r="AB681" s="146"/>
      <c r="AC681" s="146"/>
      <c r="AD681" s="146"/>
      <c r="AE681" s="146"/>
      <c r="AF681" s="146"/>
      <c r="AG681" s="146"/>
      <c r="AH681" s="146"/>
      <c r="AI681" s="146"/>
      <c r="AJ681" s="146"/>
      <c r="AK681" s="146"/>
      <c r="AL681" s="146">
        <v>518.71604326330248</v>
      </c>
      <c r="AM681" s="146">
        <v>0.40961954009553581</v>
      </c>
      <c r="AN681" s="146">
        <v>4.8430752218692329E-2</v>
      </c>
      <c r="AO681" s="146">
        <v>207.19321126151894</v>
      </c>
      <c r="AP681" s="146">
        <v>183.95748838933204</v>
      </c>
      <c r="AQ681" t="s">
        <v>382</v>
      </c>
      <c r="AR681">
        <f t="shared" si="40"/>
        <v>4.8813386259591285</v>
      </c>
      <c r="AS681">
        <f t="shared" si="41"/>
        <v>1.3321822791215501</v>
      </c>
      <c r="AT681">
        <v>0.1</v>
      </c>
      <c r="AU681">
        <v>0</v>
      </c>
      <c r="AV681">
        <v>0.2</v>
      </c>
      <c r="AW681" s="146">
        <v>3</v>
      </c>
      <c r="AX681">
        <v>9.0173986900534478E-2</v>
      </c>
      <c r="AY681">
        <v>0.08</v>
      </c>
      <c r="AZ681" s="209">
        <v>183.95748838933204</v>
      </c>
      <c r="BA681">
        <v>9.0173986900534478E-2</v>
      </c>
      <c r="BB681" s="249">
        <v>46.974730796587387</v>
      </c>
      <c r="BC681" s="243">
        <v>116.35991671337781</v>
      </c>
      <c r="BD681" s="209">
        <v>62876.916118239846</v>
      </c>
      <c r="BE681" s="243">
        <v>56.431705008243568</v>
      </c>
      <c r="BF681">
        <v>650583.90760658658</v>
      </c>
      <c r="BG681" t="s">
        <v>390</v>
      </c>
      <c r="BH681">
        <v>3.4437617948209541E-6</v>
      </c>
      <c r="BI681">
        <v>1828769.1611823984</v>
      </c>
      <c r="BJ681">
        <f t="shared" si="42"/>
        <v>0.35574960548107054</v>
      </c>
    </row>
    <row r="682" spans="1:62" s="160" customFormat="1" ht="15" thickBot="1" x14ac:dyDescent="0.35">
      <c r="A682" s="160">
        <v>-0.87</v>
      </c>
      <c r="B682" s="160">
        <v>1000</v>
      </c>
      <c r="C682" s="160">
        <v>25</v>
      </c>
      <c r="D682" s="160">
        <v>400</v>
      </c>
      <c r="E682" s="250">
        <v>3.3801263131368544</v>
      </c>
      <c r="F682" s="160">
        <v>1.0970493245249413</v>
      </c>
      <c r="G682" s="160">
        <v>4.0371205343881735</v>
      </c>
      <c r="H682" s="160">
        <v>1.0557621905118333</v>
      </c>
      <c r="J682" s="160">
        <v>0.20091869446646785</v>
      </c>
      <c r="K682" s="160">
        <v>0.08</v>
      </c>
      <c r="L682" s="160">
        <v>21.572823834779314</v>
      </c>
      <c r="M682" s="160">
        <v>12.050214948582452</v>
      </c>
      <c r="N682" s="160">
        <v>0.23678257136371272</v>
      </c>
      <c r="Z682" s="160">
        <v>0.22427642653969318</v>
      </c>
      <c r="AL682" s="160">
        <v>430.06915860191185</v>
      </c>
      <c r="AM682" s="160">
        <v>0.27174054259224623</v>
      </c>
      <c r="AN682" s="160">
        <v>4.2298563097269995E-2</v>
      </c>
      <c r="AO682" s="160">
        <v>320.08886199363565</v>
      </c>
      <c r="AP682" s="160">
        <v>311.67787292005568</v>
      </c>
      <c r="AQ682" t="s">
        <v>382</v>
      </c>
      <c r="AR682" s="160">
        <f t="shared" si="40"/>
        <v>4.8813386259591285</v>
      </c>
      <c r="AS682" s="160">
        <f t="shared" si="41"/>
        <v>1.3321822791215501</v>
      </c>
      <c r="AT682" s="160">
        <v>0.1</v>
      </c>
      <c r="AU682">
        <v>0</v>
      </c>
      <c r="AV682" s="160">
        <v>0.2</v>
      </c>
      <c r="AW682" s="160">
        <v>3</v>
      </c>
      <c r="AX682" s="160">
        <v>0.12691743896065533</v>
      </c>
      <c r="AY682" s="160">
        <v>0.08</v>
      </c>
      <c r="AZ682" s="248">
        <v>311.67787292005568</v>
      </c>
      <c r="BA682" s="160">
        <v>0.12691743896065533</v>
      </c>
      <c r="BB682" s="250">
        <v>11.641405579347222</v>
      </c>
      <c r="BC682" s="246">
        <v>29.609159623479325</v>
      </c>
      <c r="BD682" s="248">
        <v>12153.556619340663</v>
      </c>
      <c r="BE682" s="246">
        <v>13.77866397205999</v>
      </c>
      <c r="BF682" s="160">
        <v>827382.89713225386</v>
      </c>
      <c r="BG682" s="254" t="s">
        <v>390</v>
      </c>
      <c r="BH682" s="160">
        <v>1.1932656569210202E-6</v>
      </c>
      <c r="BI682" s="160">
        <v>1321535.5661934067</v>
      </c>
      <c r="BJ682">
        <f t="shared" si="42"/>
        <v>0.62607690500186386</v>
      </c>
    </row>
    <row r="683" spans="1:62" x14ac:dyDescent="0.3">
      <c r="A683">
        <v>-0.1</v>
      </c>
      <c r="B683" s="146">
        <v>100</v>
      </c>
      <c r="C683" s="146">
        <v>25</v>
      </c>
      <c r="D683" s="146">
        <v>400</v>
      </c>
      <c r="E683" s="249">
        <v>3.1068708197041284</v>
      </c>
      <c r="F683">
        <v>0.39000105578940003</v>
      </c>
      <c r="G683">
        <v>3.5038241288740308</v>
      </c>
      <c r="H683">
        <v>4.3003541486398147</v>
      </c>
      <c r="J683">
        <v>0.9455688212751836</v>
      </c>
      <c r="K683">
        <v>0.36</v>
      </c>
      <c r="L683">
        <v>21.654870926813334</v>
      </c>
      <c r="M683">
        <v>7.9874523910377055</v>
      </c>
      <c r="N683">
        <v>1.2005271211626498</v>
      </c>
      <c r="Z683">
        <v>0.27916936132861797</v>
      </c>
      <c r="AL683">
        <v>974.792387726573</v>
      </c>
      <c r="AM683">
        <v>0.11130725785449984</v>
      </c>
      <c r="AN683">
        <v>0.17513311976987633</v>
      </c>
      <c r="AO683">
        <v>382.25994704036259</v>
      </c>
      <c r="AP683">
        <v>374.52882714524799</v>
      </c>
      <c r="AQ683" t="s">
        <v>383</v>
      </c>
      <c r="AR683">
        <f t="shared" ref="AR683:AR722" si="43">0.6*Jsat_t</f>
        <v>19.525354503836514</v>
      </c>
      <c r="AS683">
        <f t="shared" ref="AS683:AS722" si="44">0.2*Jatp</f>
        <v>5.3287291164862003</v>
      </c>
      <c r="AT683">
        <v>0.4</v>
      </c>
      <c r="AU683">
        <v>0</v>
      </c>
      <c r="AV683">
        <v>0.5</v>
      </c>
      <c r="AW683">
        <v>3</v>
      </c>
      <c r="AX683">
        <v>0.91590730085561478</v>
      </c>
      <c r="AY683">
        <v>0.36</v>
      </c>
      <c r="AZ683" s="209">
        <v>374.52882714524799</v>
      </c>
      <c r="BA683">
        <v>0.91590730085561478</v>
      </c>
      <c r="BB683" s="249">
        <v>6.0208491743337014</v>
      </c>
      <c r="BC683" s="243">
        <v>70.627954185344166</v>
      </c>
      <c r="BD683" s="209">
        <v>23918.15357819567</v>
      </c>
      <c r="BE683" s="243">
        <v>10.153158324736697</v>
      </c>
      <c r="BF683">
        <v>16555.762582313953</v>
      </c>
      <c r="BG683" t="s">
        <v>387</v>
      </c>
      <c r="BH683">
        <v>1.9289176286463555E-6</v>
      </c>
      <c r="BI683">
        <v>1439181.5357819567</v>
      </c>
      <c r="BJ683">
        <f t="shared" si="42"/>
        <v>1.1503595738753442E-2</v>
      </c>
    </row>
    <row r="684" spans="1:62" s="146" customFormat="1" x14ac:dyDescent="0.3">
      <c r="A684">
        <v>-0.1</v>
      </c>
      <c r="B684" s="146">
        <v>200</v>
      </c>
      <c r="C684" s="146">
        <v>25</v>
      </c>
      <c r="D684" s="146">
        <v>400</v>
      </c>
      <c r="E684" s="252">
        <v>5.9219570690711274</v>
      </c>
      <c r="F684" s="146">
        <v>0.59108413314203156</v>
      </c>
      <c r="G684" s="146">
        <v>6.5113375264672007</v>
      </c>
      <c r="H684" s="146">
        <v>7.9458789697476524</v>
      </c>
      <c r="J684" s="146">
        <v>0.99999999932410788</v>
      </c>
      <c r="K684" s="146">
        <v>0.36</v>
      </c>
      <c r="L684" s="146">
        <v>40.107630396098493</v>
      </c>
      <c r="M684" s="146">
        <v>14.793798096921579</v>
      </c>
      <c r="N684" s="146">
        <v>1.87700270741745</v>
      </c>
      <c r="Z684" s="146">
        <v>0.23622342028663701</v>
      </c>
      <c r="AL684" s="146">
        <v>1293.9810063645759</v>
      </c>
      <c r="AM684" s="146">
        <v>9.0777682886104494E-2</v>
      </c>
      <c r="AN684" s="146">
        <v>0.19882889320058805</v>
      </c>
      <c r="AO684" s="146">
        <v>370.21581233117473</v>
      </c>
      <c r="AP684" s="146">
        <v>355.47965265585105</v>
      </c>
      <c r="AQ684" s="146" t="s">
        <v>383</v>
      </c>
      <c r="AR684" s="146">
        <f t="shared" si="43"/>
        <v>19.525354503836514</v>
      </c>
      <c r="AS684" s="146">
        <f t="shared" si="44"/>
        <v>5.3287291164862003</v>
      </c>
      <c r="AT684" s="146">
        <v>0.4</v>
      </c>
      <c r="AU684">
        <v>0</v>
      </c>
      <c r="AV684" s="146">
        <v>0.5</v>
      </c>
      <c r="AW684" s="146">
        <v>3</v>
      </c>
      <c r="AX684" s="146">
        <v>0.99999999900000003</v>
      </c>
      <c r="AY684" s="146">
        <v>0.36</v>
      </c>
      <c r="AZ684" s="209">
        <v>355.47965265585105</v>
      </c>
      <c r="BA684" s="146">
        <v>0.99999999900000003</v>
      </c>
      <c r="BB684" s="252">
        <v>10.063750809594167</v>
      </c>
      <c r="BC684" s="244">
        <v>102.66362054985481</v>
      </c>
      <c r="BD684" s="229">
        <v>37485.702354050904</v>
      </c>
      <c r="BE684" s="244">
        <v>14.871735780168169</v>
      </c>
      <c r="BF684" s="146">
        <v>46887.009476411928</v>
      </c>
      <c r="BG684" t="s">
        <v>387</v>
      </c>
      <c r="BH684" s="146">
        <v>3.4381058567380234E-6</v>
      </c>
      <c r="BI684" s="146">
        <v>1574857.0235405089</v>
      </c>
      <c r="BJ684">
        <f t="shared" si="42"/>
        <v>2.9772232510988886E-2</v>
      </c>
    </row>
    <row r="685" spans="1:62" s="146" customFormat="1" x14ac:dyDescent="0.3">
      <c r="A685">
        <v>-0.1</v>
      </c>
      <c r="B685" s="146">
        <v>300</v>
      </c>
      <c r="C685" s="146">
        <v>25</v>
      </c>
      <c r="D685" s="146">
        <v>400</v>
      </c>
      <c r="E685" s="252">
        <v>8.4196827726733172</v>
      </c>
      <c r="F685" s="146">
        <v>0.73134582272991222</v>
      </c>
      <c r="G685" s="146">
        <v>9.1463285184069676</v>
      </c>
      <c r="H685" s="146">
        <v>11.147443240887458</v>
      </c>
      <c r="J685" s="146">
        <v>0.99999999928676875</v>
      </c>
      <c r="K685" s="146">
        <v>0.36</v>
      </c>
      <c r="L685" s="146">
        <v>56.370652701962058</v>
      </c>
      <c r="M685" s="146">
        <v>20.792453865477807</v>
      </c>
      <c r="N685" s="146">
        <v>2.5472740539340339</v>
      </c>
      <c r="Z685" s="146">
        <v>0.22850747017853781</v>
      </c>
      <c r="AL685" s="146">
        <v>1613.1113581543691</v>
      </c>
      <c r="AM685" s="146">
        <v>7.9960589788359362E-2</v>
      </c>
      <c r="AN685" s="146">
        <v>0.21275625680702173</v>
      </c>
      <c r="AO685" s="146">
        <v>360.4256866564902</v>
      </c>
      <c r="AP685" s="146">
        <v>339.47433118735108</v>
      </c>
      <c r="AQ685" t="s">
        <v>383</v>
      </c>
      <c r="AR685" s="146">
        <f t="shared" si="43"/>
        <v>19.525354503836514</v>
      </c>
      <c r="AS685" s="146">
        <f t="shared" si="44"/>
        <v>5.3287291164862003</v>
      </c>
      <c r="AT685" s="146">
        <v>0.4</v>
      </c>
      <c r="AU685">
        <v>0</v>
      </c>
      <c r="AV685" s="146">
        <v>0.5</v>
      </c>
      <c r="AW685" s="146">
        <v>3</v>
      </c>
      <c r="AX685" s="146">
        <v>0.99999999900000003</v>
      </c>
      <c r="AY685" s="146">
        <v>0.36</v>
      </c>
      <c r="AZ685" s="209">
        <v>339.47433118735108</v>
      </c>
      <c r="BA685" s="146">
        <v>0.99999999900000003</v>
      </c>
      <c r="BB685" s="252">
        <v>13.33949448243559</v>
      </c>
      <c r="BC685" s="244">
        <v>125.47041177434643</v>
      </c>
      <c r="BD685" s="229">
        <v>48297.38947271723</v>
      </c>
      <c r="BE685" s="244">
        <v>18.918721973130761</v>
      </c>
      <c r="BF685" s="146">
        <v>82494.68020198516</v>
      </c>
      <c r="BG685" t="s">
        <v>387</v>
      </c>
      <c r="BH685" s="146">
        <v>4.5472865698456476E-6</v>
      </c>
      <c r="BI685" s="146">
        <v>1682973.8947271723</v>
      </c>
      <c r="BJ685">
        <f t="shared" si="42"/>
        <v>4.9017207254636833E-2</v>
      </c>
    </row>
    <row r="686" spans="1:62" s="146" customFormat="1" x14ac:dyDescent="0.3">
      <c r="A686">
        <v>-0.1</v>
      </c>
      <c r="B686" s="146">
        <v>400</v>
      </c>
      <c r="C686" s="146">
        <v>25</v>
      </c>
      <c r="D686" s="146">
        <v>400</v>
      </c>
      <c r="E686" s="252">
        <v>10.647717492757128</v>
      </c>
      <c r="F686" s="146">
        <v>0.84210998828815364</v>
      </c>
      <c r="G686" s="146">
        <v>11.483390258164867</v>
      </c>
      <c r="H686" s="146">
        <v>14.001638012467961</v>
      </c>
      <c r="J686" s="146">
        <v>0.99999999926132321</v>
      </c>
      <c r="K686" s="146">
        <v>0.36</v>
      </c>
      <c r="L686" s="146">
        <v>70.910918785325137</v>
      </c>
      <c r="M686" s="146">
        <v>26.155666765078948</v>
      </c>
      <c r="N686" s="146">
        <v>3.1466116375962461</v>
      </c>
      <c r="Z686" s="146">
        <v>0.22473168030728263</v>
      </c>
      <c r="AL686" s="146">
        <v>1898.8472814951988</v>
      </c>
      <c r="AM686" s="146">
        <v>7.3332872031358548E-2</v>
      </c>
      <c r="AN686" s="146">
        <v>0.2219977123559051</v>
      </c>
      <c r="AO686" s="146">
        <v>352.03681434479478</v>
      </c>
      <c r="AP686" s="146">
        <v>325.54146269707621</v>
      </c>
      <c r="AQ686" s="146" t="s">
        <v>383</v>
      </c>
      <c r="AR686" s="146">
        <f t="shared" si="43"/>
        <v>19.525354503836514</v>
      </c>
      <c r="AS686" s="146">
        <f t="shared" si="44"/>
        <v>5.3287291164862003</v>
      </c>
      <c r="AT686" s="146">
        <v>0.4</v>
      </c>
      <c r="AU686">
        <v>0</v>
      </c>
      <c r="AV686" s="146">
        <v>0.5</v>
      </c>
      <c r="AW686" s="146">
        <v>3</v>
      </c>
      <c r="AX686" s="146">
        <v>0.99999999900000003</v>
      </c>
      <c r="AY686" s="146">
        <v>0.36</v>
      </c>
      <c r="AZ686" s="209">
        <v>325.54146269707621</v>
      </c>
      <c r="BA686" s="146">
        <v>0.99999999900000003</v>
      </c>
      <c r="BB686" s="252">
        <v>16.136651598590706</v>
      </c>
      <c r="BC686" s="244">
        <v>143.52239921631468</v>
      </c>
      <c r="BD686" s="229">
        <v>57372.827307077227</v>
      </c>
      <c r="BE686" s="244">
        <v>22.324709289150249</v>
      </c>
      <c r="BF686" s="146">
        <v>120441.97871519628</v>
      </c>
      <c r="BG686" t="s">
        <v>387</v>
      </c>
      <c r="BH686" s="146">
        <v>5.3916363516093043E-6</v>
      </c>
      <c r="BI686" s="146">
        <v>1773728.2730707722</v>
      </c>
      <c r="BJ686">
        <f t="shared" si="42"/>
        <v>6.7903286283349795E-2</v>
      </c>
    </row>
    <row r="687" spans="1:62" s="146" customFormat="1" x14ac:dyDescent="0.3">
      <c r="A687">
        <v>-0.1</v>
      </c>
      <c r="B687" s="146">
        <v>600</v>
      </c>
      <c r="C687" s="146">
        <v>25</v>
      </c>
      <c r="D687" s="146">
        <v>400</v>
      </c>
      <c r="E687" s="252">
        <v>14.434017147478089</v>
      </c>
      <c r="F687" s="146">
        <v>1.0106380240297914</v>
      </c>
      <c r="G687" s="146">
        <v>15.435767330215647</v>
      </c>
      <c r="H687" s="146">
        <v>18.863081668110549</v>
      </c>
      <c r="J687" s="146">
        <v>0.99999999922840788</v>
      </c>
      <c r="K687" s="146">
        <v>0.36</v>
      </c>
      <c r="L687" s="146">
        <v>95.769343661529732</v>
      </c>
      <c r="M687" s="146">
        <v>35.324757907941297</v>
      </c>
      <c r="N687" s="146">
        <v>4.1808489397089321</v>
      </c>
      <c r="Z687" s="146">
        <v>0.22164188297911946</v>
      </c>
      <c r="AL687" s="146">
        <v>2392.8172212148124</v>
      </c>
      <c r="AM687" s="146">
        <v>6.5473779334018517E-2</v>
      </c>
      <c r="AN687" s="146">
        <v>0.23397567584100309</v>
      </c>
      <c r="AO687" s="146">
        <v>338.30975337245462</v>
      </c>
      <c r="AP687" s="146">
        <v>302.39275136034797</v>
      </c>
      <c r="AQ687" t="s">
        <v>383</v>
      </c>
      <c r="AR687" s="146">
        <f t="shared" si="43"/>
        <v>19.525354503836514</v>
      </c>
      <c r="AS687" s="146">
        <f t="shared" si="44"/>
        <v>5.3287291164862003</v>
      </c>
      <c r="AT687" s="146">
        <v>0.4</v>
      </c>
      <c r="AU687">
        <v>0</v>
      </c>
      <c r="AV687" s="146">
        <v>0.5</v>
      </c>
      <c r="AW687" s="146">
        <v>3</v>
      </c>
      <c r="AX687" s="146">
        <v>0.99999999900000003</v>
      </c>
      <c r="AY687" s="146">
        <v>0.36</v>
      </c>
      <c r="AZ687" s="209">
        <v>302.39275136034797</v>
      </c>
      <c r="BA687" s="146">
        <v>0.99999999900000003</v>
      </c>
      <c r="BB687" s="252">
        <v>20.72682840445507</v>
      </c>
      <c r="BC687" s="244">
        <v>170.75644819601933</v>
      </c>
      <c r="BD687" s="229">
        <v>71853.289712099635</v>
      </c>
      <c r="BE687" s="244">
        <v>27.816020093045566</v>
      </c>
      <c r="BF687" s="146">
        <v>197686.80959587367</v>
      </c>
      <c r="BG687" t="s">
        <v>387</v>
      </c>
      <c r="BH687" s="146">
        <v>6.5770672664465496E-6</v>
      </c>
      <c r="BI687" s="146">
        <v>1918532.8971209964</v>
      </c>
      <c r="BJ687">
        <f t="shared" si="42"/>
        <v>0.10304061498894701</v>
      </c>
    </row>
    <row r="688" spans="1:62" s="146" customFormat="1" x14ac:dyDescent="0.3">
      <c r="A688">
        <v>-0.1</v>
      </c>
      <c r="B688" s="146">
        <v>800</v>
      </c>
      <c r="C688" s="146">
        <v>25</v>
      </c>
      <c r="D688" s="146">
        <v>400</v>
      </c>
      <c r="E688" s="252">
        <v>17.474874034413702</v>
      </c>
      <c r="F688" s="146">
        <v>1.13313120329117</v>
      </c>
      <c r="G688" s="146">
        <v>18.59632585747427</v>
      </c>
      <c r="H688" s="146">
        <v>22.784777692254668</v>
      </c>
      <c r="J688" s="146">
        <v>0.99999999920793692</v>
      </c>
      <c r="K688" s="146">
        <v>0.36</v>
      </c>
      <c r="L688" s="146">
        <v>115.91810276486198</v>
      </c>
      <c r="M688" s="146">
        <v>42.756677249334345</v>
      </c>
      <c r="N688" s="146">
        <v>5.0324605521992574</v>
      </c>
      <c r="Z688" s="146">
        <v>0.22086941642226179</v>
      </c>
      <c r="AL688" s="146">
        <v>2800.445531951158</v>
      </c>
      <c r="AM688" s="146">
        <v>6.0933068820997228E-2</v>
      </c>
      <c r="AN688" s="146">
        <v>0.24169682105668747</v>
      </c>
      <c r="AO688" s="146">
        <v>327.69919787105869</v>
      </c>
      <c r="AP688" s="146">
        <v>284.21525585153267</v>
      </c>
      <c r="AQ688" s="146" t="s">
        <v>383</v>
      </c>
      <c r="AR688" s="146">
        <f t="shared" si="43"/>
        <v>19.525354503836514</v>
      </c>
      <c r="AS688" s="146">
        <f t="shared" si="44"/>
        <v>5.3287291164862003</v>
      </c>
      <c r="AT688" s="146">
        <v>0.4</v>
      </c>
      <c r="AU688">
        <v>0</v>
      </c>
      <c r="AV688" s="146">
        <v>0.5</v>
      </c>
      <c r="AW688" s="146">
        <v>3</v>
      </c>
      <c r="AX688" s="146">
        <v>0.99999999900000003</v>
      </c>
      <c r="AY688" s="146">
        <v>0.36</v>
      </c>
      <c r="AZ688" s="209">
        <v>284.21525585153267</v>
      </c>
      <c r="BA688" s="146">
        <v>0.99999999900000003</v>
      </c>
      <c r="BB688" s="252">
        <v>24.313316969535023</v>
      </c>
      <c r="BC688" s="244">
        <v>189.95029271300513</v>
      </c>
      <c r="BD688" s="229">
        <v>82616.485545263742</v>
      </c>
      <c r="BE688" s="244">
        <v>32.004195852987159</v>
      </c>
      <c r="BF688" s="146">
        <v>271086.37134326331</v>
      </c>
      <c r="BG688" t="s">
        <v>387</v>
      </c>
      <c r="BH688" s="146">
        <v>7.3517935778042328E-6</v>
      </c>
      <c r="BI688" s="146">
        <v>2026164.8554526374</v>
      </c>
      <c r="BJ688">
        <f t="shared" si="42"/>
        <v>0.13379285037628572</v>
      </c>
    </row>
    <row r="689" spans="1:62" s="146" customFormat="1" x14ac:dyDescent="0.3">
      <c r="A689">
        <v>-0.1</v>
      </c>
      <c r="B689" s="146">
        <v>1000</v>
      </c>
      <c r="C689" s="146">
        <v>25</v>
      </c>
      <c r="D689" s="146">
        <v>400</v>
      </c>
      <c r="E689" s="252">
        <v>19.900015960108238</v>
      </c>
      <c r="F689" s="146">
        <v>1.2241666165034462</v>
      </c>
      <c r="G689" s="146">
        <v>21.108997511875881</v>
      </c>
      <c r="H689" s="146">
        <v>25.927330907714463</v>
      </c>
      <c r="J689" s="146">
        <v>0.9999999991940578</v>
      </c>
      <c r="K689" s="146">
        <v>0.36</v>
      </c>
      <c r="L689" s="146">
        <v>132.13928269078482</v>
      </c>
      <c r="M689" s="146">
        <v>48.739899353158343</v>
      </c>
      <c r="N689" s="146">
        <v>5.7288658313429082</v>
      </c>
      <c r="Z689" s="146">
        <v>0.22095856498820446</v>
      </c>
      <c r="AL689" s="146">
        <v>3134.4139125867437</v>
      </c>
      <c r="AM689" s="146">
        <v>5.7992645828620348E-2</v>
      </c>
      <c r="AN689" s="146">
        <v>0.24720335909649646</v>
      </c>
      <c r="AO689" s="146">
        <v>319.49941120201277</v>
      </c>
      <c r="AP689" s="146">
        <v>269.98099691529308</v>
      </c>
      <c r="AQ689" t="s">
        <v>383</v>
      </c>
      <c r="AR689" s="146">
        <f t="shared" si="43"/>
        <v>19.525354503836514</v>
      </c>
      <c r="AS689" s="146">
        <f t="shared" si="44"/>
        <v>5.3287291164862003</v>
      </c>
      <c r="AT689" s="146">
        <v>0.4</v>
      </c>
      <c r="AU689">
        <v>0</v>
      </c>
      <c r="AV689" s="146">
        <v>0.5</v>
      </c>
      <c r="AW689" s="146">
        <v>3</v>
      </c>
      <c r="AX689" s="146">
        <v>0.99999999899999992</v>
      </c>
      <c r="AY689" s="146">
        <v>0.36</v>
      </c>
      <c r="AZ689" s="209">
        <v>269.98099691529308</v>
      </c>
      <c r="BA689" s="146">
        <v>0.99999999899999992</v>
      </c>
      <c r="BB689" s="252">
        <v>27.125511191377754</v>
      </c>
      <c r="BC689" s="244">
        <v>203.55023273719939</v>
      </c>
      <c r="BD689" s="229">
        <v>90552.072610118077</v>
      </c>
      <c r="BE689" s="244">
        <v>35.209064669168235</v>
      </c>
      <c r="BF689" s="146">
        <v>336702.22620701423</v>
      </c>
      <c r="BG689" t="s">
        <v>387</v>
      </c>
      <c r="BH689" s="146">
        <v>7.8839827649173282E-6</v>
      </c>
      <c r="BI689" s="146">
        <v>2105520.7261011805</v>
      </c>
      <c r="BJ689">
        <f t="shared" si="42"/>
        <v>0.15991399278718571</v>
      </c>
    </row>
    <row r="690" spans="1:62" s="146" customFormat="1" x14ac:dyDescent="0.3">
      <c r="A690">
        <v>-0.1</v>
      </c>
      <c r="B690" s="146">
        <v>1300</v>
      </c>
      <c r="C690" s="146">
        <v>25</v>
      </c>
      <c r="D690" s="146">
        <v>400</v>
      </c>
      <c r="E690" s="252">
        <v>22.625241886381041</v>
      </c>
      <c r="F690" s="146">
        <v>1.3199292902488908</v>
      </c>
      <c r="G690" s="146">
        <v>23.923973741513318</v>
      </c>
      <c r="H690" s="146">
        <v>29.478476827838659</v>
      </c>
      <c r="J690" s="146">
        <v>0.9999999991802152</v>
      </c>
      <c r="K690" s="146">
        <v>0.36</v>
      </c>
      <c r="L690" s="146">
        <v>150.57309383581358</v>
      </c>
      <c r="M690" s="146">
        <v>55.539255923045992</v>
      </c>
      <c r="N690" s="146">
        <v>6.5338513423535609</v>
      </c>
      <c r="Z690" s="146">
        <v>0.22164820049939529</v>
      </c>
      <c r="AL690" s="146">
        <v>3521.2108041335478</v>
      </c>
      <c r="AM690" s="146">
        <v>5.5171824902922599E-2</v>
      </c>
      <c r="AN690" s="146">
        <v>0.25303574070828566</v>
      </c>
      <c r="AO690" s="146">
        <v>310.58479792993063</v>
      </c>
      <c r="AP690" s="146">
        <v>254.28513295677047</v>
      </c>
      <c r="AQ690" s="146" t="s">
        <v>383</v>
      </c>
      <c r="AR690" s="146">
        <f t="shared" si="43"/>
        <v>19.525354503836514</v>
      </c>
      <c r="AS690" s="146">
        <f t="shared" si="44"/>
        <v>5.3287291164862003</v>
      </c>
      <c r="AT690" s="146">
        <v>0.4</v>
      </c>
      <c r="AU690">
        <v>0</v>
      </c>
      <c r="AV690" s="146">
        <v>0.5</v>
      </c>
      <c r="AW690" s="146">
        <v>3</v>
      </c>
      <c r="AX690" s="146">
        <v>0.99999999900000003</v>
      </c>
      <c r="AY690" s="146">
        <v>0.36</v>
      </c>
      <c r="AZ690" s="209">
        <v>254.28513295677047</v>
      </c>
      <c r="BA690" s="146">
        <v>0.99999999900000003</v>
      </c>
      <c r="BB690" s="252">
        <v>30.241259870906283</v>
      </c>
      <c r="BC690" s="244">
        <v>216.84525698103187</v>
      </c>
      <c r="BD690" s="229">
        <v>98633.738597357558</v>
      </c>
      <c r="BE690" s="244">
        <v>38.661627022100866</v>
      </c>
      <c r="BF690" s="146">
        <v>417567.64474463958</v>
      </c>
      <c r="BG690" t="s">
        <v>387</v>
      </c>
      <c r="BH690" s="146">
        <v>8.4141302086249315E-6</v>
      </c>
      <c r="BI690" s="146">
        <v>2186337.3859735755</v>
      </c>
      <c r="BJ690">
        <f t="shared" si="42"/>
        <v>0.19098957344074177</v>
      </c>
    </row>
    <row r="691" spans="1:62" s="146" customFormat="1" x14ac:dyDescent="0.3">
      <c r="A691">
        <v>-0.1</v>
      </c>
      <c r="B691" s="227">
        <v>1600</v>
      </c>
      <c r="C691" s="146">
        <v>25</v>
      </c>
      <c r="D691" s="146">
        <v>400</v>
      </c>
      <c r="E691" s="252">
        <v>24.546806905099132</v>
      </c>
      <c r="F691" s="146">
        <v>1.3833075802410069</v>
      </c>
      <c r="G691" s="146">
        <v>25.902920295227741</v>
      </c>
      <c r="H691" s="146">
        <v>31.997509217487771</v>
      </c>
      <c r="J691" s="146">
        <v>0.99999999917121529</v>
      </c>
      <c r="K691" s="146">
        <v>0.36</v>
      </c>
      <c r="L691" s="146">
        <v>163.73551541840962</v>
      </c>
      <c r="M691" s="146">
        <v>60.394247490396999</v>
      </c>
      <c r="N691" s="146">
        <v>7.1184725185214681</v>
      </c>
      <c r="Z691" s="146">
        <v>0.22246958255835023</v>
      </c>
      <c r="AL691" s="146">
        <v>3802.6649523883048</v>
      </c>
      <c r="AM691" s="146">
        <v>5.3403537688986459E-2</v>
      </c>
      <c r="AN691" s="146">
        <v>0.25706126874083635</v>
      </c>
      <c r="AO691" s="146">
        <v>304.50989748344119</v>
      </c>
      <c r="AP691" s="146">
        <v>243.42869312757193</v>
      </c>
      <c r="AQ691" t="s">
        <v>383</v>
      </c>
      <c r="AR691" s="146">
        <f t="shared" si="43"/>
        <v>19.525354503836514</v>
      </c>
      <c r="AS691" s="146">
        <f t="shared" si="44"/>
        <v>5.3287291164862003</v>
      </c>
      <c r="AT691" s="146">
        <v>0.4</v>
      </c>
      <c r="AU691">
        <v>0</v>
      </c>
      <c r="AV691" s="146">
        <v>0.5</v>
      </c>
      <c r="AW691" s="146">
        <v>3</v>
      </c>
      <c r="AX691" s="146">
        <v>0.99999999900000003</v>
      </c>
      <c r="AY691" s="146">
        <v>0.36</v>
      </c>
      <c r="AZ691" s="209">
        <v>243.42869312757193</v>
      </c>
      <c r="BA691" s="146">
        <v>0.99999999900000003</v>
      </c>
      <c r="BB691" s="252">
        <v>32.411285042877637</v>
      </c>
      <c r="BC691" s="244">
        <v>224.78821351390118</v>
      </c>
      <c r="BD691" s="229">
        <v>103693.83943234869</v>
      </c>
      <c r="BE691" s="244">
        <v>40.995626489341177</v>
      </c>
      <c r="BF691" s="146">
        <v>478726.9230016013</v>
      </c>
      <c r="BG691" t="s">
        <v>387</v>
      </c>
      <c r="BH691" s="146">
        <v>8.7567005376261777E-6</v>
      </c>
      <c r="BI691" s="146">
        <v>2236938.3943234868</v>
      </c>
      <c r="BJ691">
        <f t="shared" si="42"/>
        <v>0.21400988253249675</v>
      </c>
    </row>
    <row r="692" spans="1:62" s="140" customFormat="1" x14ac:dyDescent="0.3">
      <c r="A692" s="140">
        <v>-0.1</v>
      </c>
      <c r="B692" s="140">
        <v>1900</v>
      </c>
      <c r="C692" s="140">
        <v>25</v>
      </c>
      <c r="D692" s="140">
        <v>400</v>
      </c>
      <c r="E692" s="253">
        <v>25.922758162366048</v>
      </c>
      <c r="F692" s="140">
        <v>1.4265300949020181</v>
      </c>
      <c r="G692" s="140">
        <v>27.316677119640843</v>
      </c>
      <c r="H692" s="140">
        <v>33.810198111876197</v>
      </c>
      <c r="J692" s="140">
        <v>0.99999999916502524</v>
      </c>
      <c r="K692" s="140">
        <v>0.36</v>
      </c>
      <c r="L692" s="140">
        <v>173.26405155467378</v>
      </c>
      <c r="M692" s="140">
        <v>63.908871475084595</v>
      </c>
      <c r="N692" s="140">
        <v>7.5471130008803726</v>
      </c>
      <c r="Z692" s="140">
        <v>0.22322001710570774</v>
      </c>
      <c r="AL692" s="140">
        <v>4009.3298622966272</v>
      </c>
      <c r="AM692" s="140">
        <v>5.2221948103502495E-2</v>
      </c>
      <c r="AN692" s="140">
        <v>0.25995134452075624</v>
      </c>
      <c r="AO692" s="140">
        <v>300.27842244802775</v>
      </c>
      <c r="AP692" s="140">
        <v>235.77336185644336</v>
      </c>
      <c r="AQ692" s="146" t="s">
        <v>383</v>
      </c>
      <c r="AR692" s="140">
        <f t="shared" si="43"/>
        <v>19.525354503836514</v>
      </c>
      <c r="AS692" s="140">
        <f t="shared" si="44"/>
        <v>5.3287291164862003</v>
      </c>
      <c r="AT692" s="140">
        <v>0.4</v>
      </c>
      <c r="AU692">
        <v>0</v>
      </c>
      <c r="AV692" s="140">
        <v>0.5</v>
      </c>
      <c r="AW692" s="140">
        <v>3</v>
      </c>
      <c r="AX692" s="140">
        <v>0.99999999900000003</v>
      </c>
      <c r="AY692" s="140">
        <v>0.36</v>
      </c>
      <c r="AZ692" s="209">
        <v>235.77336185644336</v>
      </c>
      <c r="BA692" s="140">
        <v>0.99999999900000003</v>
      </c>
      <c r="BB692" s="253">
        <v>33.951548878238185</v>
      </c>
      <c r="BC692" s="245">
        <v>229.64853629388259</v>
      </c>
      <c r="BD692" s="210">
        <v>106936.03746285489</v>
      </c>
      <c r="BE692" s="245">
        <v>42.613027635632186</v>
      </c>
      <c r="BF692" s="140">
        <v>524338.69661553623</v>
      </c>
      <c r="BG692" t="s">
        <v>387</v>
      </c>
      <c r="BH692" s="140">
        <v>8.9914218803735421E-6</v>
      </c>
      <c r="BI692" s="140">
        <v>2269360.374628549</v>
      </c>
      <c r="BJ692">
        <f t="shared" si="42"/>
        <v>0.23105131405203128</v>
      </c>
    </row>
    <row r="693" spans="1:62" s="146" customFormat="1" x14ac:dyDescent="0.3">
      <c r="A693">
        <v>-0.1</v>
      </c>
      <c r="B693" s="146">
        <v>1000</v>
      </c>
      <c r="C693" s="146">
        <v>25</v>
      </c>
      <c r="D693" s="146">
        <v>200</v>
      </c>
      <c r="E693" s="252">
        <v>19.890890310294434</v>
      </c>
      <c r="F693" s="146">
        <v>1.3499024352721034</v>
      </c>
      <c r="G693" s="146">
        <v>21.174766702285019</v>
      </c>
      <c r="H693" s="146">
        <v>25.753855690892635</v>
      </c>
      <c r="J693" s="146">
        <v>0.99999999917671156</v>
      </c>
      <c r="K693" s="146">
        <v>0.36</v>
      </c>
      <c r="L693" s="146">
        <v>133.86551028341839</v>
      </c>
      <c r="M693" s="146">
        <v>49.376622645523177</v>
      </c>
      <c r="N693" s="146">
        <v>5.5585027943048821</v>
      </c>
      <c r="Z693" s="146">
        <v>0.21583186847903871</v>
      </c>
      <c r="AL693" s="146">
        <v>2851.0949421708915</v>
      </c>
      <c r="AM693" s="146">
        <v>6.3750522225419951E-2</v>
      </c>
      <c r="AN693" s="146">
        <v>0.25286905867547088</v>
      </c>
      <c r="AO693" s="146">
        <v>121.33916891816264</v>
      </c>
      <c r="AP693" s="146">
        <v>71.84354501845354</v>
      </c>
      <c r="AQ693" t="s">
        <v>383</v>
      </c>
      <c r="AR693" s="146">
        <f t="shared" si="43"/>
        <v>19.525354503836514</v>
      </c>
      <c r="AS693" s="146">
        <f t="shared" si="44"/>
        <v>5.3287291164862003</v>
      </c>
      <c r="AT693" s="146">
        <v>0.4</v>
      </c>
      <c r="AU693">
        <v>0</v>
      </c>
      <c r="AV693" s="146">
        <v>0.5</v>
      </c>
      <c r="AW693" s="146">
        <v>3</v>
      </c>
      <c r="AX693" s="146">
        <v>0.99999999900000003</v>
      </c>
      <c r="AY693" s="146">
        <v>0.36</v>
      </c>
      <c r="AZ693" s="209">
        <v>71.84354501845354</v>
      </c>
      <c r="BA693" s="146">
        <v>0.99999999900000003</v>
      </c>
      <c r="BB693" s="252">
        <v>27.809455138237766</v>
      </c>
      <c r="BC693" s="244">
        <v>207.83306165168375</v>
      </c>
      <c r="BD693" s="229">
        <v>92755.611374459084</v>
      </c>
      <c r="BE693" s="244">
        <v>35.737008090128391</v>
      </c>
      <c r="BF693" s="146">
        <v>342142.63414706546</v>
      </c>
      <c r="BG693" t="s">
        <v>388</v>
      </c>
      <c r="BH693" s="146">
        <v>7.7893241086738654E-6</v>
      </c>
      <c r="BI693" s="146">
        <v>2127556.1137445909</v>
      </c>
      <c r="BJ693">
        <f t="shared" si="42"/>
        <v>0.16081485791924877</v>
      </c>
    </row>
    <row r="694" spans="1:62" s="146" customFormat="1" x14ac:dyDescent="0.3">
      <c r="A694">
        <v>-0.1</v>
      </c>
      <c r="B694" s="146">
        <v>1000</v>
      </c>
      <c r="C694" s="146">
        <v>25</v>
      </c>
      <c r="D694" s="146">
        <v>300</v>
      </c>
      <c r="E694" s="252">
        <v>19.884219736647239</v>
      </c>
      <c r="F694" s="146">
        <v>1.2639815797035392</v>
      </c>
      <c r="G694" s="146">
        <v>21.115781692505823</v>
      </c>
      <c r="H694" s="146">
        <v>25.914359287292246</v>
      </c>
      <c r="J694" s="146">
        <v>0.99999999919398608</v>
      </c>
      <c r="K694" s="146">
        <v>0.36</v>
      </c>
      <c r="L694" s="146">
        <v>132.53855501643974</v>
      </c>
      <c r="M694" s="146">
        <v>48.887171932293356</v>
      </c>
      <c r="N694" s="146">
        <v>5.7303539711140559</v>
      </c>
      <c r="Z694" s="146">
        <v>0.22112659269658572</v>
      </c>
      <c r="AL694" s="146">
        <v>3035.5572145794454</v>
      </c>
      <c r="AM694" s="146">
        <v>5.9859568455007159E-2</v>
      </c>
      <c r="AN694" s="146">
        <v>0.2481165410328168</v>
      </c>
      <c r="AO694" s="146">
        <v>219.85935458443589</v>
      </c>
      <c r="AP694" s="146">
        <v>170.38022902242065</v>
      </c>
      <c r="AQ694" s="146" t="s">
        <v>383</v>
      </c>
      <c r="AR694" s="146">
        <f t="shared" si="43"/>
        <v>19.525354503836514</v>
      </c>
      <c r="AS694" s="146">
        <f t="shared" si="44"/>
        <v>5.3287291164862003</v>
      </c>
      <c r="AT694" s="146">
        <v>0.4</v>
      </c>
      <c r="AU694">
        <v>0</v>
      </c>
      <c r="AV694" s="146">
        <v>0.5</v>
      </c>
      <c r="AW694" s="146">
        <v>3</v>
      </c>
      <c r="AX694" s="146">
        <v>0.99999999900000003</v>
      </c>
      <c r="AY694" s="146">
        <v>0.36</v>
      </c>
      <c r="AZ694" s="209">
        <v>170.38022902242065</v>
      </c>
      <c r="BA694" s="146">
        <v>0.99999999900000003</v>
      </c>
      <c r="BB694" s="252">
        <v>27.328893100681462</v>
      </c>
      <c r="BC694" s="244">
        <v>204.5332477309081</v>
      </c>
      <c r="BD694" s="229">
        <v>91033.904288058839</v>
      </c>
      <c r="BE694" s="244">
        <v>35.295218671817828</v>
      </c>
      <c r="BF694" s="146">
        <v>337618.17716476548</v>
      </c>
      <c r="BG694" t="s">
        <v>388</v>
      </c>
      <c r="BH694" s="146">
        <v>7.8584188423595921E-6</v>
      </c>
      <c r="BI694" s="146">
        <v>2110339.0428805882</v>
      </c>
      <c r="BJ694">
        <f t="shared" si="42"/>
        <v>0.15998290810367638</v>
      </c>
    </row>
    <row r="695" spans="1:62" s="146" customFormat="1" x14ac:dyDescent="0.3">
      <c r="A695">
        <v>-0.1</v>
      </c>
      <c r="B695" s="146">
        <v>1000</v>
      </c>
      <c r="C695" s="146">
        <v>25</v>
      </c>
      <c r="D695" s="146">
        <v>400</v>
      </c>
      <c r="E695" s="252">
        <v>19.899986050984651</v>
      </c>
      <c r="F695" s="146">
        <v>1.2241661207767858</v>
      </c>
      <c r="G695" s="146">
        <v>21.108965983823818</v>
      </c>
      <c r="H695" s="146">
        <v>25.927288233871877</v>
      </c>
      <c r="J695" s="146">
        <v>0.99999999919405802</v>
      </c>
      <c r="K695" s="146">
        <v>0.36</v>
      </c>
      <c r="L695" s="146">
        <v>132.13906782313671</v>
      </c>
      <c r="M695" s="146">
        <v>48.739820098697976</v>
      </c>
      <c r="N695" s="146">
        <v>5.7288537521564784</v>
      </c>
      <c r="Z695" s="146">
        <v>0.22095846277792369</v>
      </c>
      <c r="AL695" s="146">
        <v>3134.4080992590384</v>
      </c>
      <c r="AM695" s="146">
        <v>5.7992708961437822E-2</v>
      </c>
      <c r="AN695" s="146">
        <v>0.24720321613003549</v>
      </c>
      <c r="AO695" s="146">
        <v>319.49948563566937</v>
      </c>
      <c r="AP695" s="146">
        <v>269.98122318080027</v>
      </c>
      <c r="AQ695" t="s">
        <v>383</v>
      </c>
      <c r="AR695" s="146">
        <f t="shared" si="43"/>
        <v>19.525354503836514</v>
      </c>
      <c r="AS695" s="146">
        <f t="shared" si="44"/>
        <v>5.3287291164862003</v>
      </c>
      <c r="AT695" s="146">
        <v>0.4</v>
      </c>
      <c r="AU695">
        <v>0</v>
      </c>
      <c r="AV695" s="146">
        <v>0.5</v>
      </c>
      <c r="AW695" s="146">
        <v>3</v>
      </c>
      <c r="AX695" s="146">
        <v>0.99999999900000003</v>
      </c>
      <c r="AY695" s="146">
        <v>0.36</v>
      </c>
      <c r="AZ695" s="209">
        <v>269.98122318080027</v>
      </c>
      <c r="BA695" s="146">
        <v>0.99999999900000003</v>
      </c>
      <c r="BB695" s="252">
        <v>27.125479102936978</v>
      </c>
      <c r="BC695" s="244">
        <v>203.54970494310959</v>
      </c>
      <c r="BD695" s="229">
        <v>90551.830969500894</v>
      </c>
      <c r="BE695" s="244">
        <v>35.209044037199547</v>
      </c>
      <c r="BF695" s="146">
        <v>336700.99921259785</v>
      </c>
      <c r="BG695" t="s">
        <v>388</v>
      </c>
      <c r="BH695" s="146">
        <v>7.8839828126859173E-6</v>
      </c>
      <c r="BI695" s="146">
        <v>2105518.3096950091</v>
      </c>
      <c r="BJ695">
        <f t="shared" si="42"/>
        <v>0.1599135935613735</v>
      </c>
    </row>
    <row r="696" spans="1:62" s="146" customFormat="1" x14ac:dyDescent="0.3">
      <c r="A696">
        <v>-0.1</v>
      </c>
      <c r="B696" s="146">
        <v>1000</v>
      </c>
      <c r="C696" s="146">
        <v>25</v>
      </c>
      <c r="D696" s="146">
        <v>500</v>
      </c>
      <c r="E696" s="252">
        <v>19.916970680943511</v>
      </c>
      <c r="F696" s="146">
        <v>1.1927686147078382</v>
      </c>
      <c r="G696" s="146">
        <v>21.108466828446918</v>
      </c>
      <c r="H696" s="146">
        <v>25.911335818168222</v>
      </c>
      <c r="J696" s="146">
        <v>0.99999999919188409</v>
      </c>
      <c r="K696" s="146">
        <v>0.36</v>
      </c>
      <c r="L696" s="146">
        <v>131.85759699099978</v>
      </c>
      <c r="M696" s="146">
        <v>48.635998890122877</v>
      </c>
      <c r="N696" s="146">
        <v>5.6968092242632515</v>
      </c>
      <c r="Z696" s="146">
        <v>0.21985779753851309</v>
      </c>
      <c r="AL696" s="146">
        <v>3218.1358699354082</v>
      </c>
      <c r="AM696" s="146">
        <v>5.6506643727454349E-2</v>
      </c>
      <c r="AN696" s="146">
        <v>0.24677790131779193</v>
      </c>
      <c r="AO696" s="146">
        <v>419.29191967924578</v>
      </c>
      <c r="AP696" s="146">
        <v>369.73125780378342</v>
      </c>
      <c r="AQ696" s="146" t="s">
        <v>383</v>
      </c>
      <c r="AR696" s="146">
        <f t="shared" si="43"/>
        <v>19.525354503836514</v>
      </c>
      <c r="AS696" s="146">
        <f t="shared" si="44"/>
        <v>5.3287291164862003</v>
      </c>
      <c r="AT696" s="146">
        <v>0.4</v>
      </c>
      <c r="AU696">
        <v>0</v>
      </c>
      <c r="AV696" s="146">
        <v>0.5</v>
      </c>
      <c r="AW696" s="146">
        <v>3</v>
      </c>
      <c r="AX696" s="146">
        <v>0.99999999900000003</v>
      </c>
      <c r="AY696" s="146">
        <v>0.36</v>
      </c>
      <c r="AZ696" s="209">
        <v>369.73125780378342</v>
      </c>
      <c r="BA696" s="146">
        <v>0.99999999900000003</v>
      </c>
      <c r="BB696" s="252">
        <v>26.969706919299369</v>
      </c>
      <c r="BC696" s="244">
        <v>202.85942390433914</v>
      </c>
      <c r="BD696" s="229">
        <v>90238.037461937289</v>
      </c>
      <c r="BE696" s="244">
        <v>35.18531215545687</v>
      </c>
      <c r="BF696" s="146">
        <v>336236.40372472082</v>
      </c>
      <c r="BG696" t="s">
        <v>388</v>
      </c>
      <c r="BH696" s="146">
        <v>7.9029789242338766E-6</v>
      </c>
      <c r="BI696" s="146">
        <v>2102380.3746193731</v>
      </c>
      <c r="BJ696">
        <f t="shared" si="42"/>
        <v>0.15993128921097113</v>
      </c>
    </row>
    <row r="697" spans="1:62" s="146" customFormat="1" x14ac:dyDescent="0.3">
      <c r="A697">
        <v>-0.1</v>
      </c>
      <c r="B697" s="146">
        <v>1000</v>
      </c>
      <c r="C697" s="146">
        <v>25</v>
      </c>
      <c r="D697" s="146">
        <v>600</v>
      </c>
      <c r="E697" s="252">
        <v>19.934134669002727</v>
      </c>
      <c r="F697" s="146">
        <v>1.1647422180422251</v>
      </c>
      <c r="G697" s="146">
        <v>21.110156093733323</v>
      </c>
      <c r="H697" s="146">
        <v>25.88628025502085</v>
      </c>
      <c r="J697" s="146">
        <v>0.99999999918904359</v>
      </c>
      <c r="K697" s="146">
        <v>0.36</v>
      </c>
      <c r="L697" s="146">
        <v>131.61944642236836</v>
      </c>
      <c r="M697" s="146">
        <v>48.548156467267013</v>
      </c>
      <c r="N697" s="146">
        <v>5.6553204366013716</v>
      </c>
      <c r="Z697" s="146">
        <v>0.21846786718244221</v>
      </c>
      <c r="AL697" s="146">
        <v>3297.1909840097346</v>
      </c>
      <c r="AM697" s="146">
        <v>5.5174495767370754E-2</v>
      </c>
      <c r="AN697" s="146">
        <v>0.24650845091397458</v>
      </c>
      <c r="AO697" s="146">
        <v>519.13407189451993</v>
      </c>
      <c r="AP697" s="146">
        <v>469.53076570904688</v>
      </c>
      <c r="AQ697" t="s">
        <v>383</v>
      </c>
      <c r="AR697" s="146">
        <f t="shared" si="43"/>
        <v>19.525354503836514</v>
      </c>
      <c r="AS697" s="146">
        <f t="shared" si="44"/>
        <v>5.3287291164862003</v>
      </c>
      <c r="AT697" s="146">
        <v>0.4</v>
      </c>
      <c r="AU697">
        <v>0</v>
      </c>
      <c r="AV697" s="146">
        <v>0.5</v>
      </c>
      <c r="AW697" s="146">
        <v>3</v>
      </c>
      <c r="AX697" s="146">
        <v>0.99999999900000003</v>
      </c>
      <c r="AY697" s="146">
        <v>0.36</v>
      </c>
      <c r="AZ697" s="209">
        <v>469.53076570904688</v>
      </c>
      <c r="BA697" s="146">
        <v>0.99999999900000003</v>
      </c>
      <c r="BB697" s="252">
        <v>26.832717483721545</v>
      </c>
      <c r="BC697" s="244">
        <v>202.27711500903015</v>
      </c>
      <c r="BD697" s="229">
        <v>89985.172458617628</v>
      </c>
      <c r="BE697" s="244">
        <v>35.183011274762848</v>
      </c>
      <c r="BF697" s="146">
        <v>335929.67693930457</v>
      </c>
      <c r="BG697" t="s">
        <v>388</v>
      </c>
      <c r="BH697" s="146">
        <v>7.9195165847168738E-6</v>
      </c>
      <c r="BI697" s="146">
        <v>2099851.7245861762</v>
      </c>
      <c r="BJ697">
        <f t="shared" si="42"/>
        <v>0.15997780843573953</v>
      </c>
    </row>
    <row r="698" spans="1:62" s="146" customFormat="1" x14ac:dyDescent="0.3">
      <c r="A698">
        <v>-0.1</v>
      </c>
      <c r="B698" s="146">
        <v>1000</v>
      </c>
      <c r="C698" s="146">
        <v>25</v>
      </c>
      <c r="D698" s="146">
        <v>700</v>
      </c>
      <c r="E698" s="252">
        <v>19.951298034226941</v>
      </c>
      <c r="F698" s="146">
        <v>1.138648118353335</v>
      </c>
      <c r="G698" s="146">
        <v>21.112987177861438</v>
      </c>
      <c r="H698" s="146">
        <v>25.857970468341218</v>
      </c>
      <c r="J698" s="146">
        <v>0.99999999918594895</v>
      </c>
      <c r="K698" s="146">
        <v>0.36</v>
      </c>
      <c r="L698" s="146">
        <v>131.40566561177792</v>
      </c>
      <c r="M698" s="146">
        <v>48.469302889590217</v>
      </c>
      <c r="N698" s="146">
        <v>5.610489901427691</v>
      </c>
      <c r="Z698" s="146">
        <v>0.21697332775195186</v>
      </c>
      <c r="AL698" s="146">
        <v>3374.5983713548389</v>
      </c>
      <c r="AM698" s="146">
        <v>5.3931170836275293E-2</v>
      </c>
      <c r="AN698" s="146">
        <v>0.24631037784014806</v>
      </c>
      <c r="AO698" s="146">
        <v>618.99936085041838</v>
      </c>
      <c r="AP698" s="146">
        <v>569.35342064099291</v>
      </c>
      <c r="AQ698" s="146" t="s">
        <v>383</v>
      </c>
      <c r="AR698" s="146">
        <f t="shared" si="43"/>
        <v>19.525354503836514</v>
      </c>
      <c r="AS698" s="146">
        <f t="shared" si="44"/>
        <v>5.3287291164862003</v>
      </c>
      <c r="AT698" s="146">
        <v>0.4</v>
      </c>
      <c r="AU698">
        <v>0</v>
      </c>
      <c r="AV698" s="146">
        <v>0.5</v>
      </c>
      <c r="AW698" s="146">
        <v>3</v>
      </c>
      <c r="AX698" s="146">
        <v>0.99999999900000003</v>
      </c>
      <c r="AY698" s="146">
        <v>0.36</v>
      </c>
      <c r="AZ698" s="209">
        <v>569.35342064099291</v>
      </c>
      <c r="BA698" s="146">
        <v>0.99999999900000003</v>
      </c>
      <c r="BB698" s="252">
        <v>26.706403829439193</v>
      </c>
      <c r="BC698" s="244">
        <v>201.75573879002448</v>
      </c>
      <c r="BD698" s="229">
        <v>89765.036697580392</v>
      </c>
      <c r="BE698" s="244">
        <v>35.190294993107443</v>
      </c>
      <c r="BF698" s="146">
        <v>335705.34391823085</v>
      </c>
      <c r="BG698" t="s">
        <v>388</v>
      </c>
      <c r="BH698" s="146">
        <v>7.9347069200687157E-6</v>
      </c>
      <c r="BI698" s="146">
        <v>2097650.3669758039</v>
      </c>
      <c r="BJ698">
        <f t="shared" si="42"/>
        <v>0.16003875059608691</v>
      </c>
    </row>
    <row r="699" spans="1:62" s="146" customFormat="1" x14ac:dyDescent="0.3">
      <c r="A699">
        <v>-0.1</v>
      </c>
      <c r="B699" s="146">
        <v>1000</v>
      </c>
      <c r="C699" s="146">
        <v>25</v>
      </c>
      <c r="D699" s="146">
        <v>800</v>
      </c>
      <c r="E699" s="252">
        <v>20.000330816447619</v>
      </c>
      <c r="F699" s="146">
        <v>1.0920189415048096</v>
      </c>
      <c r="G699" s="146">
        <v>21.138079384848336</v>
      </c>
      <c r="H699" s="146">
        <v>25.800874872660387</v>
      </c>
      <c r="J699" s="146">
        <v>0.97161651666428994</v>
      </c>
      <c r="K699" s="146">
        <v>0.36</v>
      </c>
      <c r="L699" s="146">
        <v>131.06941773153929</v>
      </c>
      <c r="M699" s="146">
        <v>48.345277032125146</v>
      </c>
      <c r="N699" s="146">
        <v>5.8690461631373161</v>
      </c>
      <c r="Z699" s="146">
        <v>0.22747469580407081</v>
      </c>
      <c r="AL699" s="146">
        <v>3603.5692159526543</v>
      </c>
      <c r="AM699" s="146">
        <v>5.1661218676639233E-2</v>
      </c>
      <c r="AN699" s="146">
        <v>0.24635425984708781</v>
      </c>
      <c r="AO699" s="146">
        <v>718.81475551158792</v>
      </c>
      <c r="AP699" s="146">
        <v>669.04613438399394</v>
      </c>
      <c r="AQ699" t="s">
        <v>383</v>
      </c>
      <c r="AR699" s="146">
        <f t="shared" si="43"/>
        <v>19.525354503836514</v>
      </c>
      <c r="AS699" s="146">
        <f t="shared" si="44"/>
        <v>5.3287291164862003</v>
      </c>
      <c r="AT699" s="146">
        <v>0.4</v>
      </c>
      <c r="AU699">
        <v>0</v>
      </c>
      <c r="AV699" s="146">
        <v>0.5</v>
      </c>
      <c r="AW699" s="146">
        <v>3</v>
      </c>
      <c r="AX699" s="146">
        <v>0.96579720366848276</v>
      </c>
      <c r="AY699" s="146">
        <v>0.36</v>
      </c>
      <c r="AZ699" s="209">
        <v>669.04613438399394</v>
      </c>
      <c r="BA699" s="146">
        <v>0.96579720366848276</v>
      </c>
      <c r="BB699" s="252">
        <v>26.626459527026757</v>
      </c>
      <c r="BC699" s="244">
        <v>200.93824539529544</v>
      </c>
      <c r="BD699" s="229">
        <v>89787.006845310883</v>
      </c>
      <c r="BE699" s="244">
        <v>35.757393664028875</v>
      </c>
      <c r="BF699" s="146">
        <v>336749.73050338629</v>
      </c>
      <c r="BG699" t="s">
        <v>388</v>
      </c>
      <c r="BH699" s="146">
        <v>7.9504228917869269E-6</v>
      </c>
      <c r="BI699" s="146">
        <v>2097870.0684531089</v>
      </c>
      <c r="BJ699">
        <f t="shared" si="42"/>
        <v>0.16051982225557609</v>
      </c>
    </row>
    <row r="700" spans="1:62" s="146" customFormat="1" x14ac:dyDescent="0.3">
      <c r="A700">
        <v>-0.1</v>
      </c>
      <c r="B700" s="146">
        <v>1000</v>
      </c>
      <c r="C700" s="146">
        <v>25</v>
      </c>
      <c r="D700" s="146">
        <v>900</v>
      </c>
      <c r="E700" s="252">
        <v>20.063705453094734</v>
      </c>
      <c r="F700" s="146">
        <v>1.0364895460458616</v>
      </c>
      <c r="G700" s="146">
        <v>21.173142323285777</v>
      </c>
      <c r="H700" s="146">
        <v>25.740106304948444</v>
      </c>
      <c r="J700" s="146">
        <v>0.93686762175782889</v>
      </c>
      <c r="K700" s="146">
        <v>0.36</v>
      </c>
      <c r="L700" s="146">
        <v>130.72793654124396</v>
      </c>
      <c r="M700" s="146">
        <v>48.219320855376871</v>
      </c>
      <c r="N700" s="146">
        <v>6.2500300583922552</v>
      </c>
      <c r="Z700" s="146">
        <v>0.24281290777694686</v>
      </c>
      <c r="AL700" s="146">
        <v>3893.6722762584632</v>
      </c>
      <c r="AM700" s="146">
        <v>4.8953033528044261E-2</v>
      </c>
      <c r="AN700" s="146">
        <v>0.24643136439506644</v>
      </c>
      <c r="AO700" s="146">
        <v>818.5829875902906</v>
      </c>
      <c r="AP700" s="146">
        <v>768.65724706233539</v>
      </c>
      <c r="AQ700" s="146" t="s">
        <v>383</v>
      </c>
      <c r="AR700" s="146">
        <f t="shared" si="43"/>
        <v>19.525354503836514</v>
      </c>
      <c r="AS700" s="146">
        <f t="shared" si="44"/>
        <v>5.3287291164862003</v>
      </c>
      <c r="AT700" s="146">
        <v>0.4</v>
      </c>
      <c r="AU700">
        <v>0</v>
      </c>
      <c r="AV700" s="146">
        <v>0.5</v>
      </c>
      <c r="AW700" s="146">
        <v>3</v>
      </c>
      <c r="AX700" s="146">
        <v>0.92552309890100914</v>
      </c>
      <c r="AY700" s="146">
        <v>0.36</v>
      </c>
      <c r="AZ700" s="209">
        <v>768.65724706233539</v>
      </c>
      <c r="BA700" s="146">
        <v>0.92552309890100914</v>
      </c>
      <c r="BB700" s="252">
        <v>26.521682734745603</v>
      </c>
      <c r="BC700" s="244">
        <v>200.11120984142806</v>
      </c>
      <c r="BD700" s="229">
        <v>89832.037642682888</v>
      </c>
      <c r="BE700" s="244">
        <v>36.36562902581646</v>
      </c>
      <c r="BF700" s="146">
        <v>338144.83907070674</v>
      </c>
      <c r="BG700" t="s">
        <v>388</v>
      </c>
      <c r="BH700" s="146">
        <v>7.969993317195874E-6</v>
      </c>
      <c r="BI700" s="146">
        <v>2098320.376426829</v>
      </c>
      <c r="BJ700">
        <f t="shared" si="42"/>
        <v>0.16115024324670768</v>
      </c>
    </row>
    <row r="701" spans="1:62" s="146" customFormat="1" x14ac:dyDescent="0.3">
      <c r="A701">
        <v>-0.1</v>
      </c>
      <c r="B701" s="146">
        <v>1000</v>
      </c>
      <c r="C701" s="146">
        <v>25</v>
      </c>
      <c r="D701" s="146">
        <v>1000</v>
      </c>
      <c r="E701" s="252">
        <v>20.121799930193305</v>
      </c>
      <c r="F701" s="146">
        <v>0.9851006596378995</v>
      </c>
      <c r="G701" s="146">
        <v>21.204841163326421</v>
      </c>
      <c r="H701" s="146">
        <v>25.688948323346644</v>
      </c>
      <c r="J701" s="146">
        <v>0.9093296060058087</v>
      </c>
      <c r="K701" s="146">
        <v>0.36</v>
      </c>
      <c r="L701" s="146">
        <v>130.44323019084931</v>
      </c>
      <c r="M701" s="146">
        <v>48.114306217936218</v>
      </c>
      <c r="N701" s="146">
        <v>6.5907543096444066</v>
      </c>
      <c r="Z701" s="146">
        <v>0.2565599115497692</v>
      </c>
      <c r="AL701" s="146">
        <v>4163.6603277189488</v>
      </c>
      <c r="AM701" s="146">
        <v>4.645640361322876E-2</v>
      </c>
      <c r="AN701" s="146">
        <v>0.24645008970328636</v>
      </c>
      <c r="AO701" s="146">
        <v>918.35344854441337</v>
      </c>
      <c r="AP701" s="146">
        <v>868.2831728967451</v>
      </c>
      <c r="AQ701" t="s">
        <v>383</v>
      </c>
      <c r="AR701" s="146">
        <f t="shared" si="43"/>
        <v>19.525354503836514</v>
      </c>
      <c r="AS701" s="146">
        <f t="shared" si="44"/>
        <v>5.3287291164862003</v>
      </c>
      <c r="AT701" s="146">
        <v>0.4</v>
      </c>
      <c r="AU701">
        <v>0</v>
      </c>
      <c r="AV701" s="146">
        <v>0.5</v>
      </c>
      <c r="AW701" s="146">
        <v>3</v>
      </c>
      <c r="AX701" s="146">
        <v>0.89476116241583992</v>
      </c>
      <c r="AY701" s="146">
        <v>0.36</v>
      </c>
      <c r="AZ701" s="209">
        <v>868.2831728967451</v>
      </c>
      <c r="BA701" s="146">
        <v>0.89476116241583992</v>
      </c>
      <c r="BB701" s="252">
        <v>26.388648033332476</v>
      </c>
      <c r="BC701" s="244">
        <v>199.424110017028</v>
      </c>
      <c r="BD701" s="229">
        <v>89804.246185241995</v>
      </c>
      <c r="BE701" s="244">
        <v>36.772251308637998</v>
      </c>
      <c r="BF701" s="146">
        <v>339244.66578216635</v>
      </c>
      <c r="BG701" t="s">
        <v>388</v>
      </c>
      <c r="BH701" s="146">
        <v>7.9908633277044693E-6</v>
      </c>
      <c r="BI701" s="146">
        <v>2098042.4618524201</v>
      </c>
      <c r="BJ701">
        <f t="shared" si="42"/>
        <v>0.16169580547127621</v>
      </c>
    </row>
    <row r="702" spans="1:62" s="140" customFormat="1" x14ac:dyDescent="0.3">
      <c r="A702" s="140">
        <v>-0.1</v>
      </c>
      <c r="B702" s="140">
        <v>1000</v>
      </c>
      <c r="C702" s="140">
        <v>25</v>
      </c>
      <c r="D702" s="140">
        <v>1100</v>
      </c>
      <c r="E702" s="253">
        <v>20.174737638450903</v>
      </c>
      <c r="F702" s="140">
        <v>0.93816581549908318</v>
      </c>
      <c r="G702" s="140">
        <v>21.233563704564961</v>
      </c>
      <c r="H702" s="140">
        <v>25.645704353965069</v>
      </c>
      <c r="J702" s="140">
        <v>0.88683703258060831</v>
      </c>
      <c r="K702" s="140">
        <v>0.36</v>
      </c>
      <c r="L702" s="140">
        <v>130.20409768802921</v>
      </c>
      <c r="M702" s="140">
        <v>48.026101606240282</v>
      </c>
      <c r="N702" s="140">
        <v>6.8965301071400091</v>
      </c>
      <c r="Z702" s="140">
        <v>0.26891560520051538</v>
      </c>
      <c r="AL702" s="140">
        <v>4416.1969072275715</v>
      </c>
      <c r="AM702" s="140">
        <v>4.4183154017494897E-2</v>
      </c>
      <c r="AN702" s="140">
        <v>0.24643614185590423</v>
      </c>
      <c r="AO702" s="140">
        <v>1018.1340144082947</v>
      </c>
      <c r="AP702" s="140">
        <v>967.93185365756426</v>
      </c>
      <c r="AQ702" s="146" t="s">
        <v>383</v>
      </c>
      <c r="AR702" s="140">
        <f t="shared" si="43"/>
        <v>19.525354503836514</v>
      </c>
      <c r="AS702" s="140">
        <f t="shared" si="44"/>
        <v>5.3287291164862003</v>
      </c>
      <c r="AT702" s="140">
        <v>0.4</v>
      </c>
      <c r="AU702">
        <v>0</v>
      </c>
      <c r="AV702" s="140">
        <v>0.5</v>
      </c>
      <c r="AW702" s="140">
        <v>3</v>
      </c>
      <c r="AX702" s="140">
        <v>0.87033223533547122</v>
      </c>
      <c r="AY702" s="140">
        <v>0.36</v>
      </c>
      <c r="AZ702" s="209">
        <v>967.93185365756426</v>
      </c>
      <c r="BA702" s="140">
        <v>0.87033223533547122</v>
      </c>
      <c r="BB702" s="253">
        <v>26.245289113354808</v>
      </c>
      <c r="BC702" s="245">
        <v>198.84869413372533</v>
      </c>
      <c r="BD702" s="210">
        <v>89738.558137828193</v>
      </c>
      <c r="BE702" s="245">
        <v>37.048569212080778</v>
      </c>
      <c r="BF702" s="140">
        <v>340141.06001905084</v>
      </c>
      <c r="BG702" t="s">
        <v>388</v>
      </c>
      <c r="BH702" s="140">
        <v>8.0116046667293033E-6</v>
      </c>
      <c r="BI702" s="140">
        <v>2097385.581378282</v>
      </c>
      <c r="BJ702">
        <f t="shared" si="42"/>
        <v>0.16217383348059899</v>
      </c>
    </row>
    <row r="703" spans="1:62" s="146" customFormat="1" x14ac:dyDescent="0.3">
      <c r="A703">
        <v>-0.1</v>
      </c>
      <c r="B703" s="146">
        <v>1000</v>
      </c>
      <c r="C703" s="146">
        <v>25</v>
      </c>
      <c r="D703" s="146">
        <v>400</v>
      </c>
      <c r="E703" s="252">
        <v>19.899994802776884</v>
      </c>
      <c r="F703" s="146">
        <v>1.2241659834342991</v>
      </c>
      <c r="G703" s="146">
        <v>21.108975081218777</v>
      </c>
      <c r="H703" s="146">
        <v>25.927302047540998</v>
      </c>
      <c r="J703" s="146">
        <v>0.99999999919405835</v>
      </c>
      <c r="K703" s="146">
        <v>0.36</v>
      </c>
      <c r="L703" s="146">
        <v>132.13913723140467</v>
      </c>
      <c r="M703" s="146">
        <v>48.73984570010829</v>
      </c>
      <c r="N703" s="146">
        <v>5.7288586068963845</v>
      </c>
      <c r="Z703" s="146">
        <v>0.22095853229895634</v>
      </c>
      <c r="AL703" s="146">
        <v>3134.4105048683091</v>
      </c>
      <c r="AM703" s="146">
        <v>5.7992677461800243E-2</v>
      </c>
      <c r="AN703" s="146">
        <v>0.24720330874652427</v>
      </c>
      <c r="AO703" s="146">
        <v>319.49948039254679</v>
      </c>
      <c r="AP703" s="146">
        <v>269.9812014201147</v>
      </c>
      <c r="AQ703" t="s">
        <v>383</v>
      </c>
      <c r="AR703" s="146">
        <f t="shared" si="43"/>
        <v>19.525354503836514</v>
      </c>
      <c r="AS703" s="146">
        <f t="shared" si="44"/>
        <v>5.3287291164862003</v>
      </c>
      <c r="AT703" s="146">
        <v>0.4</v>
      </c>
      <c r="AU703">
        <v>0</v>
      </c>
      <c r="AV703" s="146">
        <v>0.5</v>
      </c>
      <c r="AW703" s="146">
        <v>3</v>
      </c>
      <c r="AX703" s="146">
        <v>0.99999999900000003</v>
      </c>
      <c r="AY703" s="146">
        <v>0.36</v>
      </c>
      <c r="AZ703" s="209">
        <v>269.9812014201147</v>
      </c>
      <c r="BA703" s="146">
        <v>0.99999999900000003</v>
      </c>
      <c r="BB703" s="252">
        <v>27.125486975980092</v>
      </c>
      <c r="BC703" s="244">
        <v>203.54987543523984</v>
      </c>
      <c r="BD703" s="229">
        <v>90551.901453770275</v>
      </c>
      <c r="BE703" s="244">
        <v>35.20903925465776</v>
      </c>
      <c r="BF703" s="146">
        <v>336701.35767448094</v>
      </c>
      <c r="BG703" t="s">
        <v>389</v>
      </c>
      <c r="BH703" s="146">
        <v>7.8839828080893202E-6</v>
      </c>
      <c r="BI703" s="146">
        <v>2105519.0145377028</v>
      </c>
      <c r="BJ703">
        <f t="shared" si="42"/>
        <v>0.15991371027746742</v>
      </c>
    </row>
    <row r="704" spans="1:62" s="146" customFormat="1" x14ac:dyDescent="0.3">
      <c r="A704">
        <v>-0.1</v>
      </c>
      <c r="B704" s="146">
        <v>1000</v>
      </c>
      <c r="C704" s="146">
        <v>25</v>
      </c>
      <c r="D704" s="146">
        <v>400</v>
      </c>
      <c r="E704" s="252">
        <v>19.183824849594661</v>
      </c>
      <c r="F704" s="146">
        <v>1.1852830026105805</v>
      </c>
      <c r="G704" s="146">
        <v>20.342699274867801</v>
      </c>
      <c r="H704" s="146">
        <v>25.041681269243277</v>
      </c>
      <c r="J704" s="146">
        <v>0.99999999919537841</v>
      </c>
      <c r="K704" s="146">
        <v>0.36</v>
      </c>
      <c r="L704" s="146">
        <v>127.6759653318158</v>
      </c>
      <c r="M704" s="146">
        <v>47.09359376993207</v>
      </c>
      <c r="N704" s="146">
        <v>5.5747399630573256</v>
      </c>
      <c r="Z704" s="146">
        <v>0.22261843776058035</v>
      </c>
      <c r="AL704" s="146">
        <v>3062.5795950421721</v>
      </c>
      <c r="AM704" s="146">
        <v>5.8265768303173385E-2</v>
      </c>
      <c r="AN704" s="146">
        <v>0.24896539097513171</v>
      </c>
      <c r="AO704" s="146">
        <v>322.94581678820225</v>
      </c>
      <c r="AP704" s="146">
        <v>275.2096135135094</v>
      </c>
      <c r="AQ704" s="146" t="s">
        <v>383</v>
      </c>
      <c r="AR704" s="146">
        <f t="shared" si="43"/>
        <v>19.525354503836514</v>
      </c>
      <c r="AS704" s="146">
        <f t="shared" si="44"/>
        <v>5.3287291164862003</v>
      </c>
      <c r="AT704" s="146">
        <v>0.4</v>
      </c>
      <c r="AU704">
        <v>0</v>
      </c>
      <c r="AV704" s="146">
        <v>0.5</v>
      </c>
      <c r="AW704" s="146">
        <v>2.5</v>
      </c>
      <c r="AX704" s="146">
        <v>0.99999999900000003</v>
      </c>
      <c r="AY704" s="146">
        <v>0.36</v>
      </c>
      <c r="AZ704" s="209">
        <v>275.2096135135094</v>
      </c>
      <c r="BA704" s="146">
        <v>0.99999999900000003</v>
      </c>
      <c r="BB704" s="252">
        <v>26.212349481979192</v>
      </c>
      <c r="BC704" s="244">
        <v>192.85796866271434</v>
      </c>
      <c r="BD704" s="229">
        <v>84921.505783969013</v>
      </c>
      <c r="BE704" s="244">
        <v>33.635200924424893</v>
      </c>
      <c r="BF704" s="146">
        <v>381859.58246883465</v>
      </c>
      <c r="BG704" t="s">
        <v>389</v>
      </c>
      <c r="BH704" s="146">
        <v>7.6177869967403491E-6</v>
      </c>
      <c r="BI704" s="146">
        <v>2049215.0578396902</v>
      </c>
      <c r="BJ704">
        <f t="shared" si="42"/>
        <v>0.18634431803921844</v>
      </c>
    </row>
    <row r="705" spans="1:62" s="146" customFormat="1" x14ac:dyDescent="0.3">
      <c r="A705">
        <v>-0.1</v>
      </c>
      <c r="B705" s="146">
        <v>1000</v>
      </c>
      <c r="C705" s="146">
        <v>25</v>
      </c>
      <c r="D705" s="146">
        <v>400</v>
      </c>
      <c r="E705" s="252">
        <v>16.681098778146026</v>
      </c>
      <c r="F705" s="146">
        <v>1.0534099813739162</v>
      </c>
      <c r="G705" s="146">
        <v>17.676307569638578</v>
      </c>
      <c r="H705" s="146">
        <v>21.928322609075298</v>
      </c>
      <c r="J705" s="146">
        <v>0.99999999920116833</v>
      </c>
      <c r="K705" s="146">
        <v>0.36</v>
      </c>
      <c r="L705" s="146">
        <v>111.95036058975678</v>
      </c>
      <c r="M705" s="146">
        <v>41.293165791303736</v>
      </c>
      <c r="N705" s="146">
        <v>5.0129719354973759</v>
      </c>
      <c r="Z705" s="146">
        <v>0.22860717734163111</v>
      </c>
      <c r="AL705" s="146">
        <v>2799.428623554842</v>
      </c>
      <c r="AM705" s="146">
        <v>5.9594458696978589E-2</v>
      </c>
      <c r="AN705" s="146">
        <v>0.25448358884352973</v>
      </c>
      <c r="AO705" s="146">
        <v>334.45118070697094</v>
      </c>
      <c r="AP705" s="146">
        <v>292.9426558061574</v>
      </c>
      <c r="AQ705" t="s">
        <v>383</v>
      </c>
      <c r="AR705" s="146">
        <f t="shared" si="43"/>
        <v>19.525354503836514</v>
      </c>
      <c r="AS705" s="146">
        <f t="shared" si="44"/>
        <v>5.3287291164862003</v>
      </c>
      <c r="AT705" s="146">
        <v>0.4</v>
      </c>
      <c r="AU705">
        <v>0</v>
      </c>
      <c r="AV705" s="146">
        <v>0.5</v>
      </c>
      <c r="AW705" s="146">
        <v>1.5</v>
      </c>
      <c r="AX705" s="146">
        <v>0.99999999900000003</v>
      </c>
      <c r="AY705" s="146">
        <v>0.36</v>
      </c>
      <c r="AZ705" s="209">
        <v>292.9426558061574</v>
      </c>
      <c r="BA705" s="146">
        <v>0.99999999900000003</v>
      </c>
      <c r="BB705" s="252">
        <v>23.042338143505301</v>
      </c>
      <c r="BC705" s="244">
        <v>158.92011351398097</v>
      </c>
      <c r="BD705" s="229">
        <v>67391.996438814909</v>
      </c>
      <c r="BE705" s="244">
        <v>28.481406808255418</v>
      </c>
      <c r="BF705" s="146">
        <v>499437.36013097863</v>
      </c>
      <c r="BG705" t="s">
        <v>389</v>
      </c>
      <c r="BH705" s="146">
        <v>6.7302788249205088E-6</v>
      </c>
      <c r="BI705" s="146">
        <v>1873919.9643881491</v>
      </c>
      <c r="BJ705">
        <f t="shared" si="42"/>
        <v>0.26652011271679321</v>
      </c>
    </row>
    <row r="706" spans="1:62" s="146" customFormat="1" x14ac:dyDescent="0.3">
      <c r="A706">
        <v>-0.1</v>
      </c>
      <c r="B706" s="146">
        <v>1000</v>
      </c>
      <c r="C706" s="146">
        <v>25</v>
      </c>
      <c r="D706" s="146">
        <v>400</v>
      </c>
      <c r="E706" s="252">
        <v>14.417631544540438</v>
      </c>
      <c r="F706" s="146">
        <v>0.93828629393091911</v>
      </c>
      <c r="G706" s="146">
        <v>15.276892816278471</v>
      </c>
      <c r="H706" s="146">
        <v>19.087167418628834</v>
      </c>
      <c r="J706" s="146">
        <v>0.99999999920828098</v>
      </c>
      <c r="K706" s="146">
        <v>0.36</v>
      </c>
      <c r="L706" s="146">
        <v>97.554917971282308</v>
      </c>
      <c r="M706" s="146">
        <v>35.983371382850038</v>
      </c>
      <c r="N706" s="146">
        <v>4.4744768162129365</v>
      </c>
      <c r="Z706" s="146">
        <v>0.23442330221538812</v>
      </c>
      <c r="AL706" s="146">
        <v>2545.6477970267233</v>
      </c>
      <c r="AM706" s="146">
        <v>6.1418660536199952E-2</v>
      </c>
      <c r="AN706" s="146">
        <v>0.25877754165044342</v>
      </c>
      <c r="AO706" s="146">
        <v>344.28561515583232</v>
      </c>
      <c r="AP706" s="146">
        <v>308.40938892025417</v>
      </c>
      <c r="AQ706" s="146" t="s">
        <v>383</v>
      </c>
      <c r="AR706" s="146">
        <f t="shared" si="43"/>
        <v>19.525354503836514</v>
      </c>
      <c r="AS706" s="146">
        <f t="shared" si="44"/>
        <v>5.3287291164862003</v>
      </c>
      <c r="AT706" s="146">
        <v>0.4</v>
      </c>
      <c r="AU706">
        <v>0</v>
      </c>
      <c r="AV706" s="146">
        <v>0.5</v>
      </c>
      <c r="AW706" s="146">
        <v>1</v>
      </c>
      <c r="AX706" s="146">
        <v>0.99999999899999992</v>
      </c>
      <c r="AY706" s="146">
        <v>0.36</v>
      </c>
      <c r="AZ706" s="209">
        <v>308.40938892025417</v>
      </c>
      <c r="BA706" s="146">
        <v>0.99999999899999992</v>
      </c>
      <c r="BB706" s="252">
        <v>20.193574746725972</v>
      </c>
      <c r="BC706" s="244">
        <v>131.86730698776103</v>
      </c>
      <c r="BD706" s="229">
        <v>53896.511424512915</v>
      </c>
      <c r="BE706" s="244">
        <v>24.179942921268122</v>
      </c>
      <c r="BF706" s="146">
        <v>569843.43942587811</v>
      </c>
      <c r="BG706" t="s">
        <v>389</v>
      </c>
      <c r="BH706" s="146">
        <v>5.9294404785708511E-6</v>
      </c>
      <c r="BI706" s="146">
        <v>1738965.1142451293</v>
      </c>
      <c r="BJ706">
        <f t="shared" si="42"/>
        <v>0.32769112776206699</v>
      </c>
    </row>
    <row r="707" spans="1:62" s="146" customFormat="1" x14ac:dyDescent="0.3">
      <c r="A707">
        <v>-0.1</v>
      </c>
      <c r="B707" s="146">
        <v>1000</v>
      </c>
      <c r="C707" s="146">
        <v>25</v>
      </c>
      <c r="D707" s="146">
        <v>400</v>
      </c>
      <c r="E707" s="252">
        <v>13.167575344523929</v>
      </c>
      <c r="F707" s="146">
        <v>0.87582106656731784</v>
      </c>
      <c r="G707" s="146">
        <v>13.955490825672079</v>
      </c>
      <c r="H707" s="146">
        <v>17.507445176935061</v>
      </c>
      <c r="J707" s="146">
        <v>0.99999999921315019</v>
      </c>
      <c r="K707" s="146">
        <v>0.36</v>
      </c>
      <c r="L707" s="146">
        <v>89.53389762949115</v>
      </c>
      <c r="M707" s="146">
        <v>33.024798305959848</v>
      </c>
      <c r="N707" s="146">
        <v>4.164867362706639</v>
      </c>
      <c r="Z707" s="146">
        <v>0.23789121260214399</v>
      </c>
      <c r="AL707" s="146">
        <v>2399.2028602000451</v>
      </c>
      <c r="AM707" s="146">
        <v>6.2758170064229138E-2</v>
      </c>
      <c r="AN707" s="146">
        <v>0.26092395827254855</v>
      </c>
      <c r="AO707" s="146">
        <v>349.53481684204058</v>
      </c>
      <c r="AP707" s="146">
        <v>316.76917884672605</v>
      </c>
      <c r="AQ707" t="s">
        <v>383</v>
      </c>
      <c r="AR707" s="146">
        <f t="shared" si="43"/>
        <v>19.525354503836514</v>
      </c>
      <c r="AS707" s="146">
        <f t="shared" si="44"/>
        <v>5.3287291164862003</v>
      </c>
      <c r="AT707" s="146">
        <v>0.4</v>
      </c>
      <c r="AU707">
        <v>0</v>
      </c>
      <c r="AV707" s="146">
        <v>0.5</v>
      </c>
      <c r="AW707" s="146">
        <v>0.8</v>
      </c>
      <c r="AX707" s="146">
        <v>0.99999999899999992</v>
      </c>
      <c r="AY707" s="146">
        <v>0.36</v>
      </c>
      <c r="AZ707" s="209">
        <v>316.76917884672605</v>
      </c>
      <c r="BA707" s="146">
        <v>0.99999999899999992</v>
      </c>
      <c r="BB707" s="252">
        <v>18.623054496261087</v>
      </c>
      <c r="BC707" s="244">
        <v>118.08593789401917</v>
      </c>
      <c r="BD707" s="229">
        <v>47230.174830405209</v>
      </c>
      <c r="BE707" s="244">
        <v>21.916041251777337</v>
      </c>
      <c r="BF707" s="146">
        <v>598217.22193654405</v>
      </c>
      <c r="BG707" t="s">
        <v>389</v>
      </c>
      <c r="BH707" s="146">
        <v>5.4764147212804324E-6</v>
      </c>
      <c r="BI707" s="146">
        <v>1672301.748304052</v>
      </c>
      <c r="BJ707">
        <f t="shared" si="42"/>
        <v>0.35772086140747028</v>
      </c>
    </row>
    <row r="708" spans="1:62" s="146" customFormat="1" x14ac:dyDescent="0.3">
      <c r="A708">
        <v>-0.1</v>
      </c>
      <c r="B708" s="146">
        <v>1000</v>
      </c>
      <c r="C708" s="146">
        <v>25</v>
      </c>
      <c r="D708" s="146">
        <v>400</v>
      </c>
      <c r="E708" s="252">
        <v>11.62728472301027</v>
      </c>
      <c r="F708" s="146">
        <v>0.80940198825752785</v>
      </c>
      <c r="G708" s="146">
        <v>12.334799437518621</v>
      </c>
      <c r="H708" s="146">
        <v>15.497964707071127</v>
      </c>
      <c r="J708" s="146">
        <v>0.99999999922196836</v>
      </c>
      <c r="K708" s="146">
        <v>0.36</v>
      </c>
      <c r="L708" s="146">
        <v>79.315614464129325</v>
      </c>
      <c r="M708" s="146">
        <v>29.255759433490326</v>
      </c>
      <c r="N708" s="146">
        <v>3.7192731277245343</v>
      </c>
      <c r="Z708" s="146">
        <v>0.23998461720767583</v>
      </c>
      <c r="AL708" s="146">
        <v>2186.1195367667092</v>
      </c>
      <c r="AM708" s="146">
        <v>6.5619387843111499E-2</v>
      </c>
      <c r="AN708" s="146">
        <v>0.26079396955100209</v>
      </c>
      <c r="AO708" s="146">
        <v>355.41582214102391</v>
      </c>
      <c r="AP708" s="146">
        <v>326.48297290444094</v>
      </c>
      <c r="AQ708" s="146" t="s">
        <v>383</v>
      </c>
      <c r="AR708" s="146">
        <f t="shared" si="43"/>
        <v>19.525354503836514</v>
      </c>
      <c r="AS708" s="146">
        <f t="shared" si="44"/>
        <v>5.3287291164862003</v>
      </c>
      <c r="AT708" s="146">
        <v>0.4</v>
      </c>
      <c r="AU708">
        <v>0</v>
      </c>
      <c r="AV708" s="146">
        <v>0.5</v>
      </c>
      <c r="AW708" s="146">
        <v>0.6</v>
      </c>
      <c r="AX708" s="146">
        <v>0.99999999900000003</v>
      </c>
      <c r="AY708" s="146">
        <v>0.36</v>
      </c>
      <c r="AZ708" s="209">
        <v>326.48297290444094</v>
      </c>
      <c r="BA708" s="146">
        <v>0.99999999900000003</v>
      </c>
      <c r="BB708" s="252">
        <v>16.745383058244833</v>
      </c>
      <c r="BC708" s="244">
        <v>101.62688705311312</v>
      </c>
      <c r="BD708" s="229">
        <v>39690.050728451832</v>
      </c>
      <c r="BE708" s="244">
        <v>19.498601098721828</v>
      </c>
      <c r="BF708" s="146">
        <v>626908.44823710853</v>
      </c>
      <c r="BG708" t="s">
        <v>389</v>
      </c>
      <c r="BH708" s="146">
        <v>4.896987948997426E-6</v>
      </c>
      <c r="BI708" s="146">
        <v>1596900.5072845183</v>
      </c>
      <c r="BJ708">
        <f t="shared" ref="BJ708:BJ771" si="45">BF708/BI708</f>
        <v>0.39257827609006629</v>
      </c>
    </row>
    <row r="709" spans="1:62" s="146" customFormat="1" x14ac:dyDescent="0.3">
      <c r="A709">
        <v>-0.1</v>
      </c>
      <c r="B709" s="146">
        <v>1000</v>
      </c>
      <c r="C709" s="146">
        <v>25</v>
      </c>
      <c r="D709" s="146">
        <v>400</v>
      </c>
      <c r="E709" s="252">
        <v>9.6143001708165539</v>
      </c>
      <c r="F709" s="146">
        <v>0.72526492968697009</v>
      </c>
      <c r="G709" s="146">
        <v>10.221784696931927</v>
      </c>
      <c r="H709" s="146">
        <v>12.840596851575967</v>
      </c>
      <c r="J709" s="146">
        <v>0.99999999923684635</v>
      </c>
      <c r="K709" s="146">
        <v>0.36</v>
      </c>
      <c r="L709" s="146">
        <v>65.776428391121243</v>
      </c>
      <c r="M709" s="146">
        <v>24.261797357380789</v>
      </c>
      <c r="N709" s="146">
        <v>3.1038706534503007</v>
      </c>
      <c r="Z709" s="146">
        <v>0.24172323836094525</v>
      </c>
      <c r="AL709" s="146">
        <v>1890.8069865163764</v>
      </c>
      <c r="AM709" s="146">
        <v>7.0952866959197322E-2</v>
      </c>
      <c r="AN709" s="146">
        <v>0.25841774383155436</v>
      </c>
      <c r="AO709" s="146">
        <v>362.79551075608998</v>
      </c>
      <c r="AP709" s="146">
        <v>338.8716597912254</v>
      </c>
      <c r="AQ709" t="s">
        <v>383</v>
      </c>
      <c r="AR709" s="146">
        <f t="shared" si="43"/>
        <v>19.525354503836514</v>
      </c>
      <c r="AS709" s="146">
        <f t="shared" si="44"/>
        <v>5.3287291164862003</v>
      </c>
      <c r="AT709" s="146">
        <v>0.4</v>
      </c>
      <c r="AU709">
        <v>0</v>
      </c>
      <c r="AV709" s="146">
        <v>0.5</v>
      </c>
      <c r="AW709" s="146">
        <v>0.4</v>
      </c>
      <c r="AX709" s="146">
        <v>0.99999999900000003</v>
      </c>
      <c r="AY709" s="146">
        <v>0.36</v>
      </c>
      <c r="AZ709" s="209">
        <v>338.8716597912254</v>
      </c>
      <c r="BA709" s="146">
        <v>0.99999999900000003</v>
      </c>
      <c r="BB709" s="252">
        <v>14.301247900452465</v>
      </c>
      <c r="BC709" s="244">
        <v>81.403053049651803</v>
      </c>
      <c r="BD709" s="229">
        <v>30852.320998227202</v>
      </c>
      <c r="BE709" s="244">
        <v>16.537771459103876</v>
      </c>
      <c r="BF709" s="146">
        <v>650066.56509934319</v>
      </c>
      <c r="BG709" t="s">
        <v>389</v>
      </c>
      <c r="BH709" s="146">
        <v>4.1134345771734934E-6</v>
      </c>
      <c r="BI709" s="146">
        <v>1508523.209982272</v>
      </c>
      <c r="BJ709">
        <f t="shared" si="45"/>
        <v>0.4309291105351854</v>
      </c>
    </row>
    <row r="710" spans="1:62" s="146" customFormat="1" x14ac:dyDescent="0.3">
      <c r="A710">
        <v>-0.1</v>
      </c>
      <c r="B710" s="146">
        <v>1000</v>
      </c>
      <c r="C710" s="146">
        <v>25</v>
      </c>
      <c r="D710" s="146">
        <v>400</v>
      </c>
      <c r="E710" s="252">
        <v>8.3322967598898146</v>
      </c>
      <c r="F710" s="146">
        <v>0.66759902919878455</v>
      </c>
      <c r="G710" s="146">
        <v>8.8759947656163209</v>
      </c>
      <c r="H710" s="146">
        <v>11.153746865335206</v>
      </c>
      <c r="J710" s="146">
        <v>0.99999999924779948</v>
      </c>
      <c r="K710" s="146">
        <v>0.36</v>
      </c>
      <c r="L710" s="146">
        <v>57.167088935382694</v>
      </c>
      <c r="M710" s="146">
        <v>21.086221328624767</v>
      </c>
      <c r="N710" s="146">
        <v>2.7165008628513423</v>
      </c>
      <c r="Z710" s="146">
        <v>0.24355052124178744</v>
      </c>
      <c r="AL710" s="146">
        <v>1705.0526105625493</v>
      </c>
      <c r="AM710" s="146">
        <v>7.521399536927606E-2</v>
      </c>
      <c r="AN710" s="146">
        <v>0.25666197990052247</v>
      </c>
      <c r="AO710" s="146">
        <v>367.53591333192685</v>
      </c>
      <c r="AP710" s="146">
        <v>346.8021791368792</v>
      </c>
      <c r="AQ710" s="146" t="s">
        <v>383</v>
      </c>
      <c r="AR710" s="146">
        <f t="shared" si="43"/>
        <v>19.525354503836514</v>
      </c>
      <c r="AS710" s="146">
        <f t="shared" si="44"/>
        <v>5.3287291164862003</v>
      </c>
      <c r="AT710" s="146">
        <v>0.4</v>
      </c>
      <c r="AU710">
        <v>0</v>
      </c>
      <c r="AV710" s="146">
        <v>0.5</v>
      </c>
      <c r="AW710" s="146">
        <v>0.3</v>
      </c>
      <c r="AX710" s="146">
        <v>0.99999999900000003</v>
      </c>
      <c r="AY710" s="146">
        <v>0.36</v>
      </c>
      <c r="AZ710" s="209">
        <v>346.8021791368792</v>
      </c>
      <c r="BA710" s="146">
        <v>0.99999999900000003</v>
      </c>
      <c r="BB710" s="252">
        <v>12.714551410200542</v>
      </c>
      <c r="BC710" s="244">
        <v>69.332429875787483</v>
      </c>
      <c r="BD710" s="229">
        <v>25753.655397006383</v>
      </c>
      <c r="BE710" s="244">
        <v>14.626966575058651</v>
      </c>
      <c r="BF710" s="146">
        <v>657201.35608197004</v>
      </c>
      <c r="BG710" t="s">
        <v>389</v>
      </c>
      <c r="BH710" s="146">
        <v>3.5950815349599304E-6</v>
      </c>
      <c r="BI710" s="146">
        <v>1457536.5539700638</v>
      </c>
      <c r="BJ710">
        <f t="shared" si="45"/>
        <v>0.45089871282601685</v>
      </c>
    </row>
    <row r="711" spans="1:62" s="146" customFormat="1" x14ac:dyDescent="0.3">
      <c r="A711">
        <v>-0.1</v>
      </c>
      <c r="B711" s="146">
        <v>1000</v>
      </c>
      <c r="C711" s="146">
        <v>25</v>
      </c>
      <c r="D711" s="146">
        <v>400</v>
      </c>
      <c r="E711" s="252">
        <v>6.7339065111712104</v>
      </c>
      <c r="F711" s="146">
        <v>0.58961303563533518</v>
      </c>
      <c r="G711" s="146">
        <v>7.1967777552839305</v>
      </c>
      <c r="H711" s="146">
        <v>9.0551946635083169</v>
      </c>
      <c r="J711" s="146">
        <v>0.99999999926331484</v>
      </c>
      <c r="K711" s="146">
        <v>0.36</v>
      </c>
      <c r="L711" s="146">
        <v>46.441620348568563</v>
      </c>
      <c r="M711" s="146">
        <v>17.13010586627529</v>
      </c>
      <c r="N711" s="146">
        <v>2.2372557916894822</v>
      </c>
      <c r="Z711" s="146">
        <v>0.24706876824033805</v>
      </c>
      <c r="AL711" s="146">
        <v>1475.377924507537</v>
      </c>
      <c r="AM711" s="146">
        <v>8.1927364674063571E-2</v>
      </c>
      <c r="AN711" s="146">
        <v>0.25417095428569325</v>
      </c>
      <c r="AO711" s="146">
        <v>373.50638852462203</v>
      </c>
      <c r="AP711" s="146">
        <v>356.75002866279681</v>
      </c>
      <c r="AQ711" t="s">
        <v>383</v>
      </c>
      <c r="AR711" s="146">
        <f t="shared" si="43"/>
        <v>19.525354503836514</v>
      </c>
      <c r="AS711" s="146">
        <f t="shared" si="44"/>
        <v>5.3287291164862003</v>
      </c>
      <c r="AT711" s="146">
        <v>0.4</v>
      </c>
      <c r="AU711">
        <v>0</v>
      </c>
      <c r="AV711" s="146">
        <v>0.5</v>
      </c>
      <c r="AW711" s="146">
        <v>0.2</v>
      </c>
      <c r="AX711" s="146">
        <v>0.99999999900000003</v>
      </c>
      <c r="AY711" s="146">
        <v>0.36</v>
      </c>
      <c r="AZ711" s="209">
        <v>356.75002866279681</v>
      </c>
      <c r="BA711" s="146">
        <v>0.99999999900000003</v>
      </c>
      <c r="BB711" s="252">
        <v>10.688868254542232</v>
      </c>
      <c r="BC711" s="244">
        <v>55.021245127677268</v>
      </c>
      <c r="BD711" s="229">
        <v>19911.398311981808</v>
      </c>
      <c r="BE711" s="244">
        <v>12.204645390343783</v>
      </c>
      <c r="BF711" s="146">
        <v>654540.65531183488</v>
      </c>
      <c r="BG711" t="s">
        <v>389</v>
      </c>
      <c r="BH711" s="146">
        <v>2.9302508635377663E-6</v>
      </c>
      <c r="BI711" s="146">
        <v>1399113.9831198181</v>
      </c>
      <c r="BJ711">
        <f t="shared" si="45"/>
        <v>0.46782511161264045</v>
      </c>
    </row>
    <row r="712" spans="1:62" s="140" customFormat="1" x14ac:dyDescent="0.3">
      <c r="A712" s="140">
        <v>-0.1</v>
      </c>
      <c r="B712" s="140">
        <v>1000</v>
      </c>
      <c r="C712" s="140">
        <v>25</v>
      </c>
      <c r="D712" s="140">
        <v>400</v>
      </c>
      <c r="E712" s="253">
        <v>4.5564124409218554</v>
      </c>
      <c r="F712" s="140">
        <v>0.4671284138415282</v>
      </c>
      <c r="G712" s="140">
        <v>4.9035026782782873</v>
      </c>
      <c r="H712" s="140">
        <v>6.1992526106705226</v>
      </c>
      <c r="J712" s="140">
        <v>0.99999999928785177</v>
      </c>
      <c r="K712" s="140">
        <v>0.36</v>
      </c>
      <c r="L712" s="140">
        <v>31.820830924812277</v>
      </c>
      <c r="M712" s="140">
        <v>11.737191734561907</v>
      </c>
      <c r="N712" s="140">
        <v>1.5860771563458869</v>
      </c>
      <c r="Z712" s="140">
        <v>0.25584973801774691</v>
      </c>
      <c r="AL712" s="140">
        <v>1163.4926096130912</v>
      </c>
      <c r="AM712" s="140">
        <v>9.5264231405609398E-2</v>
      </c>
      <c r="AN712" s="140">
        <v>0.25024248126019111</v>
      </c>
      <c r="AO712" s="140">
        <v>381.79201062115311</v>
      </c>
      <c r="AP712" s="140">
        <v>370.45403144014762</v>
      </c>
      <c r="AQ712" s="146" t="s">
        <v>383</v>
      </c>
      <c r="AR712" s="140">
        <f t="shared" si="43"/>
        <v>19.525354503836514</v>
      </c>
      <c r="AS712" s="140">
        <f t="shared" si="44"/>
        <v>5.3287291164862003</v>
      </c>
      <c r="AT712" s="140">
        <v>0.4</v>
      </c>
      <c r="AU712">
        <v>0</v>
      </c>
      <c r="AV712" s="140">
        <v>0.5</v>
      </c>
      <c r="AW712" s="140">
        <v>0.1</v>
      </c>
      <c r="AX712" s="140">
        <v>0.99999999900000003</v>
      </c>
      <c r="AY712" s="140">
        <v>0.36</v>
      </c>
      <c r="AZ712" s="209">
        <v>370.45403144014762</v>
      </c>
      <c r="BA712" s="140">
        <v>0.99999999900000003</v>
      </c>
      <c r="BB712" s="253">
        <v>7.7973822569327851</v>
      </c>
      <c r="BC712" s="245">
        <v>36.617300101182373</v>
      </c>
      <c r="BD712" s="210">
        <v>12776.126975221416</v>
      </c>
      <c r="BE712" s="245">
        <v>8.7931120730848082</v>
      </c>
      <c r="BF712" s="140">
        <v>623314.48298654484</v>
      </c>
      <c r="BG712" t="s">
        <v>389</v>
      </c>
      <c r="BH712" s="140">
        <v>1.9862464042587105E-6</v>
      </c>
      <c r="BI712" s="140">
        <v>1327761.2697522142</v>
      </c>
      <c r="BJ712">
        <f t="shared" si="45"/>
        <v>0.46944770659176355</v>
      </c>
    </row>
    <row r="713" spans="1:62" s="146" customFormat="1" x14ac:dyDescent="0.3">
      <c r="A713">
        <v>-0.1</v>
      </c>
      <c r="B713" s="146">
        <v>1000</v>
      </c>
      <c r="C713" s="146">
        <v>25</v>
      </c>
      <c r="D713" s="146">
        <v>400</v>
      </c>
      <c r="E713" s="252">
        <v>19.899987443679041</v>
      </c>
      <c r="F713" s="146">
        <v>1.2241659939646057</v>
      </c>
      <c r="G713" s="146">
        <v>21.108967384447428</v>
      </c>
      <c r="H713" s="146">
        <v>25.927290949105409</v>
      </c>
      <c r="J713" s="146">
        <v>0.99999999919405835</v>
      </c>
      <c r="K713" s="146">
        <v>0.36</v>
      </c>
      <c r="L713" s="146">
        <v>132.13908145030334</v>
      </c>
      <c r="M713" s="146">
        <v>48.739825125111892</v>
      </c>
      <c r="N713" s="146">
        <v>5.7288550390279624</v>
      </c>
      <c r="Z713" s="146">
        <v>0.2209584892719241</v>
      </c>
      <c r="AL713" s="146">
        <v>3134.4087440282688</v>
      </c>
      <c r="AM713" s="146">
        <v>5.7992699105998961E-2</v>
      </c>
      <c r="AN713" s="146">
        <v>0.24720325059054715</v>
      </c>
      <c r="AO713" s="146">
        <v>319.49949122376142</v>
      </c>
      <c r="AP713" s="146">
        <v>269.98122451428389</v>
      </c>
      <c r="AQ713" t="s">
        <v>383</v>
      </c>
      <c r="AR713" s="146">
        <f t="shared" si="43"/>
        <v>19.525354503836514</v>
      </c>
      <c r="AS713" s="146">
        <f t="shared" si="44"/>
        <v>5.3287291164862003</v>
      </c>
      <c r="AT713" s="146">
        <v>0.4</v>
      </c>
      <c r="AU713">
        <v>0</v>
      </c>
      <c r="AV713" s="146">
        <v>0.5</v>
      </c>
      <c r="AW713" s="146">
        <v>3</v>
      </c>
      <c r="AX713" s="146">
        <v>0.99999999900000003</v>
      </c>
      <c r="AY713" s="146">
        <v>0.36</v>
      </c>
      <c r="AZ713" s="209">
        <v>269.98122451428389</v>
      </c>
      <c r="BA713" s="146">
        <v>0.99999999900000003</v>
      </c>
      <c r="BB713" s="252">
        <v>27.125479792721773</v>
      </c>
      <c r="BC713" s="244">
        <v>203.54973841641169</v>
      </c>
      <c r="BD713" s="229">
        <v>90551.84216178536</v>
      </c>
      <c r="BE713" s="244">
        <v>35.209039098022238</v>
      </c>
      <c r="BF713" s="146">
        <v>336701.05619595468</v>
      </c>
      <c r="BG713" t="s">
        <v>390</v>
      </c>
      <c r="BH713" s="146">
        <v>7.8839828129591633E-6</v>
      </c>
      <c r="BI713" s="146">
        <v>2105518.4216178535</v>
      </c>
      <c r="BJ713">
        <f t="shared" si="45"/>
        <v>0.1599136121246747</v>
      </c>
    </row>
    <row r="714" spans="1:62" s="146" customFormat="1" x14ac:dyDescent="0.3">
      <c r="A714">
        <v>-0.2</v>
      </c>
      <c r="B714" s="146">
        <v>1000</v>
      </c>
      <c r="C714" s="146">
        <v>25</v>
      </c>
      <c r="D714" s="146">
        <v>400</v>
      </c>
      <c r="E714" s="252">
        <v>19.89833913883075</v>
      </c>
      <c r="F714" s="146">
        <v>1.2276358453274734</v>
      </c>
      <c r="G714" s="146">
        <v>21.109266229651983</v>
      </c>
      <c r="H714" s="146">
        <v>25.927935753181597</v>
      </c>
      <c r="J714" s="146">
        <v>0.99999999919420224</v>
      </c>
      <c r="K714" s="146">
        <v>0.36</v>
      </c>
      <c r="L714" s="146">
        <v>132.1717634387422</v>
      </c>
      <c r="M714" s="146">
        <v>48.751879956913115</v>
      </c>
      <c r="N714" s="146">
        <v>5.7310420355838154</v>
      </c>
      <c r="Z714" s="146">
        <v>0.22103734327868982</v>
      </c>
      <c r="AL714" s="146">
        <v>3125.4730512271612</v>
      </c>
      <c r="AM714" s="146">
        <v>5.8156253844722713E-2</v>
      </c>
      <c r="AN714" s="146">
        <v>0.21978906185159433</v>
      </c>
      <c r="AO714" s="146">
        <v>309.4661992221138</v>
      </c>
      <c r="AP714" s="146">
        <v>259.95203343525367</v>
      </c>
      <c r="AQ714" s="146" t="s">
        <v>383</v>
      </c>
      <c r="AR714" s="146">
        <f t="shared" si="43"/>
        <v>19.525354503836514</v>
      </c>
      <c r="AS714" s="146">
        <f t="shared" si="44"/>
        <v>5.3287291164862003</v>
      </c>
      <c r="AT714" s="146">
        <v>0.4</v>
      </c>
      <c r="AU714">
        <v>0</v>
      </c>
      <c r="AV714" s="146">
        <v>0.5</v>
      </c>
      <c r="AW714" s="146">
        <v>3</v>
      </c>
      <c r="AX714" s="146">
        <v>0.99999999900000003</v>
      </c>
      <c r="AY714" s="146">
        <v>0.36</v>
      </c>
      <c r="AZ714" s="209">
        <v>259.95203343525367</v>
      </c>
      <c r="BA714" s="146">
        <v>0.99999999900000003</v>
      </c>
      <c r="BB714" s="252">
        <v>27.142927046448662</v>
      </c>
      <c r="BC714" s="244">
        <v>203.63003238971936</v>
      </c>
      <c r="BD714" s="229">
        <v>90589.568315031516</v>
      </c>
      <c r="BE714" s="244">
        <v>35.213634873279162</v>
      </c>
      <c r="BF714" s="146">
        <v>336764.6621202103</v>
      </c>
      <c r="BG714" t="s">
        <v>390</v>
      </c>
      <c r="BH714" s="146">
        <v>7.881836811544767E-6</v>
      </c>
      <c r="BI714" s="146">
        <v>2105895.6831503152</v>
      </c>
      <c r="BJ714">
        <f t="shared" si="45"/>
        <v>0.15991516807538497</v>
      </c>
    </row>
    <row r="715" spans="1:62" s="146" customFormat="1" x14ac:dyDescent="0.3">
      <c r="A715">
        <v>-0.3</v>
      </c>
      <c r="B715" s="146">
        <v>1000</v>
      </c>
      <c r="C715" s="146">
        <v>25</v>
      </c>
      <c r="D715" s="146">
        <v>400</v>
      </c>
      <c r="E715" s="252">
        <v>19.896173864951422</v>
      </c>
      <c r="F715" s="146">
        <v>1.2322149718900639</v>
      </c>
      <c r="G715" s="146">
        <v>21.109672867636839</v>
      </c>
      <c r="H715" s="146">
        <v>25.928250660956873</v>
      </c>
      <c r="J715" s="146">
        <v>0.99999999919435556</v>
      </c>
      <c r="K715" s="146">
        <v>0.36</v>
      </c>
      <c r="L715" s="146">
        <v>132.21495109700061</v>
      </c>
      <c r="M715" s="146">
        <v>48.767809830860877</v>
      </c>
      <c r="N715" s="146">
        <v>5.7333810427058154</v>
      </c>
      <c r="Z715" s="146">
        <v>0.22112486945905771</v>
      </c>
      <c r="AL715" s="146">
        <v>3113.760409053576</v>
      </c>
      <c r="AM715" s="146">
        <v>5.8372054347614645E-2</v>
      </c>
      <c r="AN715" s="146">
        <v>0.19237987010717086</v>
      </c>
      <c r="AO715" s="146">
        <v>296.57871245121606</v>
      </c>
      <c r="AP715" s="146">
        <v>247.06988770066889</v>
      </c>
      <c r="AQ715" t="s">
        <v>383</v>
      </c>
      <c r="AR715" s="146">
        <f t="shared" si="43"/>
        <v>19.525354503836514</v>
      </c>
      <c r="AS715" s="146">
        <f t="shared" si="44"/>
        <v>5.3287291164862003</v>
      </c>
      <c r="AT715" s="146">
        <v>0.4</v>
      </c>
      <c r="AU715">
        <v>0</v>
      </c>
      <c r="AV715" s="146">
        <v>0.5</v>
      </c>
      <c r="AW715" s="146">
        <v>3</v>
      </c>
      <c r="AX715" s="146">
        <v>0.99999999900000003</v>
      </c>
      <c r="AY715" s="146">
        <v>0.36</v>
      </c>
      <c r="AZ715" s="209">
        <v>247.06988770066889</v>
      </c>
      <c r="BA715" s="146">
        <v>0.99999999900000003</v>
      </c>
      <c r="BB715" s="252">
        <v>27.165964405466958</v>
      </c>
      <c r="BC715" s="244">
        <v>203.73618319031033</v>
      </c>
      <c r="BD715" s="229">
        <v>90639.918832828451</v>
      </c>
      <c r="BE715" s="244">
        <v>35.220423505843073</v>
      </c>
      <c r="BF715" s="146">
        <v>336850.18621369108</v>
      </c>
      <c r="BG715" t="s">
        <v>390</v>
      </c>
      <c r="BH715" s="146">
        <v>7.8789858444496298E-6</v>
      </c>
      <c r="BI715" s="146">
        <v>2106399.1883282848</v>
      </c>
      <c r="BJ715">
        <f t="shared" si="45"/>
        <v>0.15991754463266181</v>
      </c>
    </row>
    <row r="716" spans="1:62" s="146" customFormat="1" x14ac:dyDescent="0.3">
      <c r="A716">
        <v>-0.4</v>
      </c>
      <c r="B716" s="146">
        <v>1000</v>
      </c>
      <c r="C716" s="146">
        <v>25</v>
      </c>
      <c r="D716" s="146">
        <v>400</v>
      </c>
      <c r="E716" s="252">
        <v>19.893345290356322</v>
      </c>
      <c r="F716" s="146">
        <v>1.2385618680412089</v>
      </c>
      <c r="G716" s="146">
        <v>21.110420854093022</v>
      </c>
      <c r="H716" s="146">
        <v>25.927826841853996</v>
      </c>
      <c r="J716" s="146">
        <v>0.99999999919449312</v>
      </c>
      <c r="K716" s="146">
        <v>0.36</v>
      </c>
      <c r="L716" s="146">
        <v>132.27607661087151</v>
      </c>
      <c r="M716" s="146">
        <v>48.790356126960809</v>
      </c>
      <c r="N716" s="146">
        <v>5.7355842413777935</v>
      </c>
      <c r="Z716" s="146">
        <v>0.22121345828024147</v>
      </c>
      <c r="AL716" s="146">
        <v>3097.7102078126031</v>
      </c>
      <c r="AM716" s="146">
        <v>5.8670638382894616E-2</v>
      </c>
      <c r="AN716" s="146">
        <v>0.16498033312477065</v>
      </c>
      <c r="AO716" s="146">
        <v>279.41989864142494</v>
      </c>
      <c r="AP716" s="146">
        <v>229.91808712370891</v>
      </c>
      <c r="AQ716" s="146" t="s">
        <v>383</v>
      </c>
      <c r="AR716" s="146">
        <f t="shared" si="43"/>
        <v>19.525354503836514</v>
      </c>
      <c r="AS716" s="146">
        <f t="shared" si="44"/>
        <v>5.3287291164862003</v>
      </c>
      <c r="AT716" s="146">
        <v>0.4</v>
      </c>
      <c r="AU716">
        <v>0</v>
      </c>
      <c r="AV716" s="146">
        <v>0.5</v>
      </c>
      <c r="AW716" s="146">
        <v>3</v>
      </c>
      <c r="AX716" s="146">
        <v>0.99999999900000003</v>
      </c>
      <c r="AY716" s="146">
        <v>0.36</v>
      </c>
      <c r="AZ716" s="209">
        <v>229.91808712370891</v>
      </c>
      <c r="BA716" s="146">
        <v>0.99999999900000003</v>
      </c>
      <c r="BB716" s="252">
        <v>27.198070172011835</v>
      </c>
      <c r="BC716" s="244">
        <v>203.8865134246754</v>
      </c>
      <c r="BD716" s="229">
        <v>90712.093472966721</v>
      </c>
      <c r="BE716" s="244">
        <v>35.231338461763016</v>
      </c>
      <c r="BF716" s="146">
        <v>336978.22691356915</v>
      </c>
      <c r="BG716" t="s">
        <v>390</v>
      </c>
      <c r="BH716" s="146">
        <v>7.8749951123890541E-6</v>
      </c>
      <c r="BI716" s="146">
        <v>2107120.9347296674</v>
      </c>
      <c r="BJ716">
        <f t="shared" si="45"/>
        <v>0.15992353422125802</v>
      </c>
    </row>
    <row r="717" spans="1:62" s="146" customFormat="1" x14ac:dyDescent="0.3">
      <c r="A717">
        <v>-0.5</v>
      </c>
      <c r="B717" s="146">
        <v>1000</v>
      </c>
      <c r="C717" s="146">
        <v>25</v>
      </c>
      <c r="D717" s="146">
        <v>400</v>
      </c>
      <c r="E717" s="252">
        <v>19.889644476981033</v>
      </c>
      <c r="F717" s="146">
        <v>1.2480339201187352</v>
      </c>
      <c r="G717" s="146">
        <v>21.112090792780528</v>
      </c>
      <c r="H717" s="146">
        <v>25.925301258134727</v>
      </c>
      <c r="J717" s="146">
        <v>0.99999999919451588</v>
      </c>
      <c r="K717" s="146">
        <v>0.36</v>
      </c>
      <c r="L717" s="146">
        <v>132.37107651228658</v>
      </c>
      <c r="M717" s="146">
        <v>48.825397074204069</v>
      </c>
      <c r="N717" s="146">
        <v>5.7364421075344971</v>
      </c>
      <c r="Z717" s="146">
        <v>0.22126809831127967</v>
      </c>
      <c r="AL717" s="146">
        <v>3074.1825791014453</v>
      </c>
      <c r="AM717" s="146">
        <v>5.9114652943114084E-2</v>
      </c>
      <c r="AN717" s="146">
        <v>0.1376008585441548</v>
      </c>
      <c r="AO717" s="146">
        <v>255.45406702096531</v>
      </c>
      <c r="AP717" s="146">
        <v>205.96152533419647</v>
      </c>
      <c r="AQ717" t="s">
        <v>383</v>
      </c>
      <c r="AR717" s="146">
        <f t="shared" si="43"/>
        <v>19.525354503836514</v>
      </c>
      <c r="AS717" s="146">
        <f t="shared" si="44"/>
        <v>5.3287291164862003</v>
      </c>
      <c r="AT717" s="146">
        <v>0.4</v>
      </c>
      <c r="AU717">
        <v>0</v>
      </c>
      <c r="AV717" s="146">
        <v>0.5</v>
      </c>
      <c r="AW717" s="146">
        <v>3</v>
      </c>
      <c r="AX717" s="146">
        <v>0.99999999900000003</v>
      </c>
      <c r="AY717" s="146">
        <v>0.36</v>
      </c>
      <c r="AZ717" s="209">
        <v>205.96152533419647</v>
      </c>
      <c r="BA717" s="146">
        <v>0.99999999900000003</v>
      </c>
      <c r="BB717" s="252">
        <v>27.24650774194799</v>
      </c>
      <c r="BC717" s="244">
        <v>204.12036306897161</v>
      </c>
      <c r="BD717" s="229">
        <v>90826.411028077695</v>
      </c>
      <c r="BE717" s="244">
        <v>35.251379227079532</v>
      </c>
      <c r="BF717" s="146">
        <v>337196.5397062439</v>
      </c>
      <c r="BG717" t="s">
        <v>390</v>
      </c>
      <c r="BH717" s="146">
        <v>7.8689444305266239E-6</v>
      </c>
      <c r="BI717" s="146">
        <v>2108264.1102807769</v>
      </c>
      <c r="BJ717">
        <f t="shared" si="45"/>
        <v>0.15994036898030595</v>
      </c>
    </row>
    <row r="718" spans="1:62" s="146" customFormat="1" x14ac:dyDescent="0.3">
      <c r="A718">
        <v>-0.6</v>
      </c>
      <c r="B718" s="146">
        <v>1000</v>
      </c>
      <c r="C718" s="146">
        <v>25</v>
      </c>
      <c r="D718" s="146">
        <v>400</v>
      </c>
      <c r="E718" s="252">
        <v>19.884194520688876</v>
      </c>
      <c r="F718" s="146">
        <v>1.2640664891688012</v>
      </c>
      <c r="G718" s="146">
        <v>21.115805374417135</v>
      </c>
      <c r="H718" s="146">
        <v>25.91427987711317</v>
      </c>
      <c r="J718" s="146">
        <v>0.99999999919398064</v>
      </c>
      <c r="K718" s="146">
        <v>0.36</v>
      </c>
      <c r="L718" s="146">
        <v>132.53949517474024</v>
      </c>
      <c r="M718" s="146">
        <v>48.887518711994353</v>
      </c>
      <c r="N718" s="146">
        <v>5.7302965553208551</v>
      </c>
      <c r="Z718" s="146">
        <v>0.22112505469934771</v>
      </c>
      <c r="AL718" s="146">
        <v>3035.3550431462718</v>
      </c>
      <c r="AM718" s="146">
        <v>5.9863522454146195E-2</v>
      </c>
      <c r="AN718" s="146">
        <v>0.11027521675097447</v>
      </c>
      <c r="AO718" s="146">
        <v>219.68573622855141</v>
      </c>
      <c r="AP718" s="146">
        <v>170.20676548584541</v>
      </c>
      <c r="AQ718" s="146" t="s">
        <v>383</v>
      </c>
      <c r="AR718" s="146">
        <f t="shared" si="43"/>
        <v>19.525354503836514</v>
      </c>
      <c r="AS718" s="146">
        <f t="shared" si="44"/>
        <v>5.3287291164862003</v>
      </c>
      <c r="AT718" s="146">
        <v>0.4</v>
      </c>
      <c r="AU718">
        <v>0</v>
      </c>
      <c r="AV718" s="146">
        <v>0.5</v>
      </c>
      <c r="AW718" s="146">
        <v>3</v>
      </c>
      <c r="AX718" s="146">
        <v>0.99999999900000003</v>
      </c>
      <c r="AY718" s="146">
        <v>0.36</v>
      </c>
      <c r="AZ718" s="209">
        <v>170.20676548584541</v>
      </c>
      <c r="BA718" s="146">
        <v>0.99999999900000003</v>
      </c>
      <c r="BB718" s="252">
        <v>27.329335549354994</v>
      </c>
      <c r="BC718" s="244">
        <v>204.5355677523799</v>
      </c>
      <c r="BD718" s="229">
        <v>91035.077632660978</v>
      </c>
      <c r="BE718" s="244">
        <v>35.295475905165063</v>
      </c>
      <c r="BF718" s="146">
        <v>337620.66948522581</v>
      </c>
      <c r="BG718" t="s">
        <v>390</v>
      </c>
      <c r="BH718" s="146">
        <v>7.8583612370202194E-6</v>
      </c>
      <c r="BI718" s="146">
        <v>2110350.7763266098</v>
      </c>
      <c r="BJ718">
        <f t="shared" si="45"/>
        <v>0.15998319960481003</v>
      </c>
    </row>
    <row r="719" spans="1:62" s="146" customFormat="1" x14ac:dyDescent="0.3">
      <c r="A719">
        <v>-0.7</v>
      </c>
      <c r="B719" s="146">
        <v>1000</v>
      </c>
      <c r="C719" s="146">
        <v>25</v>
      </c>
      <c r="D719" s="146">
        <v>400</v>
      </c>
      <c r="E719" s="252">
        <v>19.879182237246621</v>
      </c>
      <c r="F719" s="146">
        <v>1.3009806876215619</v>
      </c>
      <c r="G719" s="146">
        <v>21.132499826677417</v>
      </c>
      <c r="H719" s="146">
        <v>25.859979661286108</v>
      </c>
      <c r="J719" s="146">
        <v>0.99999999918952653</v>
      </c>
      <c r="K719" s="146">
        <v>0.36</v>
      </c>
      <c r="L719" s="146">
        <v>133.00190423996926</v>
      </c>
      <c r="M719" s="146">
        <v>49.05807943277555</v>
      </c>
      <c r="N719" s="146">
        <v>5.6793838032483102</v>
      </c>
      <c r="Z719" s="146">
        <v>0.21962058275516272</v>
      </c>
      <c r="AL719" s="146">
        <v>2951.3107460671795</v>
      </c>
      <c r="AM719" s="146">
        <v>6.1563028429756299E-2</v>
      </c>
      <c r="AN719" s="146">
        <v>8.3206215193316294E-2</v>
      </c>
      <c r="AO719" s="146">
        <v>161.08536855016743</v>
      </c>
      <c r="AP719" s="146">
        <v>111.61884444302164</v>
      </c>
      <c r="AQ719" t="s">
        <v>383</v>
      </c>
      <c r="AR719" s="146">
        <f t="shared" si="43"/>
        <v>19.525354503836514</v>
      </c>
      <c r="AS719" s="146">
        <f t="shared" si="44"/>
        <v>5.3287291164862003</v>
      </c>
      <c r="AT719" s="146">
        <v>0.4</v>
      </c>
      <c r="AU719">
        <v>0</v>
      </c>
      <c r="AV719" s="146">
        <v>0.5</v>
      </c>
      <c r="AW719" s="146">
        <v>3</v>
      </c>
      <c r="AX719" s="146">
        <v>0.99999999900000003</v>
      </c>
      <c r="AY719" s="146">
        <v>0.36</v>
      </c>
      <c r="AZ719" s="209">
        <v>111.61884444302164</v>
      </c>
      <c r="BA719" s="146">
        <v>0.99999999900000003</v>
      </c>
      <c r="BB719" s="252">
        <v>27.527703000389366</v>
      </c>
      <c r="BC719" s="244">
        <v>205.67971042022828</v>
      </c>
      <c r="BD719" s="229">
        <v>91633.141787517874</v>
      </c>
      <c r="BE719" s="244">
        <v>35.451187827778277</v>
      </c>
      <c r="BF719" s="146">
        <v>339047.36668220797</v>
      </c>
      <c r="BG719" t="s">
        <v>390</v>
      </c>
      <c r="BH719" s="146">
        <v>7.8317384253810275E-6</v>
      </c>
      <c r="BI719" s="146">
        <v>2116331.4178751786</v>
      </c>
      <c r="BJ719">
        <f t="shared" si="45"/>
        <v>0.16020523242177989</v>
      </c>
    </row>
    <row r="720" spans="1:62" s="146" customFormat="1" x14ac:dyDescent="0.3">
      <c r="A720">
        <v>-0.8</v>
      </c>
      <c r="B720" s="146">
        <v>1000</v>
      </c>
      <c r="C720" s="146">
        <v>25</v>
      </c>
      <c r="D720" s="146">
        <v>400</v>
      </c>
      <c r="E720" s="252">
        <v>20.845965216979067</v>
      </c>
      <c r="F720" s="146">
        <v>1.7362468653176804</v>
      </c>
      <c r="G720" s="146">
        <v>22.449496902007407</v>
      </c>
      <c r="H720" s="146">
        <v>25.987148394551454</v>
      </c>
      <c r="J720" s="146">
        <v>0.99999999903452685</v>
      </c>
      <c r="K720" s="146">
        <v>0.36</v>
      </c>
      <c r="L720" s="146">
        <v>150.74503145723841</v>
      </c>
      <c r="M720" s="146">
        <v>55.602675537505988</v>
      </c>
      <c r="N720" s="146">
        <v>4.7734790503939344</v>
      </c>
      <c r="Z720" s="146">
        <v>0.18368614277797238</v>
      </c>
      <c r="AL720" s="146">
        <v>2410.0489174996769</v>
      </c>
      <c r="AM720" s="146">
        <v>7.7340123607065214E-2</v>
      </c>
      <c r="AN720" s="146">
        <v>6.4177302691832444E-2</v>
      </c>
      <c r="AO720" s="146">
        <v>75.181655466613449</v>
      </c>
      <c r="AP720" s="146">
        <v>23.309392302711004</v>
      </c>
      <c r="AQ720" s="146" t="s">
        <v>383</v>
      </c>
      <c r="AR720" s="146">
        <f t="shared" si="43"/>
        <v>19.525354503836514</v>
      </c>
      <c r="AS720" s="146">
        <f t="shared" si="44"/>
        <v>5.3287291164862003</v>
      </c>
      <c r="AT720" s="146">
        <v>0.4</v>
      </c>
      <c r="AU720">
        <v>0</v>
      </c>
      <c r="AV720" s="146">
        <v>0.5</v>
      </c>
      <c r="AW720" s="146">
        <v>3</v>
      </c>
      <c r="AX720" s="146">
        <v>0.99999999900000003</v>
      </c>
      <c r="AY720" s="146">
        <v>0.36</v>
      </c>
      <c r="AZ720" s="209">
        <v>23.309392302711004</v>
      </c>
      <c r="BA720" s="146">
        <v>0.99999999900000003</v>
      </c>
      <c r="BB720" s="252">
        <v>30.896672671149307</v>
      </c>
      <c r="BC720" s="244">
        <v>254.96253193401844</v>
      </c>
      <c r="BD720" s="229">
        <v>115880.18366244214</v>
      </c>
      <c r="BE720" s="244">
        <v>39.200769013781553</v>
      </c>
      <c r="BF720" s="146">
        <v>427526.05724769417</v>
      </c>
      <c r="BG720" t="s">
        <v>390</v>
      </c>
      <c r="BH720" s="146">
        <v>7.2099150722128744E-6</v>
      </c>
      <c r="BI720" s="146">
        <v>2358801.8366244212</v>
      </c>
      <c r="BJ720">
        <f t="shared" si="45"/>
        <v>0.18124712750754346</v>
      </c>
    </row>
    <row r="721" spans="1:62" s="227" customFormat="1" x14ac:dyDescent="0.3">
      <c r="A721" s="280">
        <v>-0.85</v>
      </c>
      <c r="B721" s="227">
        <v>1000</v>
      </c>
      <c r="C721" s="227">
        <v>25</v>
      </c>
      <c r="D721" s="227">
        <v>400</v>
      </c>
      <c r="E721" s="281">
        <v>14.063279803491895</v>
      </c>
      <c r="F721" s="227">
        <v>1.0790079184825729</v>
      </c>
      <c r="G721" s="227">
        <v>14.997311733165061</v>
      </c>
      <c r="H721" s="227">
        <v>18.451766821633033</v>
      </c>
      <c r="J721" s="227">
        <v>0.99999999916365134</v>
      </c>
      <c r="K721" s="227">
        <v>0.36</v>
      </c>
      <c r="L721" s="227">
        <v>98.406017927140837</v>
      </c>
      <c r="M721" s="227">
        <v>36.297301694437195</v>
      </c>
      <c r="N721" s="227">
        <v>4.1912230331876046</v>
      </c>
      <c r="Z721" s="227">
        <v>0.22714480806649764</v>
      </c>
      <c r="AL721" s="227">
        <v>2150.8620148309069</v>
      </c>
      <c r="AM721" s="227">
        <v>7.1946755370594473E-2</v>
      </c>
      <c r="AN721" s="227">
        <v>4.5401293226387286E-2</v>
      </c>
      <c r="AO721" s="227">
        <v>90.244951099359866</v>
      </c>
      <c r="AP721" s="227">
        <v>55.250498237103997</v>
      </c>
      <c r="AQ721" s="280" t="s">
        <v>383</v>
      </c>
      <c r="AR721" s="227">
        <f t="shared" si="43"/>
        <v>19.525354503836514</v>
      </c>
      <c r="AS721" s="227">
        <f t="shared" si="44"/>
        <v>5.3287291164862003</v>
      </c>
      <c r="AT721" s="227">
        <v>0.4</v>
      </c>
      <c r="AU721" s="280">
        <v>0</v>
      </c>
      <c r="AV721" s="227">
        <v>0.5</v>
      </c>
      <c r="AW721" s="227">
        <v>3</v>
      </c>
      <c r="AX721" s="227">
        <v>0.99999999900000003</v>
      </c>
      <c r="AY721" s="227">
        <v>0.36</v>
      </c>
      <c r="AZ721" s="282">
        <v>55.250498237103997</v>
      </c>
      <c r="BA721" s="227">
        <v>0.99999999900000003</v>
      </c>
      <c r="BB721" s="281">
        <v>20.677375728514839</v>
      </c>
      <c r="BC721" s="283">
        <v>133.37935086704397</v>
      </c>
      <c r="BD721" s="284">
        <v>54641.179441712869</v>
      </c>
      <c r="BE721" s="283">
        <v>24.431837305707869</v>
      </c>
      <c r="BF721" s="227">
        <v>631959.96355519607</v>
      </c>
      <c r="BG721" s="280" t="s">
        <v>390</v>
      </c>
      <c r="BH721" s="227">
        <v>5.5889878265166544E-6</v>
      </c>
      <c r="BI721" s="227">
        <v>1746411.7944171287</v>
      </c>
      <c r="BJ721">
        <f t="shared" si="45"/>
        <v>0.36186194205480332</v>
      </c>
    </row>
    <row r="722" spans="1:62" s="292" customFormat="1" ht="15" thickBot="1" x14ac:dyDescent="0.35">
      <c r="A722" s="292">
        <v>-0.87</v>
      </c>
      <c r="B722" s="292">
        <v>1000</v>
      </c>
      <c r="C722" s="292">
        <v>25</v>
      </c>
      <c r="D722" s="292">
        <v>400</v>
      </c>
      <c r="E722" s="293">
        <v>4.4300257815805928</v>
      </c>
      <c r="F722" s="292">
        <v>0.49878407782911399</v>
      </c>
      <c r="G722" s="292">
        <v>4.7914129665334029</v>
      </c>
      <c r="H722" s="292">
        <v>6.0735712443335279</v>
      </c>
      <c r="J722" s="292">
        <v>0.99999999929886429</v>
      </c>
      <c r="K722" s="292">
        <v>0.36</v>
      </c>
      <c r="L722" s="292">
        <v>31.263568940565257</v>
      </c>
      <c r="M722" s="292">
        <v>11.531644281356037</v>
      </c>
      <c r="N722" s="292">
        <v>1.5875478911029441</v>
      </c>
      <c r="Z722" s="292">
        <v>0.26138623014986151</v>
      </c>
      <c r="AL722" s="292">
        <v>1059.1831256250618</v>
      </c>
      <c r="AM722" s="292">
        <v>0.10409958008482523</v>
      </c>
      <c r="AN722" s="292">
        <v>3.585116849792528E-2</v>
      </c>
      <c r="AO722" s="292">
        <v>276.43287604874132</v>
      </c>
      <c r="AP722" s="292">
        <v>265.40918007359039</v>
      </c>
      <c r="AQ722" s="227" t="s">
        <v>383</v>
      </c>
      <c r="AR722" s="292">
        <f t="shared" si="43"/>
        <v>19.525354503836514</v>
      </c>
      <c r="AS722" s="292">
        <f t="shared" si="44"/>
        <v>5.3287291164862003</v>
      </c>
      <c r="AT722" s="292">
        <v>0.4</v>
      </c>
      <c r="AU722" s="280">
        <v>0</v>
      </c>
      <c r="AV722" s="292">
        <v>0.5</v>
      </c>
      <c r="AW722" s="292">
        <v>3</v>
      </c>
      <c r="AX722" s="292">
        <v>0.99999999900000003</v>
      </c>
      <c r="AY722" s="292">
        <v>0.36</v>
      </c>
      <c r="AZ722" s="294">
        <v>265.40918007359039</v>
      </c>
      <c r="BA722" s="292">
        <v>0.99999999900000003</v>
      </c>
      <c r="BB722" s="293">
        <v>7.8899893821446803</v>
      </c>
      <c r="BC722" s="295">
        <v>35.938206896448641</v>
      </c>
      <c r="BD722" s="294">
        <v>12610.664925706009</v>
      </c>
      <c r="BE722" s="295">
        <v>8.8598515188525973</v>
      </c>
      <c r="BF722" s="292">
        <v>896699.04091131</v>
      </c>
      <c r="BG722" s="280" t="s">
        <v>390</v>
      </c>
      <c r="BH722" s="292">
        <v>1.6047309519220513E-6</v>
      </c>
      <c r="BI722" s="292">
        <v>1326106.6492570601</v>
      </c>
      <c r="BJ722">
        <f t="shared" si="45"/>
        <v>0.67618923516723028</v>
      </c>
    </row>
    <row r="723" spans="1:62" x14ac:dyDescent="0.3">
      <c r="A723">
        <v>-0.1</v>
      </c>
      <c r="B723" s="146">
        <v>100</v>
      </c>
      <c r="C723" s="146">
        <v>25</v>
      </c>
      <c r="D723" s="146">
        <v>400</v>
      </c>
      <c r="E723" s="249">
        <v>3.1671614050791597</v>
      </c>
      <c r="F723">
        <v>0.75747499639402149</v>
      </c>
      <c r="G723">
        <v>3.762769964441163</v>
      </c>
      <c r="H723">
        <v>1.8703183180941791</v>
      </c>
      <c r="J723">
        <v>0.30364878379847815</v>
      </c>
      <c r="K723">
        <v>0.18</v>
      </c>
      <c r="L723">
        <v>18.818077626061392</v>
      </c>
      <c r="M723">
        <v>9.3699971582048445</v>
      </c>
      <c r="N723">
        <v>0.62211819240433197</v>
      </c>
      <c r="Z723">
        <v>0.33262690440751241</v>
      </c>
      <c r="AL723">
        <v>687.40295496680676</v>
      </c>
      <c r="AM723">
        <v>0.20130781407109477</v>
      </c>
      <c r="AN723">
        <v>0.20076965034870745</v>
      </c>
      <c r="AO723">
        <v>384.22489953248282</v>
      </c>
      <c r="AP723">
        <v>376.34385876464057</v>
      </c>
      <c r="AQ723" t="s">
        <v>384</v>
      </c>
      <c r="AR723">
        <f t="shared" ref="AR723:AR762" si="46">0.3*Jsat_t</f>
        <v>9.762677251918257</v>
      </c>
      <c r="AS723">
        <f t="shared" ref="AS723:AS762" si="47">0.1*Jatp</f>
        <v>2.6643645582431001</v>
      </c>
      <c r="AT723">
        <v>0.2</v>
      </c>
      <c r="AU723">
        <v>0</v>
      </c>
      <c r="AV723">
        <v>0.3</v>
      </c>
      <c r="AW723">
        <v>3</v>
      </c>
      <c r="AX723">
        <v>0.19717667771383751</v>
      </c>
      <c r="AY723">
        <v>0.18</v>
      </c>
      <c r="AZ723" s="209">
        <v>376.34385876464057</v>
      </c>
      <c r="BA723">
        <v>0.19717667771383751</v>
      </c>
      <c r="BB723" s="249">
        <v>8.9889077020220718</v>
      </c>
      <c r="BC723" s="243">
        <v>69.931391014732199</v>
      </c>
      <c r="BD723" s="209">
        <v>25545.247757087054</v>
      </c>
      <c r="BE723" s="243">
        <v>16.817033451264859</v>
      </c>
      <c r="BF723">
        <v>17838.81644229246</v>
      </c>
      <c r="BG723" t="s">
        <v>387</v>
      </c>
      <c r="BH723">
        <v>1.9440679361297675E-6</v>
      </c>
      <c r="BI723">
        <v>1455452.4775708704</v>
      </c>
      <c r="BJ723">
        <f t="shared" si="45"/>
        <v>1.2256543389218172E-2</v>
      </c>
    </row>
    <row r="724" spans="1:62" x14ac:dyDescent="0.3">
      <c r="A724">
        <v>-0.1</v>
      </c>
      <c r="B724" s="146">
        <v>200</v>
      </c>
      <c r="C724" s="146">
        <v>25</v>
      </c>
      <c r="D724" s="146">
        <v>400</v>
      </c>
      <c r="E724" s="252">
        <v>5.8602490753147318</v>
      </c>
      <c r="F724" s="146">
        <v>1.3567596566783684</v>
      </c>
      <c r="G724" s="146">
        <v>6.8586457060031139</v>
      </c>
      <c r="H724" s="146">
        <v>3.4566626995734571</v>
      </c>
      <c r="I724" s="146"/>
      <c r="J724" s="146">
        <v>0.30173748170407388</v>
      </c>
      <c r="K724" s="146">
        <v>0.18</v>
      </c>
      <c r="L724" s="146">
        <v>34.847849422800792</v>
      </c>
      <c r="M724" s="146">
        <v>17.351626268614503</v>
      </c>
      <c r="N724" s="146">
        <v>0.97433068032638914</v>
      </c>
      <c r="O724" s="146"/>
      <c r="P724" s="146"/>
      <c r="Q724" s="146"/>
      <c r="R724" s="146"/>
      <c r="S724" s="146"/>
      <c r="T724" s="146"/>
      <c r="U724" s="146"/>
      <c r="V724" s="146"/>
      <c r="W724" s="146"/>
      <c r="X724" s="146"/>
      <c r="Y724" s="146"/>
      <c r="Z724" s="146">
        <v>0.28187033708745113</v>
      </c>
      <c r="AA724" s="146"/>
      <c r="AB724" s="146"/>
      <c r="AC724" s="146"/>
      <c r="AD724" s="146"/>
      <c r="AE724" s="146"/>
      <c r="AF724" s="146"/>
      <c r="AG724" s="146"/>
      <c r="AH724" s="146"/>
      <c r="AI724" s="146"/>
      <c r="AJ724" s="146"/>
      <c r="AK724" s="146"/>
      <c r="AL724" s="146">
        <v>846.53365897640856</v>
      </c>
      <c r="AM724" s="146">
        <v>0.19781742851811807</v>
      </c>
      <c r="AN724" s="146">
        <v>0.22496795153374319</v>
      </c>
      <c r="AO724" s="146">
        <v>373.95073815909399</v>
      </c>
      <c r="AP724" s="146">
        <v>359.36831881321399</v>
      </c>
      <c r="AQ724" t="s">
        <v>384</v>
      </c>
      <c r="AR724">
        <f t="shared" si="46"/>
        <v>9.762677251918257</v>
      </c>
      <c r="AS724">
        <f t="shared" si="47"/>
        <v>2.6643645582431001</v>
      </c>
      <c r="AT724">
        <v>0.2</v>
      </c>
      <c r="AU724">
        <v>0</v>
      </c>
      <c r="AV724">
        <v>0.3</v>
      </c>
      <c r="AW724" s="146">
        <v>3</v>
      </c>
      <c r="AX724" s="146">
        <v>0.20600407747574837</v>
      </c>
      <c r="AY724">
        <v>0.18</v>
      </c>
      <c r="AZ724" s="209">
        <v>359.36831881321399</v>
      </c>
      <c r="BA724">
        <v>0.20600407747574837</v>
      </c>
      <c r="BB724" s="249">
        <v>16.155933098390335</v>
      </c>
      <c r="BC724" s="243">
        <v>101.89021041411569</v>
      </c>
      <c r="BD724" s="209">
        <v>41061.643634833054</v>
      </c>
      <c r="BE724" s="243">
        <v>26.116510525563299</v>
      </c>
      <c r="BF724">
        <v>49704.991760918667</v>
      </c>
      <c r="BG724" t="s">
        <v>387</v>
      </c>
      <c r="BH724">
        <v>3.3156165027275018E-6</v>
      </c>
      <c r="BI724">
        <v>1610616.4363483305</v>
      </c>
      <c r="BJ724">
        <f t="shared" si="45"/>
        <v>3.086084969653749E-2</v>
      </c>
    </row>
    <row r="725" spans="1:62" x14ac:dyDescent="0.3">
      <c r="A725">
        <v>-0.1</v>
      </c>
      <c r="B725" s="146">
        <v>300</v>
      </c>
      <c r="C725" s="146">
        <v>25</v>
      </c>
      <c r="D725" s="146">
        <v>400</v>
      </c>
      <c r="E725" s="252">
        <v>8.173640059369605</v>
      </c>
      <c r="F725" s="146">
        <v>1.8821779898160969</v>
      </c>
      <c r="G725" s="146">
        <v>9.5107876918138441</v>
      </c>
      <c r="H725" s="146">
        <v>4.8535388575441507</v>
      </c>
      <c r="I725" s="146"/>
      <c r="J725" s="146">
        <v>0.30173351952141247</v>
      </c>
      <c r="K725" s="146">
        <v>0.18</v>
      </c>
      <c r="L725" s="146">
        <v>49.002805349471096</v>
      </c>
      <c r="M725" s="146">
        <v>24.399737103471089</v>
      </c>
      <c r="N725" s="146">
        <v>1.2299349120765188</v>
      </c>
      <c r="O725" s="146"/>
      <c r="P725" s="146"/>
      <c r="Q725" s="146"/>
      <c r="R725" s="146"/>
      <c r="S725" s="146"/>
      <c r="T725" s="146"/>
      <c r="U725" s="146"/>
      <c r="V725" s="146"/>
      <c r="W725" s="146"/>
      <c r="X725" s="146"/>
      <c r="Y725" s="146"/>
      <c r="Z725" s="146">
        <v>0.25340992380533972</v>
      </c>
      <c r="AA725" s="146"/>
      <c r="AB725" s="146"/>
      <c r="AC725" s="146"/>
      <c r="AD725" s="146"/>
      <c r="AE725" s="146"/>
      <c r="AF725" s="146"/>
      <c r="AG725" s="146"/>
      <c r="AH725" s="146"/>
      <c r="AI725" s="146"/>
      <c r="AJ725" s="146"/>
      <c r="AK725" s="146"/>
      <c r="AL725" s="146">
        <v>960.33705688645534</v>
      </c>
      <c r="AM725" s="146">
        <v>0.19789927509749072</v>
      </c>
      <c r="AN725" s="146">
        <v>0.23835854107571769</v>
      </c>
      <c r="AO725" s="146">
        <v>365.70863363032106</v>
      </c>
      <c r="AP725" s="146">
        <v>345.369600848196</v>
      </c>
      <c r="AQ725" t="s">
        <v>384</v>
      </c>
      <c r="AR725">
        <f t="shared" si="46"/>
        <v>9.762677251918257</v>
      </c>
      <c r="AS725">
        <f t="shared" si="47"/>
        <v>2.6643645582431001</v>
      </c>
      <c r="AT725">
        <v>0.2</v>
      </c>
      <c r="AU725">
        <v>0</v>
      </c>
      <c r="AV725">
        <v>0.3</v>
      </c>
      <c r="AW725" s="146">
        <v>3</v>
      </c>
      <c r="AX725" s="146">
        <v>0.21194872351396707</v>
      </c>
      <c r="AY725">
        <v>0.18</v>
      </c>
      <c r="AZ725" s="209">
        <v>345.369600848196</v>
      </c>
      <c r="BA725">
        <v>0.21194872351396707</v>
      </c>
      <c r="BB725" s="249">
        <v>22.338651427262835</v>
      </c>
      <c r="BC725" s="243">
        <v>124.88200187217893</v>
      </c>
      <c r="BD725" s="209">
        <v>53572.804555902323</v>
      </c>
      <c r="BE725" s="243">
        <v>33.541453142297193</v>
      </c>
      <c r="BF725">
        <v>86162.244691957327</v>
      </c>
      <c r="BG725" t="s">
        <v>387</v>
      </c>
      <c r="BH725">
        <v>4.2642814418458995E-6</v>
      </c>
      <c r="BI725">
        <v>1735728.0455590233</v>
      </c>
      <c r="BJ725">
        <f t="shared" si="45"/>
        <v>4.9640405887552037E-2</v>
      </c>
    </row>
    <row r="726" spans="1:62" x14ac:dyDescent="0.3">
      <c r="A726">
        <v>-0.1</v>
      </c>
      <c r="B726" s="146">
        <v>400</v>
      </c>
      <c r="C726" s="146">
        <v>25</v>
      </c>
      <c r="D726" s="146">
        <v>400</v>
      </c>
      <c r="E726" s="252">
        <v>10.187264096477502</v>
      </c>
      <c r="F726" s="146">
        <v>2.3550693390763264</v>
      </c>
      <c r="G726" s="146">
        <v>11.822265606669269</v>
      </c>
      <c r="H726" s="146">
        <v>6.1020145014804728</v>
      </c>
      <c r="I726" s="146"/>
      <c r="J726" s="146">
        <v>0.30237375293876939</v>
      </c>
      <c r="K726" s="146">
        <v>0.18</v>
      </c>
      <c r="L726" s="146">
        <v>61.682194823908027</v>
      </c>
      <c r="M726" s="146">
        <v>30.713126053398192</v>
      </c>
      <c r="N726" s="146">
        <v>1.4304620496758087</v>
      </c>
      <c r="O726" s="146"/>
      <c r="P726" s="146"/>
      <c r="Q726" s="146"/>
      <c r="R726" s="146"/>
      <c r="S726" s="146"/>
      <c r="T726" s="146"/>
      <c r="U726" s="146"/>
      <c r="V726" s="146"/>
      <c r="W726" s="146"/>
      <c r="X726" s="146"/>
      <c r="Y726" s="146"/>
      <c r="Z726" s="146">
        <v>0.23442455755042035</v>
      </c>
      <c r="AA726" s="146"/>
      <c r="AB726" s="146"/>
      <c r="AC726" s="146"/>
      <c r="AD726" s="146"/>
      <c r="AE726" s="146"/>
      <c r="AF726" s="146"/>
      <c r="AG726" s="146"/>
      <c r="AH726" s="146"/>
      <c r="AI726" s="146"/>
      <c r="AJ726" s="146"/>
      <c r="AK726" s="146"/>
      <c r="AL726" s="146">
        <v>1048.6995025913973</v>
      </c>
      <c r="AM726" s="146">
        <v>0.19920626193238006</v>
      </c>
      <c r="AN726" s="146">
        <v>0.24737196427481811</v>
      </c>
      <c r="AO726" s="146">
        <v>358.81803289090612</v>
      </c>
      <c r="AP726" s="146">
        <v>333.46847775349306</v>
      </c>
      <c r="AQ726" t="s">
        <v>384</v>
      </c>
      <c r="AR726">
        <f t="shared" si="46"/>
        <v>9.762677251918257</v>
      </c>
      <c r="AS726">
        <f t="shared" si="47"/>
        <v>2.6643645582431001</v>
      </c>
      <c r="AT726">
        <v>0.2</v>
      </c>
      <c r="AU726">
        <v>0</v>
      </c>
      <c r="AV726">
        <v>0.3</v>
      </c>
      <c r="AW726" s="146">
        <v>3</v>
      </c>
      <c r="AX726" s="146">
        <v>0.21633447563450797</v>
      </c>
      <c r="AY726">
        <v>0.18</v>
      </c>
      <c r="AZ726" s="209">
        <v>333.46847775349306</v>
      </c>
      <c r="BA726">
        <v>0.21633447563450797</v>
      </c>
      <c r="BB726" s="249">
        <v>27.800971588924988</v>
      </c>
      <c r="BC726" s="243">
        <v>143.16558655164852</v>
      </c>
      <c r="BD726" s="209">
        <v>64224.544440249963</v>
      </c>
      <c r="BE726" s="243">
        <v>39.821149709792735</v>
      </c>
      <c r="BF726">
        <v>124262.88048452477</v>
      </c>
      <c r="BG726" t="s">
        <v>387</v>
      </c>
      <c r="BH726">
        <v>4.9508934002775279E-6</v>
      </c>
      <c r="BI726">
        <v>1842245.4444024996</v>
      </c>
      <c r="BJ726">
        <f t="shared" si="45"/>
        <v>6.7451859285138457E-2</v>
      </c>
    </row>
    <row r="727" spans="1:62" x14ac:dyDescent="0.3">
      <c r="A727">
        <v>-0.1</v>
      </c>
      <c r="B727" s="146">
        <v>600</v>
      </c>
      <c r="C727" s="146">
        <v>25</v>
      </c>
      <c r="D727" s="146">
        <v>400</v>
      </c>
      <c r="E727" s="252">
        <v>13.518981541072334</v>
      </c>
      <c r="F727" s="146">
        <v>3.1800638516721298</v>
      </c>
      <c r="G727" s="146">
        <v>15.662254092072153</v>
      </c>
      <c r="H727" s="146">
        <v>8.2423619688174199</v>
      </c>
      <c r="I727" s="146"/>
      <c r="J727" s="146">
        <v>0.30399807900175196</v>
      </c>
      <c r="K727" s="146">
        <v>0.18</v>
      </c>
      <c r="L727" s="146">
        <v>83.479124444607891</v>
      </c>
      <c r="M727" s="146">
        <v>41.566369018062034</v>
      </c>
      <c r="N727" s="146">
        <v>1.7319311561207291</v>
      </c>
      <c r="O727" s="146"/>
      <c r="P727" s="146"/>
      <c r="Q727" s="146"/>
      <c r="R727" s="146"/>
      <c r="S727" s="146"/>
      <c r="T727" s="146"/>
      <c r="U727" s="146"/>
      <c r="V727" s="146"/>
      <c r="W727" s="146"/>
      <c r="X727" s="146"/>
      <c r="Y727" s="146"/>
      <c r="Z727" s="146">
        <v>0.21012558811090645</v>
      </c>
      <c r="AA727" s="146"/>
      <c r="AB727" s="146"/>
      <c r="AC727" s="146"/>
      <c r="AD727" s="146"/>
      <c r="AE727" s="146"/>
      <c r="AF727" s="146"/>
      <c r="AG727" s="146"/>
      <c r="AH727" s="146"/>
      <c r="AI727" s="146"/>
      <c r="AJ727" s="146"/>
      <c r="AK727" s="146"/>
      <c r="AL727" s="146">
        <v>1180.1074645113051</v>
      </c>
      <c r="AM727" s="146">
        <v>0.20303998600570525</v>
      </c>
      <c r="AN727" s="146">
        <v>0.2588952807607342</v>
      </c>
      <c r="AO727" s="146">
        <v>347.78204723798615</v>
      </c>
      <c r="AP727" s="146">
        <v>314.14188645094146</v>
      </c>
      <c r="AQ727" t="s">
        <v>384</v>
      </c>
      <c r="AR727">
        <f t="shared" si="46"/>
        <v>9.762677251918257</v>
      </c>
      <c r="AS727">
        <f t="shared" si="47"/>
        <v>2.6643645582431001</v>
      </c>
      <c r="AT727">
        <v>0.2</v>
      </c>
      <c r="AU727">
        <v>0</v>
      </c>
      <c r="AV727">
        <v>0.3</v>
      </c>
      <c r="AW727" s="146">
        <v>3</v>
      </c>
      <c r="AX727" s="146">
        <v>0.2224104918756733</v>
      </c>
      <c r="AY727">
        <v>0.18</v>
      </c>
      <c r="AZ727" s="209">
        <v>314.14188645094146</v>
      </c>
      <c r="BA727">
        <v>0.2224104918756733</v>
      </c>
      <c r="BB727" s="249">
        <v>37.086362214916861</v>
      </c>
      <c r="BC727" s="243">
        <v>171.12239809119143</v>
      </c>
      <c r="BD727" s="209">
        <v>81677.762400711217</v>
      </c>
      <c r="BE727" s="243">
        <v>50.173851974310217</v>
      </c>
      <c r="BF727">
        <v>200336.68663848171</v>
      </c>
      <c r="BG727" t="s">
        <v>387</v>
      </c>
      <c r="BH727">
        <v>5.8553896670300169E-6</v>
      </c>
      <c r="BI727">
        <v>2016777.6240071121</v>
      </c>
      <c r="BJ727">
        <f t="shared" si="45"/>
        <v>9.9335040340459091E-2</v>
      </c>
    </row>
    <row r="728" spans="1:62" x14ac:dyDescent="0.3">
      <c r="A728">
        <v>-0.1</v>
      </c>
      <c r="B728" s="146">
        <v>800</v>
      </c>
      <c r="C728" s="146">
        <v>25</v>
      </c>
      <c r="D728" s="146">
        <v>400</v>
      </c>
      <c r="E728" s="252">
        <v>16.110804772646063</v>
      </c>
      <c r="F728" s="146">
        <v>3.8627298070391713</v>
      </c>
      <c r="G728" s="146">
        <v>18.665438221122546</v>
      </c>
      <c r="H728" s="146">
        <v>9.988400522403003</v>
      </c>
      <c r="I728" s="146"/>
      <c r="J728" s="146">
        <v>0.30663187473197978</v>
      </c>
      <c r="K728" s="146">
        <v>0.18</v>
      </c>
      <c r="L728" s="146">
        <v>101.31988003319388</v>
      </c>
      <c r="M728" s="146">
        <v>50.449732796611066</v>
      </c>
      <c r="N728" s="146">
        <v>1.9417522891295587</v>
      </c>
      <c r="O728" s="146"/>
      <c r="P728" s="146"/>
      <c r="Q728" s="146"/>
      <c r="R728" s="146"/>
      <c r="S728" s="146"/>
      <c r="T728" s="146"/>
      <c r="U728" s="146"/>
      <c r="V728" s="146"/>
      <c r="W728" s="146"/>
      <c r="X728" s="146"/>
      <c r="Y728" s="146"/>
      <c r="Z728" s="146">
        <v>0.19440072359677596</v>
      </c>
      <c r="AA728" s="146"/>
      <c r="AB728" s="146"/>
      <c r="AC728" s="146"/>
      <c r="AD728" s="146"/>
      <c r="AE728" s="146"/>
      <c r="AF728" s="146"/>
      <c r="AG728" s="146"/>
      <c r="AH728" s="146"/>
      <c r="AI728" s="146"/>
      <c r="AJ728" s="146"/>
      <c r="AK728" s="146"/>
      <c r="AL728" s="146">
        <v>1270.3563777274574</v>
      </c>
      <c r="AM728" s="146">
        <v>0.20694557295032881</v>
      </c>
      <c r="AN728" s="146">
        <v>0.26660157789974642</v>
      </c>
      <c r="AO728" s="146">
        <v>339.56973210899594</v>
      </c>
      <c r="AP728" s="146">
        <v>299.48023316267836</v>
      </c>
      <c r="AQ728" t="s">
        <v>384</v>
      </c>
      <c r="AR728">
        <f t="shared" si="46"/>
        <v>9.762677251918257</v>
      </c>
      <c r="AS728">
        <f t="shared" si="47"/>
        <v>2.6643645582431001</v>
      </c>
      <c r="AT728">
        <v>0.2</v>
      </c>
      <c r="AU728">
        <v>0</v>
      </c>
      <c r="AV728">
        <v>0.3</v>
      </c>
      <c r="AW728" s="146">
        <v>3</v>
      </c>
      <c r="AX728" s="146">
        <v>0.22718342181407383</v>
      </c>
      <c r="AY728">
        <v>0.18</v>
      </c>
      <c r="AZ728" s="209">
        <v>299.48023316267836</v>
      </c>
      <c r="BA728">
        <v>0.22718342181407383</v>
      </c>
      <c r="BB728" s="249">
        <v>44.54571479431187</v>
      </c>
      <c r="BC728" s="243">
        <v>191.22877219786852</v>
      </c>
      <c r="BD728" s="209">
        <v>94965.612875886989</v>
      </c>
      <c r="BE728" s="243">
        <v>58.07864578489076</v>
      </c>
      <c r="BF728">
        <v>270810.44951062737</v>
      </c>
      <c r="BG728" t="s">
        <v>387</v>
      </c>
      <c r="BH728">
        <v>6.4038617126051938E-6</v>
      </c>
      <c r="BI728">
        <v>2149656.1287588701</v>
      </c>
      <c r="BJ728">
        <f t="shared" si="45"/>
        <v>0.12597849762463315</v>
      </c>
    </row>
    <row r="729" spans="1:62" x14ac:dyDescent="0.3">
      <c r="A729">
        <v>-0.1</v>
      </c>
      <c r="B729" s="146">
        <v>1000</v>
      </c>
      <c r="C729" s="146">
        <v>25</v>
      </c>
      <c r="D729" s="146">
        <v>400</v>
      </c>
      <c r="E729" s="252">
        <v>18.164435293255931</v>
      </c>
      <c r="F729" s="146">
        <v>4.4306136926067303</v>
      </c>
      <c r="G729" s="146">
        <v>21.056646393860458</v>
      </c>
      <c r="H729" s="146">
        <v>11.41973163871854</v>
      </c>
      <c r="I729" s="146"/>
      <c r="J729" s="146">
        <v>0.30633846243077872</v>
      </c>
      <c r="K729" s="146">
        <v>0.18</v>
      </c>
      <c r="L729" s="146">
        <v>115.9883648860053</v>
      </c>
      <c r="M729" s="146">
        <v>57.753542681828371</v>
      </c>
      <c r="N729" s="146">
        <v>2.1276904465066604</v>
      </c>
      <c r="O729" s="146"/>
      <c r="P729" s="146"/>
      <c r="Q729" s="146"/>
      <c r="R729" s="146"/>
      <c r="S729" s="146"/>
      <c r="T729" s="146"/>
      <c r="U729" s="146"/>
      <c r="V729" s="146"/>
      <c r="W729" s="146"/>
      <c r="X729" s="146"/>
      <c r="Y729" s="146"/>
      <c r="Z729" s="146">
        <v>0.18631702686363813</v>
      </c>
      <c r="AA729" s="146"/>
      <c r="AB729" s="146"/>
      <c r="AC729" s="146"/>
      <c r="AD729" s="146"/>
      <c r="AE729" s="146"/>
      <c r="AF729" s="146"/>
      <c r="AG729" s="146"/>
      <c r="AH729" s="146"/>
      <c r="AI729" s="146"/>
      <c r="AJ729" s="146"/>
      <c r="AK729" s="146"/>
      <c r="AL729" s="146">
        <v>1351.8171524412562</v>
      </c>
      <c r="AM729" s="146">
        <v>0.2104140236642135</v>
      </c>
      <c r="AN729" s="146">
        <v>0.27180771797197634</v>
      </c>
      <c r="AO729" s="146">
        <v>333.17174571500323</v>
      </c>
      <c r="AP729" s="146">
        <v>287.97192918792541</v>
      </c>
      <c r="AQ729" t="s">
        <v>384</v>
      </c>
      <c r="AR729">
        <f t="shared" si="46"/>
        <v>9.762677251918257</v>
      </c>
      <c r="AS729">
        <f t="shared" si="47"/>
        <v>2.6643645582431001</v>
      </c>
      <c r="AT729">
        <v>0.2</v>
      </c>
      <c r="AU729">
        <v>0</v>
      </c>
      <c r="AV729">
        <v>0.3</v>
      </c>
      <c r="AW729" s="146">
        <v>3</v>
      </c>
      <c r="AX729" s="146">
        <v>0.22931165867968578</v>
      </c>
      <c r="AY729">
        <v>0.18</v>
      </c>
      <c r="AZ729" s="209">
        <v>287.97192918792541</v>
      </c>
      <c r="BA729">
        <v>0.22931165867968578</v>
      </c>
      <c r="BB729" s="249">
        <v>50.637358752074611</v>
      </c>
      <c r="BC729" s="243">
        <v>206.18834629806602</v>
      </c>
      <c r="BD729" s="209">
        <v>105461.83778714068</v>
      </c>
      <c r="BE729" s="243">
        <v>64.57335542239754</v>
      </c>
      <c r="BF729">
        <v>334366.93586922606</v>
      </c>
      <c r="BG729" t="s">
        <v>387</v>
      </c>
      <c r="BH729">
        <v>6.7557742542120849E-6</v>
      </c>
      <c r="BI729">
        <v>2254618.3778714067</v>
      </c>
      <c r="BJ729">
        <f t="shared" si="45"/>
        <v>0.1483031182354253</v>
      </c>
    </row>
    <row r="730" spans="1:62" x14ac:dyDescent="0.3">
      <c r="A730">
        <v>-0.1</v>
      </c>
      <c r="B730" s="146">
        <v>1300</v>
      </c>
      <c r="C730" s="146">
        <v>25</v>
      </c>
      <c r="D730" s="146">
        <v>400</v>
      </c>
      <c r="E730" s="252">
        <v>20.415744429005716</v>
      </c>
      <c r="F730" s="146">
        <v>5.0818326116677452</v>
      </c>
      <c r="G730" s="146">
        <v>23.688486463592522</v>
      </c>
      <c r="H730" s="146">
        <v>13.076252912904749</v>
      </c>
      <c r="I730" s="146"/>
      <c r="J730" s="146">
        <v>0.31097053881551845</v>
      </c>
      <c r="K730" s="146">
        <v>0.18</v>
      </c>
      <c r="L730" s="146">
        <v>133.02471222052486</v>
      </c>
      <c r="M730" s="146">
        <v>66.236371230136868</v>
      </c>
      <c r="N730" s="146">
        <v>2.282726618284352</v>
      </c>
      <c r="O730" s="146"/>
      <c r="P730" s="146"/>
      <c r="Q730" s="146"/>
      <c r="R730" s="146"/>
      <c r="S730" s="146"/>
      <c r="T730" s="146"/>
      <c r="U730" s="146"/>
      <c r="V730" s="146"/>
      <c r="W730" s="146"/>
      <c r="X730" s="146"/>
      <c r="Y730" s="146"/>
      <c r="Z730" s="146">
        <v>0.17457039363559301</v>
      </c>
      <c r="AA730" s="146"/>
      <c r="AB730" s="146"/>
      <c r="AC730" s="146"/>
      <c r="AD730" s="146"/>
      <c r="AE730" s="146"/>
      <c r="AF730" s="146"/>
      <c r="AG730" s="146"/>
      <c r="AH730" s="146"/>
      <c r="AI730" s="146"/>
      <c r="AJ730" s="146"/>
      <c r="AK730" s="146"/>
      <c r="AL730" s="146">
        <v>1417.0237684116171</v>
      </c>
      <c r="AM730" s="146">
        <v>0.21452753511619038</v>
      </c>
      <c r="AN730" s="146">
        <v>0.27762222286957045</v>
      </c>
      <c r="AO730" s="146">
        <v>326.46213902480986</v>
      </c>
      <c r="AP730" s="146">
        <v>275.66045926944156</v>
      </c>
      <c r="AQ730" t="s">
        <v>384</v>
      </c>
      <c r="AR730">
        <f t="shared" si="46"/>
        <v>9.762677251918257</v>
      </c>
      <c r="AS730">
        <f t="shared" si="47"/>
        <v>2.6643645582431001</v>
      </c>
      <c r="AT730">
        <v>0.2</v>
      </c>
      <c r="AU730">
        <v>0</v>
      </c>
      <c r="AV730">
        <v>0.3</v>
      </c>
      <c r="AW730" s="146">
        <v>3</v>
      </c>
      <c r="AX730" s="146">
        <v>0.2344483388512022</v>
      </c>
      <c r="AY730">
        <v>0.18</v>
      </c>
      <c r="AZ730" s="209">
        <v>275.66045926944156</v>
      </c>
      <c r="BA730">
        <v>0.2344483388512022</v>
      </c>
      <c r="BB730" s="249">
        <v>57.441909139142993</v>
      </c>
      <c r="BC730" s="243">
        <v>221.43763929157842</v>
      </c>
      <c r="BD730" s="209">
        <v>116381.30723707039</v>
      </c>
      <c r="BE730" s="243">
        <v>71.292652209595488</v>
      </c>
      <c r="BF730">
        <v>411231.91620920965</v>
      </c>
      <c r="BG730" t="s">
        <v>387</v>
      </c>
      <c r="BH730">
        <v>7.0877507516700309E-6</v>
      </c>
      <c r="BI730">
        <v>2363813.0723707038</v>
      </c>
      <c r="BJ730">
        <f t="shared" si="45"/>
        <v>0.17396972756258555</v>
      </c>
    </row>
    <row r="731" spans="1:62" x14ac:dyDescent="0.3">
      <c r="A731">
        <v>-0.1</v>
      </c>
      <c r="B731" s="227">
        <v>1600</v>
      </c>
      <c r="C731" s="146">
        <v>25</v>
      </c>
      <c r="D731" s="146">
        <v>400</v>
      </c>
      <c r="E731" s="252">
        <v>21.992486378167822</v>
      </c>
      <c r="F731" s="146">
        <v>5.5574686899546668</v>
      </c>
      <c r="G731" s="146">
        <v>25.53900328847115</v>
      </c>
      <c r="H731" s="146">
        <v>14.300105247308137</v>
      </c>
      <c r="I731" s="146"/>
      <c r="J731" s="146">
        <v>0.31738910887821509</v>
      </c>
      <c r="K731" s="146">
        <v>0.18</v>
      </c>
      <c r="L731" s="146">
        <v>145.65855597409569</v>
      </c>
      <c r="M731" s="146">
        <v>72.527081812827717</v>
      </c>
      <c r="N731" s="146">
        <v>2.3555345677805981</v>
      </c>
      <c r="O731" s="146"/>
      <c r="P731" s="146"/>
      <c r="Q731" s="146"/>
      <c r="R731" s="146"/>
      <c r="S731" s="146"/>
      <c r="T731" s="146"/>
      <c r="U731" s="146"/>
      <c r="V731" s="146"/>
      <c r="W731" s="146"/>
      <c r="X731" s="146"/>
      <c r="Y731" s="146"/>
      <c r="Z731" s="146">
        <v>0.16472148470543641</v>
      </c>
      <c r="AA731" s="146"/>
      <c r="AB731" s="146"/>
      <c r="AC731" s="146"/>
      <c r="AD731" s="146"/>
      <c r="AE731" s="146"/>
      <c r="AF731" s="146"/>
      <c r="AG731" s="146"/>
      <c r="AH731" s="146"/>
      <c r="AI731" s="146"/>
      <c r="AJ731" s="146"/>
      <c r="AK731" s="146"/>
      <c r="AL731" s="146">
        <v>1444.9629926060629</v>
      </c>
      <c r="AM731" s="146">
        <v>0.21760710968949312</v>
      </c>
      <c r="AN731" s="146">
        <v>0.28166915733062836</v>
      </c>
      <c r="AO731" s="146">
        <v>321.92085712688578</v>
      </c>
      <c r="AP731" s="146">
        <v>267.19570871576394</v>
      </c>
      <c r="AQ731" t="s">
        <v>384</v>
      </c>
      <c r="AR731">
        <f t="shared" si="46"/>
        <v>9.762677251918257</v>
      </c>
      <c r="AS731">
        <f t="shared" si="47"/>
        <v>2.6643645582431001</v>
      </c>
      <c r="AT731">
        <v>0.2</v>
      </c>
      <c r="AU731">
        <v>0</v>
      </c>
      <c r="AV731">
        <v>0.3</v>
      </c>
      <c r="AW731" s="146">
        <v>3</v>
      </c>
      <c r="AX731" s="146">
        <v>0.23988496252639627</v>
      </c>
      <c r="AY731">
        <v>0.18</v>
      </c>
      <c r="AZ731" s="209">
        <v>267.19570871576394</v>
      </c>
      <c r="BA731">
        <v>0.23988496252639627</v>
      </c>
      <c r="BB731" s="249">
        <v>62.277343694315853</v>
      </c>
      <c r="BC731" s="243">
        <v>231.37044679887799</v>
      </c>
      <c r="BD731" s="209">
        <v>123615.25991875638</v>
      </c>
      <c r="BE731" s="243">
        <v>75.742579331519408</v>
      </c>
      <c r="BF731">
        <v>469599.58169469354</v>
      </c>
      <c r="BG731" t="s">
        <v>387</v>
      </c>
      <c r="BH731">
        <v>7.2931854305962788E-6</v>
      </c>
      <c r="BI731">
        <v>2436152.5991875636</v>
      </c>
      <c r="BJ731">
        <f t="shared" si="45"/>
        <v>0.19276279402665542</v>
      </c>
    </row>
    <row r="732" spans="1:62" s="140" customFormat="1" x14ac:dyDescent="0.3">
      <c r="A732" s="140">
        <v>-0.1</v>
      </c>
      <c r="B732" s="140">
        <v>1900</v>
      </c>
      <c r="C732" s="140">
        <v>25</v>
      </c>
      <c r="D732" s="140">
        <v>400</v>
      </c>
      <c r="E732" s="253">
        <v>23.170618065089567</v>
      </c>
      <c r="F732" s="140">
        <v>5.9505231627135675</v>
      </c>
      <c r="G732" s="140">
        <v>26.938960982329458</v>
      </c>
      <c r="H732" s="140">
        <v>15.156079424638625</v>
      </c>
      <c r="J732" s="140">
        <v>0.31568670407725496</v>
      </c>
      <c r="K732" s="140">
        <v>0.18</v>
      </c>
      <c r="L732" s="140">
        <v>154.54113346300181</v>
      </c>
      <c r="M732" s="140">
        <v>76.949941973278911</v>
      </c>
      <c r="N732" s="140">
        <v>2.4496203294825332</v>
      </c>
      <c r="Z732" s="140">
        <v>0.16162625312587664</v>
      </c>
      <c r="AL732" s="140">
        <v>1485.13592370994</v>
      </c>
      <c r="AM732" s="140">
        <v>0.22088911174476245</v>
      </c>
      <c r="AN732" s="140">
        <v>0.28250852178707725</v>
      </c>
      <c r="AO732" s="140">
        <v>317.98258714987389</v>
      </c>
      <c r="AP732" s="140">
        <v>260.32575896867337</v>
      </c>
      <c r="AQ732" t="s">
        <v>384</v>
      </c>
      <c r="AR732">
        <f t="shared" si="46"/>
        <v>9.762677251918257</v>
      </c>
      <c r="AS732">
        <f t="shared" si="47"/>
        <v>2.6643645582431001</v>
      </c>
      <c r="AT732" s="140">
        <v>0.2</v>
      </c>
      <c r="AU732">
        <v>0</v>
      </c>
      <c r="AV732">
        <v>0.3</v>
      </c>
      <c r="AW732" s="140">
        <v>3</v>
      </c>
      <c r="AX732" s="140">
        <v>0.23953620700171518</v>
      </c>
      <c r="AY732">
        <v>0.18</v>
      </c>
      <c r="AZ732" s="209">
        <v>260.32575896867337</v>
      </c>
      <c r="BA732" s="140">
        <v>0.23953620700171518</v>
      </c>
      <c r="BB732" s="253">
        <v>66.218096308691642</v>
      </c>
      <c r="BC732" s="245">
        <v>236.82793196795552</v>
      </c>
      <c r="BD732" s="210">
        <v>129319.68894705843</v>
      </c>
      <c r="BE732" s="245">
        <v>80.404602385287888</v>
      </c>
      <c r="BF732" s="140">
        <v>517099.18776341283</v>
      </c>
      <c r="BG732" t="s">
        <v>387</v>
      </c>
      <c r="BH732" s="140">
        <v>7.4169601004391917E-6</v>
      </c>
      <c r="BI732" s="140">
        <v>2493196.8894705842</v>
      </c>
      <c r="BJ732">
        <f t="shared" si="45"/>
        <v>0.20740407223643528</v>
      </c>
    </row>
    <row r="733" spans="1:62" x14ac:dyDescent="0.3">
      <c r="A733">
        <v>-0.1</v>
      </c>
      <c r="B733" s="146">
        <v>1000</v>
      </c>
      <c r="C733" s="146">
        <v>25</v>
      </c>
      <c r="D733" s="146">
        <v>200</v>
      </c>
      <c r="E733" s="252">
        <v>14.061284069685978</v>
      </c>
      <c r="F733" s="146">
        <v>7.5351093033608301</v>
      </c>
      <c r="G733" s="146">
        <v>18.58838475571909</v>
      </c>
      <c r="H733" s="146">
        <v>11.897311839392454</v>
      </c>
      <c r="I733" s="146"/>
      <c r="J733" s="146">
        <v>0.36881576827498469</v>
      </c>
      <c r="K733" s="146">
        <v>0.18</v>
      </c>
      <c r="L733" s="146">
        <v>121.62431086891887</v>
      </c>
      <c r="M733" s="146">
        <v>60.559822839295698</v>
      </c>
      <c r="N733" s="146">
        <v>1.2115436765048582</v>
      </c>
      <c r="O733" s="146"/>
      <c r="P733" s="146"/>
      <c r="Q733" s="146"/>
      <c r="R733" s="146"/>
      <c r="S733" s="146"/>
      <c r="T733" s="146"/>
      <c r="U733" s="146"/>
      <c r="V733" s="146"/>
      <c r="W733" s="146"/>
      <c r="X733" s="146"/>
      <c r="Y733" s="146"/>
      <c r="Z733" s="146">
        <v>0.10183339672524937</v>
      </c>
      <c r="AA733" s="146"/>
      <c r="AB733" s="146"/>
      <c r="AC733" s="146"/>
      <c r="AD733" s="146"/>
      <c r="AE733" s="146"/>
      <c r="AF733" s="146"/>
      <c r="AG733" s="146"/>
      <c r="AH733" s="146"/>
      <c r="AI733" s="146"/>
      <c r="AJ733" s="146"/>
      <c r="AK733" s="146"/>
      <c r="AL733" s="146">
        <v>718.12183503071037</v>
      </c>
      <c r="AM733" s="146">
        <v>0.40536654488187857</v>
      </c>
      <c r="AN733" s="146">
        <v>0.26701774179217636</v>
      </c>
      <c r="AO733" s="146">
        <v>147.33951393900233</v>
      </c>
      <c r="AP733" s="146">
        <v>112.34999677828117</v>
      </c>
      <c r="AQ733" t="s">
        <v>384</v>
      </c>
      <c r="AR733">
        <f t="shared" si="46"/>
        <v>9.762677251918257</v>
      </c>
      <c r="AS733">
        <f t="shared" si="47"/>
        <v>2.6643645582431001</v>
      </c>
      <c r="AT733">
        <v>0.2</v>
      </c>
      <c r="AU733">
        <v>0</v>
      </c>
      <c r="AV733">
        <v>0.3</v>
      </c>
      <c r="AW733" s="146">
        <v>3</v>
      </c>
      <c r="AX733" s="146">
        <v>0.23357178353535638</v>
      </c>
      <c r="AY733">
        <v>0.18</v>
      </c>
      <c r="AZ733" s="209">
        <v>112.34999677828117</v>
      </c>
      <c r="BA733">
        <v>0.23357178353535638</v>
      </c>
      <c r="BB733" s="249">
        <v>67.735109874435594</v>
      </c>
      <c r="BC733" s="243">
        <v>222.92271599597566</v>
      </c>
      <c r="BD733" s="209">
        <v>123754.91362940965</v>
      </c>
      <c r="BE733" s="243">
        <v>80.895697745102879</v>
      </c>
      <c r="BF733">
        <v>272141.80048999091</v>
      </c>
      <c r="BG733" t="s">
        <v>388</v>
      </c>
      <c r="BH733">
        <v>4.9423888878368257E-6</v>
      </c>
      <c r="BI733">
        <v>2437549.1362940967</v>
      </c>
      <c r="BJ733">
        <f t="shared" si="45"/>
        <v>0.11164566754282498</v>
      </c>
    </row>
    <row r="734" spans="1:62" x14ac:dyDescent="0.3">
      <c r="A734">
        <v>-0.1</v>
      </c>
      <c r="B734" s="146">
        <v>1000</v>
      </c>
      <c r="C734" s="146">
        <v>25</v>
      </c>
      <c r="D734" s="146">
        <v>300</v>
      </c>
      <c r="E734" s="252">
        <v>16.454718183195581</v>
      </c>
      <c r="F734" s="146">
        <v>5.4678312889640912</v>
      </c>
      <c r="G734" s="146">
        <v>19.890485598582998</v>
      </c>
      <c r="H734" s="146">
        <v>11.623166874511112</v>
      </c>
      <c r="I734" s="146"/>
      <c r="J734" s="146">
        <v>0.32954092487909481</v>
      </c>
      <c r="K734" s="146">
        <v>0.18</v>
      </c>
      <c r="L734" s="146">
        <v>118.25489047395</v>
      </c>
      <c r="M734" s="146">
        <v>58.882103140556012</v>
      </c>
      <c r="N734" s="146">
        <v>1.7246828762344979</v>
      </c>
      <c r="O734" s="146"/>
      <c r="P734" s="146"/>
      <c r="Q734" s="146"/>
      <c r="R734" s="146"/>
      <c r="S734" s="146"/>
      <c r="T734" s="146"/>
      <c r="U734" s="146"/>
      <c r="V734" s="146"/>
      <c r="W734" s="146"/>
      <c r="X734" s="146"/>
      <c r="Y734" s="146"/>
      <c r="Z734" s="146">
        <v>0.1483832155947637</v>
      </c>
      <c r="AA734" s="146"/>
      <c r="AB734" s="146"/>
      <c r="AC734" s="146"/>
      <c r="AD734" s="146"/>
      <c r="AE734" s="146"/>
      <c r="AF734" s="146"/>
      <c r="AG734" s="146"/>
      <c r="AH734" s="146"/>
      <c r="AI734" s="146"/>
      <c r="AJ734" s="146"/>
      <c r="AK734" s="146"/>
      <c r="AL734" s="146">
        <v>1061.8282869320315</v>
      </c>
      <c r="AM734" s="146">
        <v>0.27489682249656189</v>
      </c>
      <c r="AN734" s="146">
        <v>0.2762345042761708</v>
      </c>
      <c r="AO734" s="146">
        <v>240.43206794056164</v>
      </c>
      <c r="AP734" s="146">
        <v>199.48684881478175</v>
      </c>
      <c r="AQ734" t="s">
        <v>384</v>
      </c>
      <c r="AR734">
        <f t="shared" si="46"/>
        <v>9.762677251918257</v>
      </c>
      <c r="AS734">
        <f t="shared" si="47"/>
        <v>2.6643645582431001</v>
      </c>
      <c r="AT734">
        <v>0.2</v>
      </c>
      <c r="AU734">
        <v>0</v>
      </c>
      <c r="AV734">
        <v>0.3</v>
      </c>
      <c r="AW734" s="146">
        <v>3</v>
      </c>
      <c r="AX734" s="146">
        <v>0.23213571687903423</v>
      </c>
      <c r="AY734">
        <v>0.18</v>
      </c>
      <c r="AZ734" s="209">
        <v>199.48684881478175</v>
      </c>
      <c r="BA734">
        <v>0.23213571687903423</v>
      </c>
      <c r="BB734" s="249">
        <v>56.102393572666102</v>
      </c>
      <c r="BC734" s="243">
        <v>212.76154008325508</v>
      </c>
      <c r="BD734" s="209">
        <v>110498.15894875889</v>
      </c>
      <c r="BE734" s="243">
        <v>67.979168278894036</v>
      </c>
      <c r="BF734">
        <v>306083.0053806674</v>
      </c>
      <c r="BG734" t="s">
        <v>388</v>
      </c>
      <c r="BH734">
        <v>6.047214059510581E-6</v>
      </c>
      <c r="BI734">
        <v>2304981.589487589</v>
      </c>
      <c r="BJ734">
        <f t="shared" si="45"/>
        <v>0.13279195234210589</v>
      </c>
    </row>
    <row r="735" spans="1:62" x14ac:dyDescent="0.3">
      <c r="A735">
        <v>-0.1</v>
      </c>
      <c r="B735" s="146">
        <v>1000</v>
      </c>
      <c r="C735" s="146">
        <v>25</v>
      </c>
      <c r="D735" s="146">
        <v>400</v>
      </c>
      <c r="E735" s="252">
        <v>18.148290393993644</v>
      </c>
      <c r="F735" s="146">
        <v>4.4237203392328945</v>
      </c>
      <c r="G735" s="146">
        <v>21.036160172244593</v>
      </c>
      <c r="H735" s="146">
        <v>11.412795687865991</v>
      </c>
      <c r="I735" s="146"/>
      <c r="J735" s="146">
        <v>0.30650714471306317</v>
      </c>
      <c r="K735" s="146">
        <v>0.18</v>
      </c>
      <c r="L735" s="146">
        <v>115.91848896964646</v>
      </c>
      <c r="M735" s="146">
        <v>57.718749694429782</v>
      </c>
      <c r="N735" s="146">
        <v>2.1273315730374769</v>
      </c>
      <c r="O735" s="146"/>
      <c r="P735" s="146"/>
      <c r="Q735" s="146"/>
      <c r="R735" s="146"/>
      <c r="S735" s="146"/>
      <c r="T735" s="146"/>
      <c r="U735" s="146"/>
      <c r="V735" s="146"/>
      <c r="W735" s="146"/>
      <c r="X735" s="146"/>
      <c r="Y735" s="146"/>
      <c r="Z735" s="146">
        <v>0.18639881333363759</v>
      </c>
      <c r="AA735" s="146"/>
      <c r="AB735" s="146"/>
      <c r="AC735" s="146"/>
      <c r="AD735" s="146"/>
      <c r="AE735" s="146"/>
      <c r="AF735" s="146"/>
      <c r="AG735" s="146"/>
      <c r="AH735" s="146"/>
      <c r="AI735" s="146"/>
      <c r="AJ735" s="146"/>
      <c r="AK735" s="146"/>
      <c r="AL735" s="146">
        <v>1351.7932835219651</v>
      </c>
      <c r="AM735" s="146">
        <v>0.21029124626411685</v>
      </c>
      <c r="AN735" s="146">
        <v>0.27203540383762159</v>
      </c>
      <c r="AO735" s="146">
        <v>333.28702757812221</v>
      </c>
      <c r="AP735" s="146">
        <v>288.12749700322593</v>
      </c>
      <c r="AQ735" t="s">
        <v>384</v>
      </c>
      <c r="AR735">
        <f t="shared" si="46"/>
        <v>9.762677251918257</v>
      </c>
      <c r="AS735">
        <f t="shared" si="47"/>
        <v>2.6643645582431001</v>
      </c>
      <c r="AT735">
        <v>0.2</v>
      </c>
      <c r="AU735">
        <v>0</v>
      </c>
      <c r="AV735">
        <v>0.3</v>
      </c>
      <c r="AW735" s="146">
        <v>3</v>
      </c>
      <c r="AX735" s="146">
        <v>0.22945836426757826</v>
      </c>
      <c r="AY735">
        <v>0.18</v>
      </c>
      <c r="AZ735" s="209">
        <v>288.12749700322593</v>
      </c>
      <c r="BA735">
        <v>0.22945836426757826</v>
      </c>
      <c r="BB735" s="249">
        <v>50.570679467266601</v>
      </c>
      <c r="BC735" s="243">
        <v>205.98887313218341</v>
      </c>
      <c r="BD735" s="209">
        <v>105272.27196620626</v>
      </c>
      <c r="BE735" s="243">
        <v>64.414970321617901</v>
      </c>
      <c r="BF735">
        <v>333617.60666278593</v>
      </c>
      <c r="BG735" t="s">
        <v>388</v>
      </c>
      <c r="BH735">
        <v>6.7567805885462225E-6</v>
      </c>
      <c r="BI735">
        <v>2252722.7196620628</v>
      </c>
      <c r="BJ735">
        <f t="shared" si="45"/>
        <v>0.14809528210060083</v>
      </c>
    </row>
    <row r="736" spans="1:62" x14ac:dyDescent="0.3">
      <c r="A736">
        <v>-0.1</v>
      </c>
      <c r="B736" s="146">
        <v>1000</v>
      </c>
      <c r="C736" s="146">
        <v>25</v>
      </c>
      <c r="D736" s="146">
        <v>500</v>
      </c>
      <c r="E736" s="252">
        <v>19.246462229322081</v>
      </c>
      <c r="F736" s="146">
        <v>3.6827020022512178</v>
      </c>
      <c r="G736" s="146">
        <v>21.74490038884711</v>
      </c>
      <c r="H736" s="146">
        <v>11.290861943032905</v>
      </c>
      <c r="I736" s="146"/>
      <c r="J736" s="146">
        <v>0.30436985720154497</v>
      </c>
      <c r="K736" s="146">
        <v>0.18</v>
      </c>
      <c r="L736" s="146">
        <v>114.57607152253252</v>
      </c>
      <c r="M736" s="146">
        <v>57.050326069310806</v>
      </c>
      <c r="N736" s="146">
        <v>2.3459811729867486</v>
      </c>
      <c r="O736" s="146"/>
      <c r="P736" s="146"/>
      <c r="Q736" s="146"/>
      <c r="R736" s="146"/>
      <c r="S736" s="146"/>
      <c r="T736" s="146"/>
      <c r="U736" s="146"/>
      <c r="V736" s="146"/>
      <c r="W736" s="146"/>
      <c r="X736" s="146"/>
      <c r="Y736" s="146"/>
      <c r="Z736" s="146">
        <v>0.20777697795112537</v>
      </c>
      <c r="AA736" s="146"/>
      <c r="AB736" s="146"/>
      <c r="AC736" s="146"/>
      <c r="AD736" s="146"/>
      <c r="AE736" s="146"/>
      <c r="AF736" s="146"/>
      <c r="AG736" s="146"/>
      <c r="AH736" s="146"/>
      <c r="AI736" s="146"/>
      <c r="AJ736" s="146"/>
      <c r="AK736" s="146"/>
      <c r="AL736" s="146">
        <v>1553.5380209372656</v>
      </c>
      <c r="AM736" s="146">
        <v>0.16935934110510176</v>
      </c>
      <c r="AN736" s="146">
        <v>0.26895375232218421</v>
      </c>
      <c r="AO736" s="146">
        <v>428.43951027585433</v>
      </c>
      <c r="AP736" s="146">
        <v>380.54743444389277</v>
      </c>
      <c r="AQ736" t="s">
        <v>384</v>
      </c>
      <c r="AR736">
        <f t="shared" si="46"/>
        <v>9.762677251918257</v>
      </c>
      <c r="AS736">
        <f t="shared" si="47"/>
        <v>2.6643645582431001</v>
      </c>
      <c r="AT736">
        <v>0.2</v>
      </c>
      <c r="AU736">
        <v>0</v>
      </c>
      <c r="AV736">
        <v>0.3</v>
      </c>
      <c r="AW736" s="146">
        <v>3</v>
      </c>
      <c r="AX736" s="146">
        <v>0.23591843175093841</v>
      </c>
      <c r="AY736">
        <v>0.18</v>
      </c>
      <c r="AZ736" s="209">
        <v>380.54743444389277</v>
      </c>
      <c r="BA736">
        <v>0.23591843175093841</v>
      </c>
      <c r="BB736" s="249">
        <v>46.370746067005115</v>
      </c>
      <c r="BC736" s="243">
        <v>202.19236627080039</v>
      </c>
      <c r="BD736" s="209">
        <v>101163.41472056754</v>
      </c>
      <c r="BE736" s="243">
        <v>60.642497088967467</v>
      </c>
      <c r="BF736">
        <v>348776.07722838811</v>
      </c>
      <c r="BG736" t="s">
        <v>388</v>
      </c>
      <c r="BH736">
        <v>7.2533759777369156E-6</v>
      </c>
      <c r="BI736">
        <v>2211634.1472056755</v>
      </c>
      <c r="BJ736">
        <f t="shared" si="45"/>
        <v>0.15770062045255306</v>
      </c>
    </row>
    <row r="737" spans="1:62" s="146" customFormat="1" x14ac:dyDescent="0.3">
      <c r="A737">
        <v>-0.1</v>
      </c>
      <c r="B737" s="146">
        <v>1000</v>
      </c>
      <c r="C737" s="146">
        <v>25</v>
      </c>
      <c r="D737" s="146">
        <v>600</v>
      </c>
      <c r="E737" s="252">
        <v>20.015398020410281</v>
      </c>
      <c r="F737" s="146">
        <v>3.1462329676945053</v>
      </c>
      <c r="G737" s="146">
        <v>22.231737028046883</v>
      </c>
      <c r="H737" s="146">
        <v>11.204095054239586</v>
      </c>
      <c r="J737" s="146">
        <v>0.30298121593499078</v>
      </c>
      <c r="K737" s="146">
        <v>0.18</v>
      </c>
      <c r="L737" s="146">
        <v>113.63311596721374</v>
      </c>
      <c r="M737" s="146">
        <v>56.580804630977802</v>
      </c>
      <c r="N737" s="146">
        <v>2.5341403685131283</v>
      </c>
      <c r="Z737" s="146">
        <v>0.22617983480550885</v>
      </c>
      <c r="AL737" s="146">
        <v>1742.2456504853585</v>
      </c>
      <c r="AM737" s="146">
        <v>0.14151988950414957</v>
      </c>
      <c r="AN737" s="146">
        <v>0.26680406382682126</v>
      </c>
      <c r="AO737" s="146">
        <v>524.98091021056564</v>
      </c>
      <c r="AP737" s="146">
        <v>475.17546622879428</v>
      </c>
      <c r="AQ737" t="s">
        <v>384</v>
      </c>
      <c r="AR737">
        <f t="shared" si="46"/>
        <v>9.762677251918257</v>
      </c>
      <c r="AS737">
        <f t="shared" si="47"/>
        <v>2.6643645582431001</v>
      </c>
      <c r="AT737">
        <v>0.2</v>
      </c>
      <c r="AU737">
        <v>0</v>
      </c>
      <c r="AV737">
        <v>0.3</v>
      </c>
      <c r="AW737" s="146">
        <v>3</v>
      </c>
      <c r="AX737" s="146">
        <v>0.24111381875899818</v>
      </c>
      <c r="AY737">
        <v>0.18</v>
      </c>
      <c r="AZ737" s="209">
        <v>475.17546622879428</v>
      </c>
      <c r="BA737" s="146">
        <v>0.24111381875899818</v>
      </c>
      <c r="BB737" s="252">
        <v>43.291226291471204</v>
      </c>
      <c r="BC737" s="244">
        <v>199.56527105069463</v>
      </c>
      <c r="BD737" s="229">
        <v>98127.685624702921</v>
      </c>
      <c r="BE737" s="244">
        <v>57.723738465044661</v>
      </c>
      <c r="BF737" s="146">
        <v>358245.15839597164</v>
      </c>
      <c r="BG737" t="s">
        <v>388</v>
      </c>
      <c r="BH737" s="146">
        <v>7.6157294294148375E-6</v>
      </c>
      <c r="BI737" s="146">
        <v>2181276.8562470293</v>
      </c>
      <c r="BJ737">
        <f t="shared" si="45"/>
        <v>0.16423644590093264</v>
      </c>
    </row>
    <row r="738" spans="1:62" s="140" customFormat="1" x14ac:dyDescent="0.3">
      <c r="A738">
        <v>-0.1</v>
      </c>
      <c r="B738" s="146">
        <v>1000</v>
      </c>
      <c r="C738" s="146">
        <v>25</v>
      </c>
      <c r="D738" s="146">
        <v>700</v>
      </c>
      <c r="E738" s="252">
        <v>20.577687525579897</v>
      </c>
      <c r="F738" s="146">
        <v>2.7451240972025737</v>
      </c>
      <c r="G738" s="146">
        <v>22.58290996049098</v>
      </c>
      <c r="H738" s="146">
        <v>11.139706978448693</v>
      </c>
      <c r="I738" s="146"/>
      <c r="J738" s="146">
        <v>0.30267987858029333</v>
      </c>
      <c r="K738" s="146">
        <v>0.18</v>
      </c>
      <c r="L738" s="146">
        <v>112.93877356247549</v>
      </c>
      <c r="M738" s="146">
        <v>56.235073973016839</v>
      </c>
      <c r="N738" s="146">
        <v>2.6820852797432053</v>
      </c>
      <c r="O738" s="146"/>
      <c r="P738" s="146"/>
      <c r="Q738" s="146"/>
      <c r="R738" s="146"/>
      <c r="S738" s="146"/>
      <c r="T738" s="146"/>
      <c r="U738" s="146"/>
      <c r="V738" s="146"/>
      <c r="W738" s="146"/>
      <c r="X738" s="146"/>
      <c r="Y738" s="146"/>
      <c r="Z738" s="146">
        <v>0.2407680278244366</v>
      </c>
      <c r="AA738" s="146"/>
      <c r="AB738" s="146"/>
      <c r="AC738" s="146"/>
      <c r="AD738" s="146"/>
      <c r="AE738" s="146"/>
      <c r="AF738" s="146"/>
      <c r="AG738" s="146"/>
      <c r="AH738" s="146"/>
      <c r="AI738" s="146"/>
      <c r="AJ738" s="146"/>
      <c r="AK738" s="146"/>
      <c r="AL738" s="146">
        <v>1912.2543472890061</v>
      </c>
      <c r="AM738" s="146">
        <v>0.12155758943400982</v>
      </c>
      <c r="AN738" s="146">
        <v>0.26523261242807028</v>
      </c>
      <c r="AO738" s="146">
        <v>622.41645046134568</v>
      </c>
      <c r="AP738" s="146">
        <v>571.21170741740343</v>
      </c>
      <c r="AQ738" t="s">
        <v>384</v>
      </c>
      <c r="AR738">
        <f t="shared" si="46"/>
        <v>9.762677251918257</v>
      </c>
      <c r="AS738">
        <f t="shared" si="47"/>
        <v>2.6643645582431001</v>
      </c>
      <c r="AT738">
        <v>0.2</v>
      </c>
      <c r="AU738">
        <v>0</v>
      </c>
      <c r="AV738">
        <v>0.3</v>
      </c>
      <c r="AW738" s="146">
        <v>3</v>
      </c>
      <c r="AX738" s="146">
        <v>0.2457390564083462</v>
      </c>
      <c r="AY738">
        <v>0.18</v>
      </c>
      <c r="AZ738" s="209">
        <v>571.21170741740343</v>
      </c>
      <c r="BA738" s="140">
        <v>0.2457390564083462</v>
      </c>
      <c r="BB738" s="253">
        <v>40.964749248125209</v>
      </c>
      <c r="BC738" s="245">
        <v>197.65120508184938</v>
      </c>
      <c r="BD738" s="210">
        <v>95801.718724285602</v>
      </c>
      <c r="BE738" s="245">
        <v>55.412949442069042</v>
      </c>
      <c r="BF738" s="140">
        <v>364436.76926572254</v>
      </c>
      <c r="BG738" t="s">
        <v>388</v>
      </c>
      <c r="BH738" s="140">
        <v>7.8903823757016457E-6</v>
      </c>
      <c r="BI738" s="140">
        <v>2158017.1872428562</v>
      </c>
      <c r="BJ738">
        <f t="shared" si="45"/>
        <v>0.16887574919240436</v>
      </c>
    </row>
    <row r="739" spans="1:62" x14ac:dyDescent="0.3">
      <c r="A739">
        <v>-0.1</v>
      </c>
      <c r="B739" s="146">
        <v>1000</v>
      </c>
      <c r="C739" s="146">
        <v>25</v>
      </c>
      <c r="D739" s="146">
        <v>800</v>
      </c>
      <c r="E739" s="252">
        <v>21.012259059411463</v>
      </c>
      <c r="F739" s="146">
        <v>2.4362586152397667</v>
      </c>
      <c r="G739" s="146">
        <v>22.855045826856355</v>
      </c>
      <c r="H739" s="146">
        <v>11.091756834551246</v>
      </c>
      <c r="I739" s="146"/>
      <c r="J739" s="146">
        <v>0.30244950950584198</v>
      </c>
      <c r="K739" s="146">
        <v>0.18</v>
      </c>
      <c r="L739" s="146">
        <v>112.42332509945443</v>
      </c>
      <c r="M739" s="146">
        <v>55.978419136657813</v>
      </c>
      <c r="N739" s="146">
        <v>2.8056149764062788</v>
      </c>
      <c r="O739" s="146"/>
      <c r="P739" s="146"/>
      <c r="Q739" s="146"/>
      <c r="R739" s="146"/>
      <c r="S739" s="146"/>
      <c r="T739" s="146"/>
      <c r="U739" s="146"/>
      <c r="V739" s="146"/>
      <c r="W739" s="146"/>
      <c r="X739" s="146"/>
      <c r="Y739" s="146"/>
      <c r="Z739" s="146">
        <v>0.25294595060601049</v>
      </c>
      <c r="AA739" s="146"/>
      <c r="AB739" s="146"/>
      <c r="AC739" s="146"/>
      <c r="AD739" s="146"/>
      <c r="AE739" s="146"/>
      <c r="AF739" s="146"/>
      <c r="AG739" s="146"/>
      <c r="AH739" s="146"/>
      <c r="AI739" s="146"/>
      <c r="AJ739" s="146"/>
      <c r="AK739" s="146"/>
      <c r="AL739" s="146">
        <v>2070.9080342389075</v>
      </c>
      <c r="AM739" s="146">
        <v>0.10659609408338985</v>
      </c>
      <c r="AN739" s="146">
        <v>0.26392863180060083</v>
      </c>
      <c r="AO739" s="146">
        <v>720.38658740410438</v>
      </c>
      <c r="AP739" s="146">
        <v>668.10054603576725</v>
      </c>
      <c r="AQ739" t="s">
        <v>384</v>
      </c>
      <c r="AR739">
        <f t="shared" si="46"/>
        <v>9.762677251918257</v>
      </c>
      <c r="AS739">
        <f t="shared" si="47"/>
        <v>2.6643645582431001</v>
      </c>
      <c r="AT739">
        <v>0.2</v>
      </c>
      <c r="AU739">
        <v>0</v>
      </c>
      <c r="AV739">
        <v>0.3</v>
      </c>
      <c r="AW739" s="146">
        <v>3</v>
      </c>
      <c r="AX739" s="146">
        <v>0.24950754114194026</v>
      </c>
      <c r="AY739">
        <v>0.18</v>
      </c>
      <c r="AZ739" s="209">
        <v>668.10054603576725</v>
      </c>
      <c r="BA739">
        <v>0.24950754114194026</v>
      </c>
      <c r="BB739" s="249">
        <v>39.17124244960948</v>
      </c>
      <c r="BC739" s="243">
        <v>196.24126067602649</v>
      </c>
      <c r="BD739" s="209">
        <v>94034.59214886275</v>
      </c>
      <c r="BE739" s="243">
        <v>53.621723253977521</v>
      </c>
      <c r="BF739">
        <v>369008.79849658208</v>
      </c>
      <c r="BG739" t="s">
        <v>388</v>
      </c>
      <c r="BH739">
        <v>8.1049458043816237E-6</v>
      </c>
      <c r="BI739">
        <v>2140345.9214886278</v>
      </c>
      <c r="BJ739">
        <f t="shared" si="45"/>
        <v>0.17240614930129308</v>
      </c>
    </row>
    <row r="740" spans="1:62" x14ac:dyDescent="0.3">
      <c r="A740">
        <v>-0.1</v>
      </c>
      <c r="B740" s="146">
        <v>1000</v>
      </c>
      <c r="C740" s="146">
        <v>25</v>
      </c>
      <c r="D740" s="146">
        <v>900</v>
      </c>
      <c r="E740" s="252">
        <v>21.354952347303964</v>
      </c>
      <c r="F740" s="146">
        <v>2.1908049336242028</v>
      </c>
      <c r="G740" s="146">
        <v>23.068637110203209</v>
      </c>
      <c r="H740" s="146">
        <v>11.053933375189615</v>
      </c>
      <c r="I740" s="146"/>
      <c r="J740" s="146">
        <v>0.30217974418450844</v>
      </c>
      <c r="K740" s="146">
        <v>0.18</v>
      </c>
      <c r="L740" s="146">
        <v>112.01820311981581</v>
      </c>
      <c r="M740" s="146">
        <v>55.776698648870948</v>
      </c>
      <c r="N740" s="146">
        <v>2.9108928840901154</v>
      </c>
      <c r="O740" s="146"/>
      <c r="P740" s="146"/>
      <c r="Q740" s="146"/>
      <c r="R740" s="146"/>
      <c r="S740" s="146"/>
      <c r="T740" s="146"/>
      <c r="U740" s="146"/>
      <c r="V740" s="146"/>
      <c r="W740" s="146"/>
      <c r="X740" s="146"/>
      <c r="Y740" s="146"/>
      <c r="Z740" s="146">
        <v>0.26333548297147963</v>
      </c>
      <c r="AA740" s="146"/>
      <c r="AB740" s="146"/>
      <c r="AC740" s="146"/>
      <c r="AD740" s="146"/>
      <c r="AE740" s="146"/>
      <c r="AF740" s="146"/>
      <c r="AG740" s="146"/>
      <c r="AH740" s="146"/>
      <c r="AI740" s="146"/>
      <c r="AJ740" s="146"/>
      <c r="AK740" s="146"/>
      <c r="AL740" s="146">
        <v>2221.0749664905416</v>
      </c>
      <c r="AM740" s="146">
        <v>9.496897988200674E-2</v>
      </c>
      <c r="AN740" s="146">
        <v>0.26288624327314192</v>
      </c>
      <c r="AO740" s="146">
        <v>818.7673265766291</v>
      </c>
      <c r="AP740" s="146">
        <v>765.62852444548275</v>
      </c>
      <c r="AQ740" t="s">
        <v>384</v>
      </c>
      <c r="AR740">
        <f t="shared" si="46"/>
        <v>9.762677251918257</v>
      </c>
      <c r="AS740">
        <f t="shared" si="47"/>
        <v>2.6643645582431001</v>
      </c>
      <c r="AT740">
        <v>0.2</v>
      </c>
      <c r="AU740">
        <v>0</v>
      </c>
      <c r="AV740">
        <v>0.3</v>
      </c>
      <c r="AW740" s="146">
        <v>3</v>
      </c>
      <c r="AX740" s="146">
        <v>0.25259247072702323</v>
      </c>
      <c r="AY740">
        <v>0.18</v>
      </c>
      <c r="AZ740" s="209">
        <v>765.62852444548275</v>
      </c>
      <c r="BA740">
        <v>0.25259247072702323</v>
      </c>
      <c r="BB740" s="249">
        <v>37.741429956859299</v>
      </c>
      <c r="BC740" s="243">
        <v>195.13956966988553</v>
      </c>
      <c r="BD740" s="209">
        <v>92625.016554790258</v>
      </c>
      <c r="BE740" s="243">
        <v>52.17334876497204</v>
      </c>
      <c r="BF740">
        <v>372385.28177329473</v>
      </c>
      <c r="BG740" t="s">
        <v>388</v>
      </c>
      <c r="BH740">
        <v>8.2770959972778578E-6</v>
      </c>
      <c r="BI740">
        <v>2126250.1655479027</v>
      </c>
      <c r="BJ740">
        <f t="shared" si="45"/>
        <v>0.17513709713331715</v>
      </c>
    </row>
    <row r="741" spans="1:62" x14ac:dyDescent="0.3">
      <c r="A741">
        <v>-0.1</v>
      </c>
      <c r="B741" s="146">
        <v>1000</v>
      </c>
      <c r="C741" s="146">
        <v>25</v>
      </c>
      <c r="D741" s="146">
        <v>1000</v>
      </c>
      <c r="E741" s="252">
        <v>21.634890268073228</v>
      </c>
      <c r="F741" s="146">
        <v>1.9914887525976224</v>
      </c>
      <c r="G741" s="146">
        <v>23.243824062472278</v>
      </c>
      <c r="H741" s="146">
        <v>11.023960155479884</v>
      </c>
      <c r="I741" s="146"/>
      <c r="J741" s="146">
        <v>0.3017373046480783</v>
      </c>
      <c r="K741" s="146">
        <v>0.18</v>
      </c>
      <c r="L741" s="146">
        <v>111.69766318890764</v>
      </c>
      <c r="M741" s="146">
        <v>55.617093704020412</v>
      </c>
      <c r="N741" s="146">
        <v>3.0033548843747653</v>
      </c>
      <c r="O741" s="146"/>
      <c r="P741" s="146"/>
      <c r="Q741" s="146"/>
      <c r="R741" s="146"/>
      <c r="S741" s="146"/>
      <c r="T741" s="146"/>
      <c r="U741" s="146"/>
      <c r="V741" s="146"/>
      <c r="W741" s="146"/>
      <c r="X741" s="146"/>
      <c r="Y741" s="146"/>
      <c r="Z741" s="146">
        <v>0.27243883704367639</v>
      </c>
      <c r="AA741" s="146"/>
      <c r="AB741" s="146"/>
      <c r="AC741" s="146"/>
      <c r="AD741" s="146"/>
      <c r="AE741" s="146"/>
      <c r="AF741" s="146"/>
      <c r="AG741" s="146"/>
      <c r="AH741" s="146"/>
      <c r="AI741" s="146"/>
      <c r="AJ741" s="146"/>
      <c r="AK741" s="146"/>
      <c r="AL741" s="146">
        <v>2365.2611129731222</v>
      </c>
      <c r="AM741" s="146">
        <v>8.567818906411917E-2</v>
      </c>
      <c r="AN741" s="146">
        <v>0.26198384603864838</v>
      </c>
      <c r="AO741" s="146">
        <v>917.41899130345007</v>
      </c>
      <c r="AP741" s="146">
        <v>863.58367078573815</v>
      </c>
      <c r="AQ741" t="s">
        <v>384</v>
      </c>
      <c r="AR741">
        <f t="shared" si="46"/>
        <v>9.762677251918257</v>
      </c>
      <c r="AS741">
        <f t="shared" si="47"/>
        <v>2.6643645582431001</v>
      </c>
      <c r="AT741">
        <v>0.2</v>
      </c>
      <c r="AU741">
        <v>0</v>
      </c>
      <c r="AV741">
        <v>0.3</v>
      </c>
      <c r="AW741" s="146">
        <v>3</v>
      </c>
      <c r="AX741" s="146">
        <v>0.2550522458267977</v>
      </c>
      <c r="AY741">
        <v>0.18</v>
      </c>
      <c r="AZ741" s="209">
        <v>863.58367078573815</v>
      </c>
      <c r="BA741">
        <v>0.2550522458267977</v>
      </c>
      <c r="BB741" s="249">
        <v>36.581480842408062</v>
      </c>
      <c r="BC741" s="243">
        <v>194.27188272636607</v>
      </c>
      <c r="BD741" s="209">
        <v>91498.175275013404</v>
      </c>
      <c r="BE741" s="243">
        <v>51.003884513728721</v>
      </c>
      <c r="BF741">
        <v>375088.63279432221</v>
      </c>
      <c r="BG741" t="s">
        <v>388</v>
      </c>
      <c r="BH741">
        <v>8.4181696030292439E-6</v>
      </c>
      <c r="BI741">
        <v>2114981.7527501341</v>
      </c>
      <c r="BJ741">
        <f t="shared" si="45"/>
        <v>0.17734840137821062</v>
      </c>
    </row>
    <row r="742" spans="1:62" s="140" customFormat="1" x14ac:dyDescent="0.3">
      <c r="A742" s="140">
        <v>-0.1</v>
      </c>
      <c r="B742" s="140">
        <v>1000</v>
      </c>
      <c r="C742" s="140">
        <v>25</v>
      </c>
      <c r="D742" s="140">
        <v>1100</v>
      </c>
      <c r="E742" s="253">
        <v>21.863434609291719</v>
      </c>
      <c r="F742" s="140">
        <v>1.8258860368807048</v>
      </c>
      <c r="G742" s="140">
        <v>23.38525575667029</v>
      </c>
      <c r="H742" s="140">
        <v>10.998678695601836</v>
      </c>
      <c r="J742" s="140">
        <v>0.30123548331574829</v>
      </c>
      <c r="K742" s="140">
        <v>0.18</v>
      </c>
      <c r="L742" s="140">
        <v>111.42823520794036</v>
      </c>
      <c r="M742" s="140">
        <v>55.482938692750395</v>
      </c>
      <c r="N742" s="140">
        <v>3.0846455169515856</v>
      </c>
      <c r="Z742" s="140">
        <v>0.28045600770073204</v>
      </c>
      <c r="AL742" s="140">
        <v>2504.240590886764</v>
      </c>
      <c r="AM742" s="140">
        <v>7.8078514765009502E-2</v>
      </c>
      <c r="AN742" s="140">
        <v>0.2612801197259948</v>
      </c>
      <c r="AO742" s="140">
        <v>1016.3218593430684</v>
      </c>
      <c r="AP742" s="140">
        <v>961.91783241097119</v>
      </c>
      <c r="AQ742" t="s">
        <v>384</v>
      </c>
      <c r="AR742">
        <f t="shared" si="46"/>
        <v>9.762677251918257</v>
      </c>
      <c r="AS742">
        <f t="shared" si="47"/>
        <v>2.6643645582431001</v>
      </c>
      <c r="AT742" s="140">
        <v>0.2</v>
      </c>
      <c r="AU742">
        <v>0</v>
      </c>
      <c r="AV742">
        <v>0.3</v>
      </c>
      <c r="AW742" s="140">
        <v>3</v>
      </c>
      <c r="AX742" s="140">
        <v>0.2570845450456391</v>
      </c>
      <c r="AY742">
        <v>0.18</v>
      </c>
      <c r="AZ742" s="209">
        <v>961.91783241097119</v>
      </c>
      <c r="BA742" s="140">
        <v>0.2570845450456391</v>
      </c>
      <c r="BB742" s="253">
        <v>35.613097483494826</v>
      </c>
      <c r="BC742" s="245">
        <v>193.54525732302386</v>
      </c>
      <c r="BD742" s="210">
        <v>90543.95304303689</v>
      </c>
      <c r="BE742" s="245">
        <v>50.005994252263264</v>
      </c>
      <c r="BF742" s="140">
        <v>377112.22508816584</v>
      </c>
      <c r="BG742" t="s">
        <v>388</v>
      </c>
      <c r="BH742" s="140">
        <v>8.5359503607692868E-6</v>
      </c>
      <c r="BI742" s="140">
        <v>2105439.5304303691</v>
      </c>
      <c r="BJ742">
        <f t="shared" si="45"/>
        <v>0.17911330134999462</v>
      </c>
    </row>
    <row r="743" spans="1:62" x14ac:dyDescent="0.3">
      <c r="A743">
        <v>-0.1</v>
      </c>
      <c r="B743" s="146">
        <v>1000</v>
      </c>
      <c r="C743" s="146">
        <v>25</v>
      </c>
      <c r="D743" s="146">
        <v>400</v>
      </c>
      <c r="E743" s="252">
        <v>18.160433461875694</v>
      </c>
      <c r="F743" s="146">
        <v>4.4289021792846466</v>
      </c>
      <c r="G743" s="146">
        <v>21.051566571922692</v>
      </c>
      <c r="H743" s="146">
        <v>11.418006099398486</v>
      </c>
      <c r="I743" s="146"/>
      <c r="J743" s="146">
        <v>0.30637906152585059</v>
      </c>
      <c r="K743" s="146">
        <v>0.18</v>
      </c>
      <c r="L743" s="146">
        <v>115.97098116706078</v>
      </c>
      <c r="M743" s="146">
        <v>57.744886888163052</v>
      </c>
      <c r="N743" s="146">
        <v>2.1276138143156267</v>
      </c>
      <c r="O743" s="146"/>
      <c r="P743" s="146"/>
      <c r="Q743" s="146"/>
      <c r="R743" s="146"/>
      <c r="S743" s="146"/>
      <c r="T743" s="146"/>
      <c r="U743" s="146"/>
      <c r="V743" s="146"/>
      <c r="W743" s="146"/>
      <c r="X743" s="146"/>
      <c r="Y743" s="146"/>
      <c r="Z743" s="146">
        <v>0.18633847239122703</v>
      </c>
      <c r="AA743" s="146"/>
      <c r="AB743" s="146"/>
      <c r="AC743" s="146"/>
      <c r="AD743" s="146"/>
      <c r="AE743" s="146"/>
      <c r="AF743" s="146"/>
      <c r="AG743" s="146"/>
      <c r="AH743" s="146"/>
      <c r="AI743" s="146"/>
      <c r="AJ743" s="146"/>
      <c r="AK743" s="146"/>
      <c r="AL743" s="146">
        <v>1351.8175053145028</v>
      </c>
      <c r="AM743" s="146">
        <v>0.21038349636134202</v>
      </c>
      <c r="AN743" s="146">
        <v>0.27186413965350559</v>
      </c>
      <c r="AO743" s="146">
        <v>333.20033497238217</v>
      </c>
      <c r="AP743" s="146">
        <v>288.01059815668992</v>
      </c>
      <c r="AQ743" t="s">
        <v>384</v>
      </c>
      <c r="AR743">
        <f t="shared" si="46"/>
        <v>9.762677251918257</v>
      </c>
      <c r="AS743">
        <f t="shared" si="47"/>
        <v>2.6643645582431001</v>
      </c>
      <c r="AT743">
        <v>0.2</v>
      </c>
      <c r="AU743">
        <v>0</v>
      </c>
      <c r="AV743">
        <v>0.3</v>
      </c>
      <c r="AW743" s="146">
        <v>3</v>
      </c>
      <c r="AX743" s="146">
        <v>0.22934732131898311</v>
      </c>
      <c r="AY743">
        <v>0.18</v>
      </c>
      <c r="AZ743" s="209">
        <v>288.01059815668992</v>
      </c>
      <c r="BA743">
        <v>0.22934732131898311</v>
      </c>
      <c r="BB743" s="249">
        <v>50.620820518561644</v>
      </c>
      <c r="BC743" s="243">
        <v>206.13870401586144</v>
      </c>
      <c r="BD743" s="209">
        <v>105414.76870751687</v>
      </c>
      <c r="BE743" s="243">
        <v>64.534104146007323</v>
      </c>
      <c r="BF743">
        <v>334180.96956826735</v>
      </c>
      <c r="BG743" t="s">
        <v>389</v>
      </c>
      <c r="BH743">
        <v>6.7560263518050233E-6</v>
      </c>
      <c r="BI743">
        <v>2254147.6870751688</v>
      </c>
      <c r="BJ743">
        <f t="shared" si="45"/>
        <v>0.14825158594727136</v>
      </c>
    </row>
    <row r="744" spans="1:62" x14ac:dyDescent="0.3">
      <c r="A744">
        <v>-0.1</v>
      </c>
      <c r="B744" s="146">
        <v>1000</v>
      </c>
      <c r="C744" s="146">
        <v>25</v>
      </c>
      <c r="D744" s="146">
        <v>400</v>
      </c>
      <c r="E744" s="252">
        <v>17.554065400893094</v>
      </c>
      <c r="F744" s="146">
        <v>4.2363720884931846</v>
      </c>
      <c r="G744" s="146">
        <v>20.313897161548951</v>
      </c>
      <c r="H744" s="146">
        <v>11.028743795033176</v>
      </c>
      <c r="I744" s="146"/>
      <c r="J744" s="146">
        <v>0.30986472433286355</v>
      </c>
      <c r="K744" s="146">
        <v>0.18</v>
      </c>
      <c r="L744" s="146">
        <v>112.05552602677814</v>
      </c>
      <c r="M744" s="146">
        <v>55.79528266893518</v>
      </c>
      <c r="N744" s="146">
        <v>2.0609170242240964</v>
      </c>
      <c r="O744" s="146"/>
      <c r="P744" s="146"/>
      <c r="Q744" s="146"/>
      <c r="R744" s="146"/>
      <c r="S744" s="146"/>
      <c r="T744" s="146"/>
      <c r="U744" s="146"/>
      <c r="V744" s="146"/>
      <c r="W744" s="146"/>
      <c r="X744" s="146"/>
      <c r="Y744" s="146"/>
      <c r="Z744" s="146">
        <v>0.18686779405939558</v>
      </c>
      <c r="AA744" s="146"/>
      <c r="AB744" s="146"/>
      <c r="AC744" s="146"/>
      <c r="AD744" s="146"/>
      <c r="AE744" s="146"/>
      <c r="AF744" s="146"/>
      <c r="AG744" s="146"/>
      <c r="AH744" s="146"/>
      <c r="AI744" s="146"/>
      <c r="AJ744" s="146"/>
      <c r="AK744" s="146"/>
      <c r="AL744" s="146">
        <v>1322.5414713473251</v>
      </c>
      <c r="AM744" s="146">
        <v>0.20854551220786813</v>
      </c>
      <c r="AN744" s="146">
        <v>0.2732735469007011</v>
      </c>
      <c r="AO744" s="146">
        <v>335.76375906127612</v>
      </c>
      <c r="AP744" s="146">
        <v>292.08295923527749</v>
      </c>
      <c r="AQ744" t="s">
        <v>384</v>
      </c>
      <c r="AR744">
        <f t="shared" si="46"/>
        <v>9.762677251918257</v>
      </c>
      <c r="AS744">
        <f t="shared" si="47"/>
        <v>2.6643645582431001</v>
      </c>
      <c r="AT744">
        <v>0.2</v>
      </c>
      <c r="AU744">
        <v>0</v>
      </c>
      <c r="AV744">
        <v>0.3</v>
      </c>
      <c r="AW744" s="146">
        <v>2.5</v>
      </c>
      <c r="AX744" s="146">
        <v>0.23158205647056801</v>
      </c>
      <c r="AY744">
        <v>0.18</v>
      </c>
      <c r="AZ744" s="209">
        <v>292.08295923527749</v>
      </c>
      <c r="BA744">
        <v>0.23158205647056801</v>
      </c>
      <c r="BB744" s="249">
        <v>48.602754649889611</v>
      </c>
      <c r="BC744" s="243">
        <v>195.24082951516351</v>
      </c>
      <c r="BD744" s="209">
        <v>98834.493705638</v>
      </c>
      <c r="BE744" s="243">
        <v>61.4174570485429</v>
      </c>
      <c r="BF744">
        <v>381162.83235375641</v>
      </c>
      <c r="BG744" t="s">
        <v>389</v>
      </c>
      <c r="BH744">
        <v>6.562458405194965E-6</v>
      </c>
      <c r="BI744">
        <v>2188344.9370563799</v>
      </c>
      <c r="BJ744">
        <f t="shared" si="45"/>
        <v>0.17417858853023052</v>
      </c>
    </row>
    <row r="745" spans="1:62" x14ac:dyDescent="0.3">
      <c r="A745">
        <v>-0.1</v>
      </c>
      <c r="B745" s="146">
        <v>1000</v>
      </c>
      <c r="C745" s="146">
        <v>25</v>
      </c>
      <c r="D745" s="146">
        <v>400</v>
      </c>
      <c r="E745" s="252">
        <v>15.335130745016919</v>
      </c>
      <c r="F745" s="146">
        <v>3.5824455620024125</v>
      </c>
      <c r="G745" s="146">
        <v>17.65346303278897</v>
      </c>
      <c r="H745" s="146">
        <v>9.6278743701172456</v>
      </c>
      <c r="I745" s="146"/>
      <c r="J745" s="146">
        <v>0.32660568530397416</v>
      </c>
      <c r="K745" s="146">
        <v>0.18</v>
      </c>
      <c r="L745" s="146">
        <v>97.935501588877543</v>
      </c>
      <c r="M745" s="146">
        <v>48.764565106495048</v>
      </c>
      <c r="N745" s="146">
        <v>1.7850239692866392</v>
      </c>
      <c r="O745" s="146"/>
      <c r="P745" s="146"/>
      <c r="Q745" s="146"/>
      <c r="R745" s="146"/>
      <c r="S745" s="146"/>
      <c r="T745" s="146"/>
      <c r="U745" s="146"/>
      <c r="V745" s="146"/>
      <c r="W745" s="146"/>
      <c r="X745" s="146"/>
      <c r="Y745" s="146"/>
      <c r="Z745" s="146">
        <v>0.18540166818409592</v>
      </c>
      <c r="AA745" s="146"/>
      <c r="AB745" s="146"/>
      <c r="AC745" s="146"/>
      <c r="AD745" s="146"/>
      <c r="AE745" s="146"/>
      <c r="AF745" s="146"/>
      <c r="AG745" s="146"/>
      <c r="AH745" s="146"/>
      <c r="AI745" s="146"/>
      <c r="AJ745" s="146"/>
      <c r="AK745" s="146"/>
      <c r="AL745" s="146">
        <v>1199.1579212654999</v>
      </c>
      <c r="AM745" s="146">
        <v>0.20293160358103643</v>
      </c>
      <c r="AN745" s="146">
        <v>0.27783657284849111</v>
      </c>
      <c r="AO745" s="146">
        <v>344.80521197121368</v>
      </c>
      <c r="AP745" s="146">
        <v>306.64593662217942</v>
      </c>
      <c r="AQ745" t="s">
        <v>384</v>
      </c>
      <c r="AR745">
        <f t="shared" si="46"/>
        <v>9.762677251918257</v>
      </c>
      <c r="AS745">
        <f t="shared" si="47"/>
        <v>2.6643645582431001</v>
      </c>
      <c r="AT745">
        <v>0.2</v>
      </c>
      <c r="AU745">
        <v>0</v>
      </c>
      <c r="AV745">
        <v>0.3</v>
      </c>
      <c r="AW745" s="146">
        <v>1.5</v>
      </c>
      <c r="AX745" s="146">
        <v>0.24187381152375115</v>
      </c>
      <c r="AY745">
        <v>0.18</v>
      </c>
      <c r="AZ745" s="209">
        <v>306.64593662217942</v>
      </c>
      <c r="BA745">
        <v>0.24187381152375115</v>
      </c>
      <c r="BB745" s="249">
        <v>41.576317976376423</v>
      </c>
      <c r="BC745" s="243">
        <v>159.96882810908662</v>
      </c>
      <c r="BD745" s="209">
        <v>77725.06718436048</v>
      </c>
      <c r="BE745" s="243">
        <v>50.874974599251651</v>
      </c>
      <c r="BF745">
        <v>501959.05816888128</v>
      </c>
      <c r="BG745" t="s">
        <v>389</v>
      </c>
      <c r="BH745">
        <v>5.8910067436941109E-6</v>
      </c>
      <c r="BI745">
        <v>1977250.6718436047</v>
      </c>
      <c r="BJ745">
        <f t="shared" si="45"/>
        <v>0.25386718301167682</v>
      </c>
    </row>
    <row r="746" spans="1:62" x14ac:dyDescent="0.3">
      <c r="A746">
        <v>-0.1</v>
      </c>
      <c r="B746" s="146">
        <v>1000</v>
      </c>
      <c r="C746" s="146">
        <v>25</v>
      </c>
      <c r="D746" s="146">
        <v>400</v>
      </c>
      <c r="E746" s="252">
        <v>13.297420475961593</v>
      </c>
      <c r="F746" s="146">
        <v>3.0336625084163442</v>
      </c>
      <c r="G746" s="146">
        <v>15.249920975251566</v>
      </c>
      <c r="H746" s="146">
        <v>8.3316831448812056</v>
      </c>
      <c r="I746" s="146"/>
      <c r="J746" s="146">
        <v>0.3375468891520243</v>
      </c>
      <c r="K746" s="146">
        <v>0.18</v>
      </c>
      <c r="L746" s="146">
        <v>84.834267429788426</v>
      </c>
      <c r="M746" s="146">
        <v>42.241129010683039</v>
      </c>
      <c r="N746" s="146">
        <v>1.5726359139923529</v>
      </c>
      <c r="O746" s="146"/>
      <c r="P746" s="146"/>
      <c r="Q746" s="146"/>
      <c r="R746" s="146"/>
      <c r="S746" s="146"/>
      <c r="T746" s="146"/>
      <c r="U746" s="146"/>
      <c r="V746" s="146"/>
      <c r="W746" s="146"/>
      <c r="X746" s="146"/>
      <c r="Y746" s="146"/>
      <c r="Z746" s="146">
        <v>0.18875368717766761</v>
      </c>
      <c r="AA746" s="146"/>
      <c r="AB746" s="146"/>
      <c r="AC746" s="146"/>
      <c r="AD746" s="146"/>
      <c r="AE746" s="146"/>
      <c r="AF746" s="146"/>
      <c r="AG746" s="146"/>
      <c r="AH746" s="146"/>
      <c r="AI746" s="146"/>
      <c r="AJ746" s="146"/>
      <c r="AK746" s="146"/>
      <c r="AL746" s="146">
        <v>1105.8489223990441</v>
      </c>
      <c r="AM746" s="146">
        <v>0.19892971992048636</v>
      </c>
      <c r="AN746" s="146">
        <v>0.28065294537467311</v>
      </c>
      <c r="AO746" s="146">
        <v>352.61970096836336</v>
      </c>
      <c r="AP746" s="146">
        <v>319.53096540286697</v>
      </c>
      <c r="AQ746" t="s">
        <v>384</v>
      </c>
      <c r="AR746">
        <f t="shared" si="46"/>
        <v>9.762677251918257</v>
      </c>
      <c r="AS746">
        <f t="shared" si="47"/>
        <v>2.6643645582431001</v>
      </c>
      <c r="AT746">
        <v>0.2</v>
      </c>
      <c r="AU746">
        <v>0</v>
      </c>
      <c r="AV746">
        <v>0.3</v>
      </c>
      <c r="AW746" s="146">
        <v>1</v>
      </c>
      <c r="AX746" s="146">
        <v>0.24842743383638094</v>
      </c>
      <c r="AY746">
        <v>0.18</v>
      </c>
      <c r="AZ746" s="209">
        <v>319.53096540286697</v>
      </c>
      <c r="BA746">
        <v>0.24842743383638094</v>
      </c>
      <c r="BB746" s="249">
        <v>35.549023390135886</v>
      </c>
      <c r="BC746" s="243">
        <v>131.6423273373232</v>
      </c>
      <c r="BD746" s="209">
        <v>61606.33483196274</v>
      </c>
      <c r="BE746" s="243">
        <v>42.625370695397159</v>
      </c>
      <c r="BF746">
        <v>573843.07255837868</v>
      </c>
      <c r="BG746" t="s">
        <v>389</v>
      </c>
      <c r="BH746">
        <v>5.2519402635498088E-6</v>
      </c>
      <c r="BI746">
        <v>1816063.3483196273</v>
      </c>
      <c r="BJ746">
        <f t="shared" si="45"/>
        <v>0.31598185883182212</v>
      </c>
    </row>
    <row r="747" spans="1:62" x14ac:dyDescent="0.3">
      <c r="A747">
        <v>-0.1</v>
      </c>
      <c r="B747" s="146">
        <v>1000</v>
      </c>
      <c r="C747" s="146">
        <v>25</v>
      </c>
      <c r="D747" s="146">
        <v>400</v>
      </c>
      <c r="E747" s="252">
        <v>12.155395666597336</v>
      </c>
      <c r="F747" s="146">
        <v>2.7450362123323107</v>
      </c>
      <c r="G747" s="146">
        <v>13.916528360716867</v>
      </c>
      <c r="H747" s="146">
        <v>7.5888598018321183</v>
      </c>
      <c r="I747" s="146"/>
      <c r="J747" s="146">
        <v>0.34035110446310812</v>
      </c>
      <c r="K747" s="146">
        <v>0.18</v>
      </c>
      <c r="L747" s="146">
        <v>77.312160595059112</v>
      </c>
      <c r="M747" s="146">
        <v>38.49568162409583</v>
      </c>
      <c r="N747" s="146">
        <v>1.4685881779013927</v>
      </c>
      <c r="O747" s="146"/>
      <c r="P747" s="146"/>
      <c r="Q747" s="146"/>
      <c r="R747" s="146"/>
      <c r="S747" s="146"/>
      <c r="T747" s="146"/>
      <c r="U747" s="146"/>
      <c r="V747" s="146"/>
      <c r="W747" s="146"/>
      <c r="X747" s="146"/>
      <c r="Y747" s="146"/>
      <c r="Z747" s="146">
        <v>0.19351894965128269</v>
      </c>
      <c r="AA747" s="146"/>
      <c r="AB747" s="146"/>
      <c r="AC747" s="146"/>
      <c r="AD747" s="146"/>
      <c r="AE747" s="146"/>
      <c r="AF747" s="146"/>
      <c r="AG747" s="146"/>
      <c r="AH747" s="146"/>
      <c r="AI747" s="146"/>
      <c r="AJ747" s="146"/>
      <c r="AK747" s="146"/>
      <c r="AL747" s="146">
        <v>1060.7978941065082</v>
      </c>
      <c r="AM747" s="146">
        <v>0.19725007136700209</v>
      </c>
      <c r="AN747" s="146">
        <v>0.28105464303488031</v>
      </c>
      <c r="AO747" s="146">
        <v>356.75077438557457</v>
      </c>
      <c r="AP747" s="146">
        <v>326.5038051558119</v>
      </c>
      <c r="AQ747" t="s">
        <v>384</v>
      </c>
      <c r="AR747">
        <f t="shared" si="46"/>
        <v>9.762677251918257</v>
      </c>
      <c r="AS747">
        <f t="shared" si="47"/>
        <v>2.6643645582431001</v>
      </c>
      <c r="AT747">
        <v>0.2</v>
      </c>
      <c r="AU747">
        <v>0</v>
      </c>
      <c r="AV747">
        <v>0.3</v>
      </c>
      <c r="AW747" s="146">
        <v>0.8</v>
      </c>
      <c r="AX747" s="146">
        <v>0.24982780819091338</v>
      </c>
      <c r="AY747">
        <v>0.18</v>
      </c>
      <c r="AZ747" s="209">
        <v>326.5038051558119</v>
      </c>
      <c r="BA747">
        <v>0.24982780819091338</v>
      </c>
      <c r="BB747" s="249">
        <v>32.324968241791275</v>
      </c>
      <c r="BC747" s="243">
        <v>116.84674232835073</v>
      </c>
      <c r="BD747" s="209">
        <v>53740.237004777089</v>
      </c>
      <c r="BE747" s="243">
        <v>38.599092852999902</v>
      </c>
      <c r="BF747">
        <v>601980.26619754639</v>
      </c>
      <c r="BG747" t="s">
        <v>389</v>
      </c>
      <c r="BH747">
        <v>4.8758996661744088E-6</v>
      </c>
      <c r="BI747">
        <v>1737402.3700477709</v>
      </c>
      <c r="BJ747">
        <f t="shared" si="45"/>
        <v>0.34648293140120129</v>
      </c>
    </row>
    <row r="748" spans="1:62" x14ac:dyDescent="0.3">
      <c r="A748">
        <v>-0.1</v>
      </c>
      <c r="B748" s="146">
        <v>1000</v>
      </c>
      <c r="C748" s="146">
        <v>25</v>
      </c>
      <c r="D748" s="146">
        <v>400</v>
      </c>
      <c r="E748" s="252">
        <v>10.774581735090662</v>
      </c>
      <c r="F748" s="146">
        <v>2.4114962742842496</v>
      </c>
      <c r="G748" s="146">
        <v>12.315589952196355</v>
      </c>
      <c r="H748" s="146">
        <v>6.6893868339551243</v>
      </c>
      <c r="I748" s="146"/>
      <c r="J748" s="146">
        <v>0.34334719786034451</v>
      </c>
      <c r="K748" s="146">
        <v>0.18</v>
      </c>
      <c r="L748" s="146">
        <v>68.19086506911556</v>
      </c>
      <c r="M748" s="146">
        <v>33.953957710762936</v>
      </c>
      <c r="N748" s="146">
        <v>1.3365738659736319</v>
      </c>
      <c r="O748" s="146"/>
      <c r="P748" s="146"/>
      <c r="Q748" s="146"/>
      <c r="R748" s="146"/>
      <c r="S748" s="146"/>
      <c r="T748" s="146"/>
      <c r="U748" s="146"/>
      <c r="V748" s="146"/>
      <c r="W748" s="146"/>
      <c r="X748" s="146"/>
      <c r="Y748" s="146"/>
      <c r="Z748" s="146">
        <v>0.19980513896867552</v>
      </c>
      <c r="AA748" s="146"/>
      <c r="AB748" s="146"/>
      <c r="AC748" s="146"/>
      <c r="AD748" s="146"/>
      <c r="AE748" s="146"/>
      <c r="AF748" s="146"/>
      <c r="AG748" s="146"/>
      <c r="AH748" s="146"/>
      <c r="AI748" s="146"/>
      <c r="AJ748" s="146"/>
      <c r="AK748" s="146"/>
      <c r="AL748" s="146">
        <v>1003.086920943529</v>
      </c>
      <c r="AM748" s="146">
        <v>0.19580842522726122</v>
      </c>
      <c r="AN748" s="146">
        <v>0.28066844581058892</v>
      </c>
      <c r="AO748" s="146">
        <v>361.61099726058279</v>
      </c>
      <c r="AP748" s="146">
        <v>334.79998795671315</v>
      </c>
      <c r="AQ748" t="s">
        <v>384</v>
      </c>
      <c r="AR748">
        <f t="shared" si="46"/>
        <v>9.762677251918257</v>
      </c>
      <c r="AS748">
        <f t="shared" si="47"/>
        <v>2.6643645582431001</v>
      </c>
      <c r="AT748">
        <v>0.2</v>
      </c>
      <c r="AU748">
        <v>0</v>
      </c>
      <c r="AV748">
        <v>0.3</v>
      </c>
      <c r="AW748" s="146">
        <v>0.6</v>
      </c>
      <c r="AX748" s="146">
        <v>0.25103553553467589</v>
      </c>
      <c r="AY748">
        <v>0.18</v>
      </c>
      <c r="AZ748" s="209">
        <v>334.79998795671315</v>
      </c>
      <c r="BA748">
        <v>0.25103553553467589</v>
      </c>
      <c r="BB748" s="249">
        <v>28.535366421438624</v>
      </c>
      <c r="BC748" s="243">
        <v>100.07225871690484</v>
      </c>
      <c r="BD748" s="209">
        <v>44958.238503474531</v>
      </c>
      <c r="BE748" s="243">
        <v>34.031773268522542</v>
      </c>
      <c r="BF748">
        <v>632569.21753731219</v>
      </c>
      <c r="BG748" t="s">
        <v>389</v>
      </c>
      <c r="BH748">
        <v>4.3918872151595828E-6</v>
      </c>
      <c r="BI748">
        <v>1649582.3850347453</v>
      </c>
      <c r="BJ748">
        <f t="shared" si="45"/>
        <v>0.38347234019717563</v>
      </c>
    </row>
    <row r="749" spans="1:62" x14ac:dyDescent="0.3">
      <c r="A749">
        <v>-0.1</v>
      </c>
      <c r="B749" s="146">
        <v>1000</v>
      </c>
      <c r="C749" s="146">
        <v>25</v>
      </c>
      <c r="D749" s="146">
        <v>400</v>
      </c>
      <c r="E749" s="252">
        <v>8.9244643642403716</v>
      </c>
      <c r="F749" s="146">
        <v>1.9790064603578461</v>
      </c>
      <c r="G749" s="146">
        <v>10.183084939912675</v>
      </c>
      <c r="H749" s="146">
        <v>5.5122108716011269</v>
      </c>
      <c r="I749" s="146"/>
      <c r="J749" s="146">
        <v>0.34816563720933696</v>
      </c>
      <c r="K749" s="146">
        <v>0.18</v>
      </c>
      <c r="L749" s="146">
        <v>56.233273332854061</v>
      </c>
      <c r="M749" s="146">
        <v>27.999970124242687</v>
      </c>
      <c r="N749" s="146">
        <v>1.1572065940394154</v>
      </c>
      <c r="O749" s="146"/>
      <c r="P749" s="146"/>
      <c r="Q749" s="146"/>
      <c r="R749" s="146"/>
      <c r="S749" s="146"/>
      <c r="T749" s="146"/>
      <c r="U749" s="146"/>
      <c r="V749" s="146"/>
      <c r="W749" s="146"/>
      <c r="X749" s="146"/>
      <c r="Y749" s="146"/>
      <c r="Z749" s="146">
        <v>0.20993510970368276</v>
      </c>
      <c r="AA749" s="146"/>
      <c r="AB749" s="146"/>
      <c r="AC749" s="146"/>
      <c r="AD749" s="146"/>
      <c r="AE749" s="146"/>
      <c r="AF749" s="146"/>
      <c r="AG749" s="146"/>
      <c r="AH749" s="146"/>
      <c r="AI749" s="146"/>
      <c r="AJ749" s="146"/>
      <c r="AK749" s="146"/>
      <c r="AL749" s="146">
        <v>924.60906554402129</v>
      </c>
      <c r="AM749" s="146">
        <v>0.19434252704709512</v>
      </c>
      <c r="AN749" s="146">
        <v>0.28075850200408103</v>
      </c>
      <c r="AO749" s="146">
        <v>368.21302186563651</v>
      </c>
      <c r="AP749" s="146">
        <v>346.00576852431362</v>
      </c>
      <c r="AQ749" t="s">
        <v>384</v>
      </c>
      <c r="AR749">
        <f t="shared" si="46"/>
        <v>9.762677251918257</v>
      </c>
      <c r="AS749">
        <f t="shared" si="47"/>
        <v>2.6643645582431001</v>
      </c>
      <c r="AT749">
        <v>0.2</v>
      </c>
      <c r="AU749">
        <v>0</v>
      </c>
      <c r="AV749">
        <v>0.3</v>
      </c>
      <c r="AW749" s="146">
        <v>0.4</v>
      </c>
      <c r="AX749" s="146">
        <v>0.25326805652350798</v>
      </c>
      <c r="AY749">
        <v>0.18</v>
      </c>
      <c r="AZ749" s="209">
        <v>346.00576852431362</v>
      </c>
      <c r="BA749">
        <v>0.25326805652350798</v>
      </c>
      <c r="BB749" s="249">
        <v>23.55128380181565</v>
      </c>
      <c r="BC749" s="243">
        <v>79.69313015223662</v>
      </c>
      <c r="BD749" s="209">
        <v>34576.093921254069</v>
      </c>
      <c r="BE749" s="243">
        <v>27.953808045115821</v>
      </c>
      <c r="BF749">
        <v>651590.58886641392</v>
      </c>
      <c r="BG749" t="s">
        <v>389</v>
      </c>
      <c r="BH749">
        <v>3.7230813303864624E-6</v>
      </c>
      <c r="BI749">
        <v>1545760.9392125406</v>
      </c>
      <c r="BJ749">
        <f t="shared" si="45"/>
        <v>0.42153386874839438</v>
      </c>
    </row>
    <row r="750" spans="1:62" x14ac:dyDescent="0.3">
      <c r="A750">
        <v>-0.1</v>
      </c>
      <c r="B750" s="146">
        <v>1000</v>
      </c>
      <c r="C750" s="146">
        <v>25</v>
      </c>
      <c r="D750" s="146">
        <v>400</v>
      </c>
      <c r="E750" s="252">
        <v>7.7447896466815251</v>
      </c>
      <c r="F750" s="146">
        <v>1.7142502631390739</v>
      </c>
      <c r="G750" s="146">
        <v>8.8314157002659588</v>
      </c>
      <c r="H750" s="146">
        <v>4.7680503964699588</v>
      </c>
      <c r="I750" s="146"/>
      <c r="J750" s="146">
        <v>0.35272949946178334</v>
      </c>
      <c r="K750" s="146">
        <v>0.18</v>
      </c>
      <c r="L750" s="146">
        <v>48.663539997447771</v>
      </c>
      <c r="M750" s="146">
        <v>24.230808297484366</v>
      </c>
      <c r="N750" s="146">
        <v>1.0299683448402375</v>
      </c>
      <c r="O750" s="146"/>
      <c r="P750" s="146"/>
      <c r="Q750" s="146"/>
      <c r="R750" s="146"/>
      <c r="S750" s="146"/>
      <c r="T750" s="146"/>
      <c r="U750" s="146"/>
      <c r="V750" s="146"/>
      <c r="W750" s="146"/>
      <c r="X750" s="146"/>
      <c r="Y750" s="146"/>
      <c r="Z750" s="146">
        <v>0.21601456763183077</v>
      </c>
      <c r="AA750" s="146"/>
      <c r="AB750" s="146"/>
      <c r="AC750" s="146"/>
      <c r="AD750" s="146"/>
      <c r="AE750" s="146"/>
      <c r="AF750" s="146"/>
      <c r="AG750" s="146"/>
      <c r="AH750" s="146"/>
      <c r="AI750" s="146"/>
      <c r="AJ750" s="146"/>
      <c r="AK750" s="146"/>
      <c r="AL750" s="146">
        <v>868.08512111120513</v>
      </c>
      <c r="AM750" s="146">
        <v>0.19410820657977285</v>
      </c>
      <c r="AN750" s="146">
        <v>0.28033157498967221</v>
      </c>
      <c r="AO750" s="146">
        <v>372.37275306227332</v>
      </c>
      <c r="AP750" s="146">
        <v>353.10094869108639</v>
      </c>
      <c r="AQ750" t="s">
        <v>384</v>
      </c>
      <c r="AR750">
        <f t="shared" si="46"/>
        <v>9.762677251918257</v>
      </c>
      <c r="AS750">
        <f t="shared" si="47"/>
        <v>2.6643645582431001</v>
      </c>
      <c r="AT750">
        <v>0.2</v>
      </c>
      <c r="AU750">
        <v>0</v>
      </c>
      <c r="AV750">
        <v>0.3</v>
      </c>
      <c r="AW750" s="146">
        <v>0.3</v>
      </c>
      <c r="AX750" s="146">
        <v>0.25556342239284829</v>
      </c>
      <c r="AY750">
        <v>0.18</v>
      </c>
      <c r="AZ750" s="209">
        <v>353.10094869108639</v>
      </c>
      <c r="BA750">
        <v>0.25556342239284829</v>
      </c>
      <c r="BB750" s="249">
        <v>20.443797560568875</v>
      </c>
      <c r="BC750" s="243">
        <v>67.584871090096883</v>
      </c>
      <c r="BD750" s="209">
        <v>28622.033053499523</v>
      </c>
      <c r="BE750" s="243">
        <v>24.215497715861687</v>
      </c>
      <c r="BF750">
        <v>654447.77993586648</v>
      </c>
      <c r="BG750" t="s">
        <v>389</v>
      </c>
      <c r="BH750">
        <v>3.2752611328783175E-6</v>
      </c>
      <c r="BI750">
        <v>1486220.3305349953</v>
      </c>
      <c r="BJ750">
        <f t="shared" si="45"/>
        <v>0.44034371384240495</v>
      </c>
    </row>
    <row r="751" spans="1:62" x14ac:dyDescent="0.3">
      <c r="A751">
        <v>-0.1</v>
      </c>
      <c r="B751" s="146">
        <v>1000</v>
      </c>
      <c r="C751" s="146">
        <v>25</v>
      </c>
      <c r="D751" s="146">
        <v>400</v>
      </c>
      <c r="E751" s="252">
        <v>6.2909277941749471</v>
      </c>
      <c r="F751" s="146">
        <v>1.3947371847179064</v>
      </c>
      <c r="G751" s="146">
        <v>7.1712865834869026</v>
      </c>
      <c r="H751" s="146">
        <v>3.863667943553859</v>
      </c>
      <c r="I751" s="146"/>
      <c r="J751" s="146">
        <v>0.35991145724412982</v>
      </c>
      <c r="K751" s="146">
        <v>0.18</v>
      </c>
      <c r="L751" s="146">
        <v>39.453695951501118</v>
      </c>
      <c r="M751" s="146">
        <v>19.64499383477234</v>
      </c>
      <c r="N751" s="146">
        <v>0.86686588530195108</v>
      </c>
      <c r="O751" s="146"/>
      <c r="P751" s="146"/>
      <c r="Q751" s="146"/>
      <c r="R751" s="146"/>
      <c r="S751" s="146"/>
      <c r="T751" s="146"/>
      <c r="U751" s="146"/>
      <c r="V751" s="146"/>
      <c r="W751" s="146"/>
      <c r="X751" s="146"/>
      <c r="Y751" s="146"/>
      <c r="Z751" s="146">
        <v>0.22436345409760938</v>
      </c>
      <c r="AA751" s="146"/>
      <c r="AB751" s="146"/>
      <c r="AC751" s="146"/>
      <c r="AD751" s="146"/>
      <c r="AE751" s="146"/>
      <c r="AF751" s="146"/>
      <c r="AG751" s="146"/>
      <c r="AH751" s="146"/>
      <c r="AI751" s="146"/>
      <c r="AJ751" s="146"/>
      <c r="AK751" s="146"/>
      <c r="AL751" s="146">
        <v>795.315322195607</v>
      </c>
      <c r="AM751" s="146">
        <v>0.19448911551373838</v>
      </c>
      <c r="AN751" s="146">
        <v>0.28005050131041814</v>
      </c>
      <c r="AO751" s="146">
        <v>377.53645230150164</v>
      </c>
      <c r="AP751" s="146">
        <v>361.8823795446321</v>
      </c>
      <c r="AQ751" t="s">
        <v>384</v>
      </c>
      <c r="AR751">
        <f t="shared" si="46"/>
        <v>9.762677251918257</v>
      </c>
      <c r="AS751">
        <f t="shared" si="47"/>
        <v>2.6643645582431001</v>
      </c>
      <c r="AT751">
        <v>0.2</v>
      </c>
      <c r="AU751">
        <v>0</v>
      </c>
      <c r="AV751">
        <v>0.3</v>
      </c>
      <c r="AW751" s="146">
        <v>0.2</v>
      </c>
      <c r="AX751" s="146">
        <v>0.25969346307743763</v>
      </c>
      <c r="AY751">
        <v>0.18</v>
      </c>
      <c r="AZ751" s="209">
        <v>361.8823795446321</v>
      </c>
      <c r="BA751">
        <v>0.25969346307743763</v>
      </c>
      <c r="BB751" s="249">
        <v>16.654521706247429</v>
      </c>
      <c r="BC751" s="243">
        <v>53.554522214346235</v>
      </c>
      <c r="BD751" s="209">
        <v>21953.700380506001</v>
      </c>
      <c r="BE751" s="243">
        <v>19.6415565668547</v>
      </c>
      <c r="BF751">
        <v>650059.19002951984</v>
      </c>
      <c r="BG751" t="s">
        <v>389</v>
      </c>
      <c r="BH751">
        <v>2.6931087410505822E-6</v>
      </c>
      <c r="BI751">
        <v>1419537.0038050599</v>
      </c>
      <c r="BJ751">
        <f t="shared" si="45"/>
        <v>0.4579374741813988</v>
      </c>
    </row>
    <row r="752" spans="1:62" s="140" customFormat="1" x14ac:dyDescent="0.3">
      <c r="A752" s="140">
        <v>-0.1</v>
      </c>
      <c r="B752" s="140">
        <v>1000</v>
      </c>
      <c r="C752" s="140">
        <v>25</v>
      </c>
      <c r="D752" s="140">
        <v>400</v>
      </c>
      <c r="E752" s="253">
        <v>4.2987663660851769</v>
      </c>
      <c r="F752" s="140">
        <v>0.96596961107532486</v>
      </c>
      <c r="G752" s="140">
        <v>4.9043891046145021</v>
      </c>
      <c r="H752" s="140">
        <v>2.638663775566751</v>
      </c>
      <c r="J752" s="140">
        <v>0.37392728801220487</v>
      </c>
      <c r="K752" s="140">
        <v>0.18</v>
      </c>
      <c r="L752" s="140">
        <v>26.96233164795882</v>
      </c>
      <c r="M752" s="140">
        <v>13.425227376577006</v>
      </c>
      <c r="N752" s="140">
        <v>0.62637971758275146</v>
      </c>
      <c r="Z752" s="140">
        <v>0.23738519601581795</v>
      </c>
      <c r="AL752" s="140">
        <v>687.12139516448337</v>
      </c>
      <c r="AM752" s="140">
        <v>0.19696023102376839</v>
      </c>
      <c r="AN752" s="140">
        <v>0.2796564095473808</v>
      </c>
      <c r="AO752" s="140">
        <v>384.62840035369595</v>
      </c>
      <c r="AP752" s="140">
        <v>373.93153637310763</v>
      </c>
      <c r="AQ752" t="s">
        <v>384</v>
      </c>
      <c r="AR752">
        <f t="shared" si="46"/>
        <v>9.762677251918257</v>
      </c>
      <c r="AS752">
        <f t="shared" si="47"/>
        <v>2.6643645582431001</v>
      </c>
      <c r="AT752" s="140">
        <v>0.2</v>
      </c>
      <c r="AU752">
        <v>0</v>
      </c>
      <c r="AV752">
        <v>0.3</v>
      </c>
      <c r="AW752" s="140">
        <v>0.1</v>
      </c>
      <c r="AX752" s="140">
        <v>0.26956897403846053</v>
      </c>
      <c r="AY752">
        <v>0.18</v>
      </c>
      <c r="AZ752" s="209">
        <v>373.93153637310763</v>
      </c>
      <c r="BA752" s="140">
        <v>0.26956897403846053</v>
      </c>
      <c r="BB752" s="253">
        <v>11.510095545470312</v>
      </c>
      <c r="BC752" s="245">
        <v>35.574814350516398</v>
      </c>
      <c r="BD752" s="210">
        <v>13882.219961791243</v>
      </c>
      <c r="BE752" s="245">
        <v>13.480358846148778</v>
      </c>
      <c r="BF752" s="140">
        <v>615302.64380787953</v>
      </c>
      <c r="BG752" t="s">
        <v>389</v>
      </c>
      <c r="BH752" s="140">
        <v>1.8529011469274162E-6</v>
      </c>
      <c r="BI752" s="140">
        <v>1338822.1996179125</v>
      </c>
      <c r="BJ752">
        <f t="shared" si="45"/>
        <v>0.45958503226453912</v>
      </c>
    </row>
    <row r="753" spans="1:62" x14ac:dyDescent="0.3">
      <c r="A753">
        <v>-0.1</v>
      </c>
      <c r="B753" s="146">
        <v>1000</v>
      </c>
      <c r="C753" s="146">
        <v>25</v>
      </c>
      <c r="D753" s="146">
        <v>400</v>
      </c>
      <c r="E753" s="252">
        <v>18.162897700122379</v>
      </c>
      <c r="F753" s="146">
        <v>4.4299548174166068</v>
      </c>
      <c r="G753" s="146">
        <v>21.054693844545852</v>
      </c>
      <c r="H753" s="146">
        <v>11.41906720352666</v>
      </c>
      <c r="I753" s="146"/>
      <c r="J753" s="146">
        <v>0.30635403646765397</v>
      </c>
      <c r="K753" s="146">
        <v>0.18</v>
      </c>
      <c r="L753" s="146">
        <v>115.98167101330466</v>
      </c>
      <c r="M753" s="146">
        <v>57.750209633180745</v>
      </c>
      <c r="N753" s="146">
        <v>2.1276611938024423</v>
      </c>
      <c r="O753" s="146"/>
      <c r="P753" s="146"/>
      <c r="Q753" s="146"/>
      <c r="R753" s="146"/>
      <c r="S753" s="146"/>
      <c r="T753" s="146"/>
      <c r="U753" s="146"/>
      <c r="V753" s="146"/>
      <c r="W753" s="146"/>
      <c r="X753" s="146"/>
      <c r="Y753" s="146"/>
      <c r="Z753" s="146">
        <v>0.1863253062514017</v>
      </c>
      <c r="AA753" s="146"/>
      <c r="AB753" s="146"/>
      <c r="AC753" s="146"/>
      <c r="AD753" s="146"/>
      <c r="AE753" s="146"/>
      <c r="AF753" s="146"/>
      <c r="AG753" s="146"/>
      <c r="AH753" s="146"/>
      <c r="AI753" s="146"/>
      <c r="AJ753" s="146"/>
      <c r="AK753" s="146"/>
      <c r="AL753" s="146">
        <v>1351.8174826676582</v>
      </c>
      <c r="AM753" s="146">
        <v>0.21040224332514679</v>
      </c>
      <c r="AN753" s="146">
        <v>0.2718293849546185</v>
      </c>
      <c r="AO753" s="146">
        <v>333.18272892698985</v>
      </c>
      <c r="AP753" s="146">
        <v>287.98688576643741</v>
      </c>
      <c r="AQ753" t="s">
        <v>384</v>
      </c>
      <c r="AR753">
        <f t="shared" si="46"/>
        <v>9.762677251918257</v>
      </c>
      <c r="AS753">
        <f t="shared" si="47"/>
        <v>2.6643645582431001</v>
      </c>
      <c r="AT753">
        <v>0.2</v>
      </c>
      <c r="AU753">
        <v>0</v>
      </c>
      <c r="AV753">
        <v>0.3</v>
      </c>
      <c r="AW753" s="146">
        <v>3</v>
      </c>
      <c r="AX753" s="146">
        <v>0.22932535153987185</v>
      </c>
      <c r="AY753">
        <v>0.18</v>
      </c>
      <c r="AZ753" s="209">
        <v>287.98688576643741</v>
      </c>
      <c r="BA753">
        <v>0.22932535153987185</v>
      </c>
      <c r="BB753" s="249">
        <v>50.630995409396988</v>
      </c>
      <c r="BC753" s="243">
        <v>206.16922939761363</v>
      </c>
      <c r="BD753" s="209">
        <v>105443.72828919967</v>
      </c>
      <c r="BE753" s="243">
        <v>64.558264888454588</v>
      </c>
      <c r="BF753">
        <v>334295.42792006495</v>
      </c>
      <c r="BG753" t="s">
        <v>390</v>
      </c>
      <c r="BH753">
        <v>6.7558719182887052E-6</v>
      </c>
      <c r="BI753">
        <v>2254437.2828919967</v>
      </c>
      <c r="BJ753">
        <f t="shared" si="45"/>
        <v>0.14828331240655765</v>
      </c>
    </row>
    <row r="754" spans="1:62" s="140" customFormat="1" x14ac:dyDescent="0.3">
      <c r="A754">
        <v>-0.2</v>
      </c>
      <c r="B754" s="146">
        <v>1000</v>
      </c>
      <c r="C754" s="146">
        <v>25</v>
      </c>
      <c r="D754" s="146">
        <v>400</v>
      </c>
      <c r="E754" s="252">
        <v>18.049698241539812</v>
      </c>
      <c r="F754" s="146">
        <v>4.5036859060830485</v>
      </c>
      <c r="G754" s="146">
        <v>20.980353965993814</v>
      </c>
      <c r="H754" s="146">
        <v>11.433394081172802</v>
      </c>
      <c r="I754" s="146"/>
      <c r="J754" s="146">
        <v>0.30708896512532585</v>
      </c>
      <c r="K754" s="146">
        <v>0.18</v>
      </c>
      <c r="L754" s="146">
        <v>116.13877542725038</v>
      </c>
      <c r="M754" s="146">
        <v>57.828435897386093</v>
      </c>
      <c r="N754" s="146">
        <v>2.1034229556443833</v>
      </c>
      <c r="O754" s="146"/>
      <c r="P754" s="146"/>
      <c r="Q754" s="146"/>
      <c r="R754" s="146"/>
      <c r="S754" s="146"/>
      <c r="T754" s="146"/>
      <c r="U754" s="146"/>
      <c r="V754" s="146"/>
      <c r="W754" s="146"/>
      <c r="X754" s="146"/>
      <c r="Y754" s="146"/>
      <c r="Z754" s="146">
        <v>0.18397187577991897</v>
      </c>
      <c r="AA754" s="146"/>
      <c r="AB754" s="146"/>
      <c r="AC754" s="146"/>
      <c r="AD754" s="146"/>
      <c r="AE754" s="146"/>
      <c r="AF754" s="146"/>
      <c r="AG754" s="146"/>
      <c r="AH754" s="146"/>
      <c r="AI754" s="146"/>
      <c r="AJ754" s="146"/>
      <c r="AK754" s="146"/>
      <c r="AL754" s="146">
        <v>1332.1660341969177</v>
      </c>
      <c r="AM754" s="146">
        <v>0.21466205543447389</v>
      </c>
      <c r="AN754" s="146">
        <v>0.24185161871963148</v>
      </c>
      <c r="AO754" s="146">
        <v>325.36871021539832</v>
      </c>
      <c r="AP754" s="146">
        <v>280.45455637472708</v>
      </c>
      <c r="AQ754" t="s">
        <v>384</v>
      </c>
      <c r="AR754">
        <f t="shared" si="46"/>
        <v>9.762677251918257</v>
      </c>
      <c r="AS754">
        <f t="shared" si="47"/>
        <v>2.6643645582431001</v>
      </c>
      <c r="AT754">
        <v>0.2</v>
      </c>
      <c r="AU754">
        <v>0</v>
      </c>
      <c r="AV754">
        <v>0.3</v>
      </c>
      <c r="AW754" s="146">
        <v>3</v>
      </c>
      <c r="AX754" s="146">
        <v>0.22902833356641578</v>
      </c>
      <c r="AY754">
        <v>0.18</v>
      </c>
      <c r="AZ754" s="209">
        <v>280.45455637472708</v>
      </c>
      <c r="BA754" s="140">
        <v>0.22902833356641578</v>
      </c>
      <c r="BB754" s="253">
        <v>51.039601582891422</v>
      </c>
      <c r="BC754" s="245">
        <v>206.61835186342341</v>
      </c>
      <c r="BD754" s="210">
        <v>105865.20924398358</v>
      </c>
      <c r="BE754" s="245">
        <v>64.906756701567687</v>
      </c>
      <c r="BF754" s="140">
        <v>332657.2715061832</v>
      </c>
      <c r="BG754" t="s">
        <v>390</v>
      </c>
      <c r="BH754" s="140">
        <v>6.705566132117122E-6</v>
      </c>
      <c r="BI754" s="140">
        <v>2258652.0924398359</v>
      </c>
      <c r="BJ754">
        <f t="shared" si="45"/>
        <v>0.14728132438796315</v>
      </c>
    </row>
    <row r="755" spans="1:62" x14ac:dyDescent="0.3">
      <c r="A755">
        <v>-0.3</v>
      </c>
      <c r="B755" s="146">
        <v>1000</v>
      </c>
      <c r="C755" s="146">
        <v>25</v>
      </c>
      <c r="D755" s="146">
        <v>400</v>
      </c>
      <c r="E755" s="252">
        <v>17.894275543459894</v>
      </c>
      <c r="F755" s="146">
        <v>4.5967907351766515</v>
      </c>
      <c r="G755" s="146">
        <v>20.873685469944114</v>
      </c>
      <c r="H755" s="146">
        <v>11.449167555499773</v>
      </c>
      <c r="I755" s="146"/>
      <c r="J755" s="146">
        <v>0.3082029762518817</v>
      </c>
      <c r="K755" s="146">
        <v>0.18</v>
      </c>
      <c r="L755" s="146">
        <v>116.3148135621453</v>
      </c>
      <c r="M755" s="146">
        <v>57.916089740487294</v>
      </c>
      <c r="N755" s="146">
        <v>2.0716233518747735</v>
      </c>
      <c r="O755" s="146"/>
      <c r="P755" s="146"/>
      <c r="Q755" s="146"/>
      <c r="R755" s="146"/>
      <c r="S755" s="146"/>
      <c r="T755" s="146"/>
      <c r="U755" s="146"/>
      <c r="V755" s="146"/>
      <c r="W755" s="146"/>
      <c r="X755" s="146"/>
      <c r="Y755" s="146"/>
      <c r="Z755" s="146">
        <v>0.18094095853105402</v>
      </c>
      <c r="AA755" s="146"/>
      <c r="AB755" s="146"/>
      <c r="AC755" s="146"/>
      <c r="AD755" s="146"/>
      <c r="AE755" s="146"/>
      <c r="AF755" s="146"/>
      <c r="AG755" s="146"/>
      <c r="AH755" s="146"/>
      <c r="AI755" s="146"/>
      <c r="AJ755" s="146"/>
      <c r="AK755" s="146"/>
      <c r="AL755" s="146">
        <v>1306.8586397560771</v>
      </c>
      <c r="AM755" s="146">
        <v>0.22021941174669615</v>
      </c>
      <c r="AN755" s="146">
        <v>0.21195294743812643</v>
      </c>
      <c r="AO755" s="146">
        <v>315.57430193942639</v>
      </c>
      <c r="AP755" s="146">
        <v>271.04696381869138</v>
      </c>
      <c r="AQ755" t="s">
        <v>384</v>
      </c>
      <c r="AR755">
        <f t="shared" si="46"/>
        <v>9.762677251918257</v>
      </c>
      <c r="AS755">
        <f t="shared" si="47"/>
        <v>2.6643645582431001</v>
      </c>
      <c r="AT755">
        <v>0.2</v>
      </c>
      <c r="AU755">
        <v>0</v>
      </c>
      <c r="AV755">
        <v>0.3</v>
      </c>
      <c r="AW755" s="146">
        <v>3</v>
      </c>
      <c r="AX755" s="146">
        <v>0.22875482495615168</v>
      </c>
      <c r="AY755">
        <v>0.18</v>
      </c>
      <c r="AZ755" s="209">
        <v>271.04696381869138</v>
      </c>
      <c r="BA755">
        <v>0.22875482495615168</v>
      </c>
      <c r="BB755" s="249">
        <v>51.541139206557247</v>
      </c>
      <c r="BC755" s="243">
        <v>207.12272383742851</v>
      </c>
      <c r="BD755" s="209">
        <v>106328.64014328427</v>
      </c>
      <c r="BE755" s="243">
        <v>65.283099720929116</v>
      </c>
      <c r="BF755">
        <v>330156.19920768158</v>
      </c>
      <c r="BG755" t="s">
        <v>390</v>
      </c>
      <c r="BH755">
        <v>6.6404068962678644E-6</v>
      </c>
      <c r="BI755">
        <v>2263286.4014328429</v>
      </c>
      <c r="BJ755">
        <f t="shared" si="45"/>
        <v>0.14587468868220393</v>
      </c>
    </row>
    <row r="756" spans="1:62" x14ac:dyDescent="0.3">
      <c r="A756">
        <v>-0.4</v>
      </c>
      <c r="B756" s="146">
        <v>1000</v>
      </c>
      <c r="C756" s="146">
        <v>25</v>
      </c>
      <c r="D756" s="146">
        <v>400</v>
      </c>
      <c r="E756" s="252">
        <v>17.680541212758374</v>
      </c>
      <c r="F756" s="146">
        <v>4.7244226305346171</v>
      </c>
      <c r="G756" s="146">
        <v>20.726636012904926</v>
      </c>
      <c r="H756" s="146">
        <v>11.471698065931037</v>
      </c>
      <c r="I756" s="146"/>
      <c r="J756" s="146">
        <v>0.31120913288218632</v>
      </c>
      <c r="K756" s="146">
        <v>0.18</v>
      </c>
      <c r="L756" s="146">
        <v>116.56588241051205</v>
      </c>
      <c r="M756" s="146">
        <v>58.041103274943758</v>
      </c>
      <c r="N756" s="146">
        <v>2.0136568972993878</v>
      </c>
      <c r="O756" s="146"/>
      <c r="P756" s="146"/>
      <c r="Q756" s="146"/>
      <c r="R756" s="146"/>
      <c r="S756" s="146"/>
      <c r="T756" s="146"/>
      <c r="U756" s="146"/>
      <c r="V756" s="146"/>
      <c r="W756" s="146"/>
      <c r="X756" s="146"/>
      <c r="Y756" s="146"/>
      <c r="Z756" s="146">
        <v>0.17553259209982183</v>
      </c>
      <c r="AA756" s="146"/>
      <c r="AB756" s="146"/>
      <c r="AC756" s="146"/>
      <c r="AD756" s="146"/>
      <c r="AE756" s="146"/>
      <c r="AF756" s="146"/>
      <c r="AG756" s="146"/>
      <c r="AH756" s="146"/>
      <c r="AI756" s="146"/>
      <c r="AJ756" s="146"/>
      <c r="AK756" s="146"/>
      <c r="AL756" s="146">
        <v>1265.7127025732384</v>
      </c>
      <c r="AM756" s="146">
        <v>0.22793967277628036</v>
      </c>
      <c r="AN756" s="146">
        <v>0.18204793582956266</v>
      </c>
      <c r="AO756" s="146">
        <v>302.8797490496608</v>
      </c>
      <c r="AP756" s="146">
        <v>258.8842539235456</v>
      </c>
      <c r="AQ756" t="s">
        <v>384</v>
      </c>
      <c r="AR756">
        <f t="shared" si="46"/>
        <v>9.762677251918257</v>
      </c>
      <c r="AS756">
        <f t="shared" si="47"/>
        <v>2.6643645582431001</v>
      </c>
      <c r="AT756">
        <v>0.2</v>
      </c>
      <c r="AU756">
        <v>0</v>
      </c>
      <c r="AV756">
        <v>0.3</v>
      </c>
      <c r="AW756" s="146">
        <v>3</v>
      </c>
      <c r="AX756" s="146">
        <v>0.22919111795388614</v>
      </c>
      <c r="AY756">
        <v>0.18</v>
      </c>
      <c r="AZ756" s="209">
        <v>258.8842539235456</v>
      </c>
      <c r="BA756">
        <v>0.22919111795388614</v>
      </c>
      <c r="BB756" s="249">
        <v>52.212983014758152</v>
      </c>
      <c r="BC756" s="243">
        <v>207.84413226414958</v>
      </c>
      <c r="BD756" s="209">
        <v>106915.93791894351</v>
      </c>
      <c r="BE756" s="243">
        <v>65.709261687547894</v>
      </c>
      <c r="BF756">
        <v>326593.17334244575</v>
      </c>
      <c r="BG756" t="s">
        <v>390</v>
      </c>
      <c r="BH756">
        <v>6.5526201787230196E-6</v>
      </c>
      <c r="BI756">
        <v>2269159.3791894354</v>
      </c>
      <c r="BJ756">
        <f t="shared" si="45"/>
        <v>0.1439269433155056</v>
      </c>
    </row>
    <row r="757" spans="1:62" x14ac:dyDescent="0.3">
      <c r="A757">
        <v>-0.5</v>
      </c>
      <c r="B757" s="146">
        <v>1000</v>
      </c>
      <c r="C757" s="146">
        <v>25</v>
      </c>
      <c r="D757" s="146">
        <v>400</v>
      </c>
      <c r="E757" s="252">
        <v>17.385248933706585</v>
      </c>
      <c r="F757" s="146">
        <v>4.911879009126892</v>
      </c>
      <c r="G757" s="146">
        <v>20.529885859353335</v>
      </c>
      <c r="H757" s="146">
        <v>11.509052579356197</v>
      </c>
      <c r="I757" s="146"/>
      <c r="J757" s="146">
        <v>0.3145477454893858</v>
      </c>
      <c r="K757" s="146">
        <v>0.18</v>
      </c>
      <c r="L757" s="146">
        <v>116.97874017615916</v>
      </c>
      <c r="M757" s="146">
        <v>58.246675606386304</v>
      </c>
      <c r="N757" s="146">
        <v>1.9445450083591922</v>
      </c>
      <c r="O757" s="146"/>
      <c r="P757" s="146"/>
      <c r="Q757" s="146"/>
      <c r="R757" s="146"/>
      <c r="S757" s="146"/>
      <c r="T757" s="146"/>
      <c r="U757" s="146"/>
      <c r="V757" s="146"/>
      <c r="W757" s="146"/>
      <c r="X757" s="146"/>
      <c r="Y757" s="146"/>
      <c r="Z757" s="146">
        <v>0.16895786989861572</v>
      </c>
      <c r="AA757" s="146"/>
      <c r="AB757" s="146"/>
      <c r="AC757" s="146"/>
      <c r="AD757" s="146"/>
      <c r="AE757" s="146"/>
      <c r="AF757" s="146"/>
      <c r="AG757" s="146"/>
      <c r="AH757" s="146"/>
      <c r="AI757" s="146"/>
      <c r="AJ757" s="146"/>
      <c r="AK757" s="146"/>
      <c r="AL757" s="146">
        <v>1214.7087414779744</v>
      </c>
      <c r="AM757" s="146">
        <v>0.23925505688523149</v>
      </c>
      <c r="AN757" s="146">
        <v>0.15209784505869639</v>
      </c>
      <c r="AO757" s="146">
        <v>285.69694115654693</v>
      </c>
      <c r="AP757" s="146">
        <v>242.43623729837634</v>
      </c>
      <c r="AQ757" t="s">
        <v>384</v>
      </c>
      <c r="AR757">
        <f t="shared" si="46"/>
        <v>9.762677251918257</v>
      </c>
      <c r="AS757">
        <f t="shared" si="47"/>
        <v>2.6643645582431001</v>
      </c>
      <c r="AT757">
        <v>0.2</v>
      </c>
      <c r="AU757">
        <v>0</v>
      </c>
      <c r="AV757">
        <v>0.3</v>
      </c>
      <c r="AW757" s="146">
        <v>3</v>
      </c>
      <c r="AX757" s="146">
        <v>0.22924968622062317</v>
      </c>
      <c r="AY757">
        <v>0.18</v>
      </c>
      <c r="AZ757" s="209">
        <v>242.43623729837634</v>
      </c>
      <c r="BA757">
        <v>0.22924968622062317</v>
      </c>
      <c r="BB757" s="249">
        <v>53.225519287263552</v>
      </c>
      <c r="BC757" s="243">
        <v>209.0357325853108</v>
      </c>
      <c r="BD757" s="209">
        <v>107907.39162433281</v>
      </c>
      <c r="BE757" s="243">
        <v>66.443235848011227</v>
      </c>
      <c r="BF757">
        <v>321976.40432130569</v>
      </c>
      <c r="BG757" t="s">
        <v>390</v>
      </c>
      <c r="BH757">
        <v>6.4261667996547191E-6</v>
      </c>
      <c r="BI757">
        <v>2279073.9162433282</v>
      </c>
      <c r="BJ757">
        <f t="shared" si="45"/>
        <v>0.14127510390361972</v>
      </c>
    </row>
    <row r="758" spans="1:62" x14ac:dyDescent="0.3">
      <c r="A758">
        <v>-0.6</v>
      </c>
      <c r="B758" s="146">
        <v>1000</v>
      </c>
      <c r="C758" s="146">
        <v>25</v>
      </c>
      <c r="D758" s="146">
        <v>400</v>
      </c>
      <c r="E758" s="252">
        <v>16.922103330535855</v>
      </c>
      <c r="F758" s="146">
        <v>5.1993591344023287</v>
      </c>
      <c r="G758" s="146">
        <v>20.217695037036513</v>
      </c>
      <c r="H758" s="146">
        <v>11.569011828984632</v>
      </c>
      <c r="I758" s="146"/>
      <c r="J758" s="146">
        <v>0.32126456880498611</v>
      </c>
      <c r="K758" s="146">
        <v>0.18</v>
      </c>
      <c r="L758" s="146">
        <v>117.64389457823448</v>
      </c>
      <c r="M758" s="146">
        <v>58.577872819037921</v>
      </c>
      <c r="N758" s="146">
        <v>1.8333868190884122</v>
      </c>
      <c r="O758" s="146"/>
      <c r="P758" s="146"/>
      <c r="Q758" s="146"/>
      <c r="R758" s="146"/>
      <c r="S758" s="146"/>
      <c r="T758" s="146"/>
      <c r="U758" s="146"/>
      <c r="V758" s="146"/>
      <c r="W758" s="146"/>
      <c r="X758" s="146"/>
      <c r="Y758" s="146"/>
      <c r="Z758" s="146">
        <v>0.15847393417777511</v>
      </c>
      <c r="AA758" s="146"/>
      <c r="AB758" s="146"/>
      <c r="AC758" s="146"/>
      <c r="AD758" s="146"/>
      <c r="AE758" s="146"/>
      <c r="AF758" s="146"/>
      <c r="AG758" s="146"/>
      <c r="AH758" s="146"/>
      <c r="AI758" s="146"/>
      <c r="AJ758" s="146"/>
      <c r="AK758" s="146"/>
      <c r="AL758" s="146">
        <v>1136.0898658231595</v>
      </c>
      <c r="AM758" s="146">
        <v>0.2571687388140782</v>
      </c>
      <c r="AN758" s="146">
        <v>0.1221853879551533</v>
      </c>
      <c r="AO758" s="146">
        <v>261.5046887869529</v>
      </c>
      <c r="AP758" s="146">
        <v>219.39645627895192</v>
      </c>
      <c r="AQ758" t="s">
        <v>384</v>
      </c>
      <c r="AR758">
        <f t="shared" si="46"/>
        <v>9.762677251918257</v>
      </c>
      <c r="AS758">
        <f t="shared" si="47"/>
        <v>2.6643645582431001</v>
      </c>
      <c r="AT758">
        <v>0.2</v>
      </c>
      <c r="AU758">
        <v>0</v>
      </c>
      <c r="AV758">
        <v>0.3</v>
      </c>
      <c r="AW758" s="146">
        <v>3</v>
      </c>
      <c r="AX758" s="146">
        <v>0.23020441862653002</v>
      </c>
      <c r="AY758">
        <v>0.18</v>
      </c>
      <c r="AZ758" s="209">
        <v>219.39645627895192</v>
      </c>
      <c r="BA758">
        <v>0.23020441862653002</v>
      </c>
      <c r="BB758" s="249">
        <v>54.745976108539182</v>
      </c>
      <c r="BC758" s="243">
        <v>210.9695935603348</v>
      </c>
      <c r="BD758" s="209">
        <v>109356.37963148901</v>
      </c>
      <c r="BE758" s="243">
        <v>67.395262159462618</v>
      </c>
      <c r="BF758">
        <v>314411.71630698099</v>
      </c>
      <c r="BG758" t="s">
        <v>390</v>
      </c>
      <c r="BH758">
        <v>6.2323371832817455E-6</v>
      </c>
      <c r="BI758">
        <v>2293563.79631489</v>
      </c>
      <c r="BJ758">
        <f t="shared" si="45"/>
        <v>0.13708435615008918</v>
      </c>
    </row>
    <row r="759" spans="1:62" x14ac:dyDescent="0.3">
      <c r="A759">
        <v>-0.7</v>
      </c>
      <c r="B759" s="146">
        <v>1000</v>
      </c>
      <c r="C759" s="146">
        <v>25</v>
      </c>
      <c r="D759" s="146">
        <v>400</v>
      </c>
      <c r="E759" s="252">
        <v>16.096977497145279</v>
      </c>
      <c r="F759" s="146">
        <v>5.6823991701218652</v>
      </c>
      <c r="G759" s="146">
        <v>19.644239020432202</v>
      </c>
      <c r="H759" s="146">
        <v>11.644124678471096</v>
      </c>
      <c r="I759" s="146"/>
      <c r="J759" s="146">
        <v>0.33293244252517135</v>
      </c>
      <c r="K759" s="146">
        <v>0.18</v>
      </c>
      <c r="L759" s="146">
        <v>118.52297049278634</v>
      </c>
      <c r="M759" s="146">
        <v>59.015586967362488</v>
      </c>
      <c r="N759" s="146">
        <v>1.6635728081194738</v>
      </c>
      <c r="O759" s="146"/>
      <c r="P759" s="146"/>
      <c r="Q759" s="146"/>
      <c r="R759" s="146"/>
      <c r="S759" s="146"/>
      <c r="T759" s="146"/>
      <c r="U759" s="146"/>
      <c r="V759" s="146"/>
      <c r="W759" s="146"/>
      <c r="X759" s="146"/>
      <c r="Y759" s="146"/>
      <c r="Z759" s="146">
        <v>0.14286800030536131</v>
      </c>
      <c r="AA759" s="146"/>
      <c r="AB759" s="146"/>
      <c r="AC759" s="146"/>
      <c r="AD759" s="146"/>
      <c r="AE759" s="146"/>
      <c r="AF759" s="146"/>
      <c r="AG759" s="146"/>
      <c r="AH759" s="146"/>
      <c r="AI759" s="146"/>
      <c r="AJ759" s="146"/>
      <c r="AK759" s="146"/>
      <c r="AL759" s="146">
        <v>1017.1045893620342</v>
      </c>
      <c r="AM759" s="146">
        <v>0.28926542607283162</v>
      </c>
      <c r="AN759" s="146">
        <v>9.2179309428171208E-2</v>
      </c>
      <c r="AO759" s="146">
        <v>225.37320362886305</v>
      </c>
      <c r="AP759" s="146">
        <v>185.31818530229754</v>
      </c>
      <c r="AQ759" t="s">
        <v>384</v>
      </c>
      <c r="AR759">
        <f t="shared" si="46"/>
        <v>9.762677251918257</v>
      </c>
      <c r="AS759">
        <f t="shared" si="47"/>
        <v>2.6643645582431001</v>
      </c>
      <c r="AT759">
        <v>0.2</v>
      </c>
      <c r="AU759">
        <v>0</v>
      </c>
      <c r="AV759">
        <v>0.3</v>
      </c>
      <c r="AW759" s="146">
        <v>3</v>
      </c>
      <c r="AX759" s="146">
        <v>0.23184125610070147</v>
      </c>
      <c r="AY759">
        <v>0.18</v>
      </c>
      <c r="AZ759" s="209">
        <v>185.31818530229754</v>
      </c>
      <c r="BA759">
        <v>0.23184125610070147</v>
      </c>
      <c r="BB759" s="249">
        <v>57.229998866083307</v>
      </c>
      <c r="BC759" s="243">
        <v>213.55253858938261</v>
      </c>
      <c r="BD759" s="209">
        <v>111785.82390952461</v>
      </c>
      <c r="BE759" s="243">
        <v>68.872236701012895</v>
      </c>
      <c r="BF759">
        <v>300352.88145658461</v>
      </c>
      <c r="BG759" t="s">
        <v>390</v>
      </c>
      <c r="BH759">
        <v>5.8945477978754608E-6</v>
      </c>
      <c r="BI759">
        <v>2317858.2390952464</v>
      </c>
      <c r="BJ759">
        <f t="shared" si="45"/>
        <v>0.12958207555170606</v>
      </c>
    </row>
    <row r="760" spans="1:62" x14ac:dyDescent="0.3">
      <c r="A760">
        <v>-0.8</v>
      </c>
      <c r="B760" s="146">
        <v>1000</v>
      </c>
      <c r="C760" s="146">
        <v>25</v>
      </c>
      <c r="D760" s="146">
        <v>400</v>
      </c>
      <c r="E760" s="252">
        <v>14.400107253347329</v>
      </c>
      <c r="F760" s="146">
        <v>7.1673894946537082</v>
      </c>
      <c r="G760" s="146">
        <v>18.730816877102399</v>
      </c>
      <c r="H760" s="146">
        <v>11.819787857600877</v>
      </c>
      <c r="I760" s="146"/>
      <c r="J760" s="146">
        <v>0.35940705155013919</v>
      </c>
      <c r="K760" s="146">
        <v>0.18</v>
      </c>
      <c r="L760" s="146">
        <v>120.71709949215722</v>
      </c>
      <c r="M760" s="146">
        <v>60.10809933219447</v>
      </c>
      <c r="N760" s="146">
        <v>1.2890044324290351</v>
      </c>
      <c r="O760" s="146"/>
      <c r="P760" s="146"/>
      <c r="Q760" s="146"/>
      <c r="R760" s="146"/>
      <c r="S760" s="146"/>
      <c r="T760" s="146"/>
      <c r="U760" s="146"/>
      <c r="V760" s="146"/>
      <c r="W760" s="146"/>
      <c r="X760" s="146"/>
      <c r="Y760" s="146"/>
      <c r="Z760" s="146">
        <v>0.10905478575067006</v>
      </c>
      <c r="AA760" s="146"/>
      <c r="AB760" s="146"/>
      <c r="AC760" s="146"/>
      <c r="AD760" s="146"/>
      <c r="AE760" s="146"/>
      <c r="AF760" s="146"/>
      <c r="AG760" s="146"/>
      <c r="AH760" s="146"/>
      <c r="AI760" s="146"/>
      <c r="AJ760" s="146"/>
      <c r="AK760" s="146"/>
      <c r="AL760" s="146">
        <v>767.61456311035306</v>
      </c>
      <c r="AM760" s="146">
        <v>0.38265226453713974</v>
      </c>
      <c r="AN760" s="146">
        <v>5.9737845922709719E-2</v>
      </c>
      <c r="AO760" s="146">
        <v>158.94498653368689</v>
      </c>
      <c r="AP760" s="146">
        <v>123.11234689583495</v>
      </c>
      <c r="AQ760" t="s">
        <v>384</v>
      </c>
      <c r="AR760">
        <f t="shared" si="46"/>
        <v>9.762677251918257</v>
      </c>
      <c r="AS760">
        <f t="shared" si="47"/>
        <v>2.6643645582431001</v>
      </c>
      <c r="AT760">
        <v>0.2</v>
      </c>
      <c r="AU760">
        <v>0</v>
      </c>
      <c r="AV760">
        <v>0.3</v>
      </c>
      <c r="AW760" s="146">
        <v>3</v>
      </c>
      <c r="AX760" s="146">
        <v>0.23166342380958618</v>
      </c>
      <c r="AY760">
        <v>0.18</v>
      </c>
      <c r="AZ760" s="209">
        <v>123.11234689583495</v>
      </c>
      <c r="BA760">
        <v>0.23166342380958618</v>
      </c>
      <c r="BB760" s="249">
        <v>65.642418666159159</v>
      </c>
      <c r="BC760" s="243">
        <v>220.13897411479178</v>
      </c>
      <c r="BD760" s="209">
        <v>121010.60787462613</v>
      </c>
      <c r="BE760" s="243">
        <v>78.666976456493998</v>
      </c>
      <c r="BF760">
        <v>282174.69397830323</v>
      </c>
      <c r="BG760" t="s">
        <v>390</v>
      </c>
      <c r="BH760">
        <v>5.0997539759017287E-6</v>
      </c>
      <c r="BI760">
        <v>2410106.0787462611</v>
      </c>
      <c r="BJ760">
        <f t="shared" si="45"/>
        <v>0.11707978186797932</v>
      </c>
    </row>
    <row r="761" spans="1:62" x14ac:dyDescent="0.3">
      <c r="A761">
        <v>-0.85</v>
      </c>
      <c r="B761" s="146">
        <v>1000</v>
      </c>
      <c r="C761" s="146">
        <v>25</v>
      </c>
      <c r="D761" s="146">
        <v>400</v>
      </c>
      <c r="E761" s="252">
        <v>10.076315393709784</v>
      </c>
      <c r="F761" s="146">
        <v>4.4175872638159523</v>
      </c>
      <c r="G761" s="146">
        <v>12.712597127659064</v>
      </c>
      <c r="H761" s="146">
        <v>7.73733390634768</v>
      </c>
      <c r="I761" s="146"/>
      <c r="J761" s="146">
        <v>0.35697286933695904</v>
      </c>
      <c r="K761" s="146">
        <v>0.18</v>
      </c>
      <c r="L761" s="146">
        <v>79.283451984845669</v>
      </c>
      <c r="M761" s="146">
        <v>39.477237502827727</v>
      </c>
      <c r="N761" s="146">
        <v>1.0856033553275379</v>
      </c>
      <c r="O761" s="146"/>
      <c r="P761" s="146"/>
      <c r="Q761" s="146"/>
      <c r="R761" s="146"/>
      <c r="S761" s="146"/>
      <c r="T761" s="146"/>
      <c r="U761" s="146"/>
      <c r="V761" s="146"/>
      <c r="W761" s="146"/>
      <c r="X761" s="146"/>
      <c r="Y761" s="146"/>
      <c r="Z761" s="146">
        <v>0.14030716115752909</v>
      </c>
      <c r="AA761" s="146"/>
      <c r="AB761" s="146"/>
      <c r="AC761" s="146"/>
      <c r="AD761" s="146"/>
      <c r="AE761" s="146"/>
      <c r="AF761" s="146"/>
      <c r="AG761" s="146"/>
      <c r="AH761" s="146"/>
      <c r="AI761" s="146"/>
      <c r="AJ761" s="146"/>
      <c r="AK761" s="146"/>
      <c r="AL761" s="146">
        <v>694.4783480949144</v>
      </c>
      <c r="AM761" s="146">
        <v>0.34749683478952659</v>
      </c>
      <c r="AN761" s="146">
        <v>4.5134726937639903E-2</v>
      </c>
      <c r="AO761" s="146">
        <v>176.75027462486571</v>
      </c>
      <c r="AP761" s="146">
        <v>151.67667043114591</v>
      </c>
      <c r="AQ761" t="s">
        <v>384</v>
      </c>
      <c r="AR761">
        <f t="shared" si="46"/>
        <v>9.762677251918257</v>
      </c>
      <c r="AS761">
        <f t="shared" si="47"/>
        <v>2.6643645582431001</v>
      </c>
      <c r="AT761">
        <v>0.2</v>
      </c>
      <c r="AU761">
        <v>0</v>
      </c>
      <c r="AV761">
        <v>0.3</v>
      </c>
      <c r="AW761" s="146">
        <v>3</v>
      </c>
      <c r="AX761" s="146">
        <v>0.23370694202950193</v>
      </c>
      <c r="AY761">
        <v>0.18</v>
      </c>
      <c r="AZ761" s="209">
        <v>151.67667043114591</v>
      </c>
      <c r="BA761">
        <v>0.23370694202950193</v>
      </c>
      <c r="BB761" s="249">
        <v>42.157201043289277</v>
      </c>
      <c r="BC761" s="243">
        <v>120.63373926090176</v>
      </c>
      <c r="BD761" s="209">
        <v>62234.738869787514</v>
      </c>
      <c r="BE761" s="243">
        <v>50.361501555620059</v>
      </c>
      <c r="BF761">
        <v>658725.26938412245</v>
      </c>
      <c r="BG761" t="s">
        <v>390</v>
      </c>
      <c r="BH761">
        <v>3.7373737146211133E-6</v>
      </c>
      <c r="BI761">
        <v>1822347.3886978752</v>
      </c>
      <c r="BJ761">
        <f t="shared" si="45"/>
        <v>0.36147074562704673</v>
      </c>
    </row>
    <row r="762" spans="1:62" s="160" customFormat="1" ht="15" thickBot="1" x14ac:dyDescent="0.35">
      <c r="A762" s="160">
        <v>-0.87</v>
      </c>
      <c r="B762" s="160">
        <v>1000</v>
      </c>
      <c r="C762" s="160">
        <v>25</v>
      </c>
      <c r="D762" s="160">
        <v>400</v>
      </c>
      <c r="E762" s="250">
        <v>3.5648788360354104</v>
      </c>
      <c r="F762" s="160">
        <v>0.98441614484072826</v>
      </c>
      <c r="G762" s="160">
        <v>4.1662864209307111</v>
      </c>
      <c r="H762" s="160">
        <v>2.3162786229964163</v>
      </c>
      <c r="J762" s="160">
        <v>0.37775535417262079</v>
      </c>
      <c r="K762" s="160">
        <v>0.18</v>
      </c>
      <c r="L762" s="160">
        <v>23.703064966615365</v>
      </c>
      <c r="M762" s="160">
        <v>11.802355999974457</v>
      </c>
      <c r="N762" s="160">
        <v>0.56112863842002136</v>
      </c>
      <c r="Z762" s="160">
        <v>0.24225437857477025</v>
      </c>
      <c r="AL762" s="160">
        <v>583.36167533161256</v>
      </c>
      <c r="AM762" s="160">
        <v>0.23628143756396339</v>
      </c>
      <c r="AN762" s="160">
        <v>4.0357790243159115E-2</v>
      </c>
      <c r="AO762" s="160">
        <v>311.66813607591712</v>
      </c>
      <c r="AP762" s="160">
        <v>302.79735612160181</v>
      </c>
      <c r="AQ762" t="s">
        <v>384</v>
      </c>
      <c r="AR762" s="160">
        <f t="shared" si="46"/>
        <v>9.762677251918257</v>
      </c>
      <c r="AS762" s="160">
        <f t="shared" si="47"/>
        <v>2.6643645582431001</v>
      </c>
      <c r="AT762" s="160">
        <v>0.2</v>
      </c>
      <c r="AU762">
        <v>0</v>
      </c>
      <c r="AV762" s="160">
        <v>0.3</v>
      </c>
      <c r="AW762" s="160">
        <v>3</v>
      </c>
      <c r="AX762" s="160">
        <v>0.26415310030364875</v>
      </c>
      <c r="AY762" s="160">
        <v>0.18</v>
      </c>
      <c r="AZ762" s="248">
        <v>302.79735612160181</v>
      </c>
      <c r="BA762" s="160">
        <v>0.26415310030364875</v>
      </c>
      <c r="BB762" s="250">
        <v>10.911376112991697</v>
      </c>
      <c r="BC762" s="246">
        <v>31.057836202053014</v>
      </c>
      <c r="BD762" s="248">
        <v>12352.987959698319</v>
      </c>
      <c r="BE762" s="246">
        <v>12.621968787921666</v>
      </c>
      <c r="BF762" s="160">
        <v>854110.54255532508</v>
      </c>
      <c r="BG762" s="254" t="s">
        <v>390</v>
      </c>
      <c r="BH762" s="160">
        <v>1.2540021777547635E-6</v>
      </c>
      <c r="BI762" s="160">
        <v>1323529.8795969831</v>
      </c>
      <c r="BJ762">
        <f t="shared" si="45"/>
        <v>0.64532773738013616</v>
      </c>
    </row>
    <row r="763" spans="1:62" x14ac:dyDescent="0.3">
      <c r="A763">
        <v>-0.1</v>
      </c>
      <c r="B763" s="146">
        <v>100</v>
      </c>
      <c r="C763" s="146">
        <v>25</v>
      </c>
      <c r="D763" s="146">
        <v>400</v>
      </c>
      <c r="E763" s="249">
        <v>3.1240159610773941</v>
      </c>
      <c r="F763">
        <v>0.59358907896000457</v>
      </c>
      <c r="G763">
        <v>3.6309160951500097</v>
      </c>
      <c r="H763">
        <v>2.9827561769121909</v>
      </c>
      <c r="J763">
        <v>0.53404166340810688</v>
      </c>
      <c r="K763">
        <v>0.27</v>
      </c>
      <c r="L763">
        <v>20.015487004549254</v>
      </c>
      <c r="M763">
        <v>8.7204403961729113</v>
      </c>
      <c r="N763">
        <v>0.91208741170054219</v>
      </c>
      <c r="Z763">
        <v>0.30578678162180639</v>
      </c>
      <c r="AL763">
        <v>831.92113948188864</v>
      </c>
      <c r="AM763">
        <v>0.16348190467769008</v>
      </c>
      <c r="AN763">
        <v>0.19108429504926153</v>
      </c>
      <c r="AO763">
        <v>383.65111083424193</v>
      </c>
      <c r="AP763">
        <v>375.87743363161769</v>
      </c>
      <c r="AQ763" t="s">
        <v>385</v>
      </c>
      <c r="AR763">
        <f t="shared" ref="AR763:AR802" si="48">0.45*Jsat_t</f>
        <v>14.644015877877388</v>
      </c>
      <c r="AS763">
        <f t="shared" ref="AS763:AS802" si="49">0.15*Jatp</f>
        <v>3.9965468373646496</v>
      </c>
      <c r="AT763">
        <v>0.3</v>
      </c>
      <c r="AU763">
        <v>0</v>
      </c>
      <c r="AV763">
        <v>0.4</v>
      </c>
      <c r="AW763">
        <v>3</v>
      </c>
      <c r="AX763">
        <v>0.40618260727780908</v>
      </c>
      <c r="AY763">
        <v>0.27</v>
      </c>
      <c r="AZ763" s="209">
        <v>375.87743363161769</v>
      </c>
      <c r="BA763">
        <v>0.40618260727780908</v>
      </c>
      <c r="BB763" s="249">
        <v>7.6582667354839957</v>
      </c>
      <c r="BC763" s="243">
        <v>70.156975017622869</v>
      </c>
      <c r="BD763" s="209">
        <v>24888.219889837652</v>
      </c>
      <c r="BE763" s="243">
        <v>13.885262819422493</v>
      </c>
      <c r="BF763">
        <v>17208.744339647077</v>
      </c>
      <c r="BG763" t="s">
        <v>387</v>
      </c>
      <c r="BH763">
        <v>1.9253696628374878E-6</v>
      </c>
      <c r="BI763">
        <v>1448882.1988983764</v>
      </c>
      <c r="BJ763">
        <f t="shared" si="45"/>
        <v>1.1877255689062467E-2</v>
      </c>
    </row>
    <row r="764" spans="1:62" x14ac:dyDescent="0.3">
      <c r="A764">
        <v>-0.1</v>
      </c>
      <c r="B764" s="146">
        <v>200</v>
      </c>
      <c r="C764" s="146">
        <v>25</v>
      </c>
      <c r="D764" s="146">
        <v>400</v>
      </c>
      <c r="E764" s="252">
        <v>5.8608167778059608</v>
      </c>
      <c r="F764" s="146">
        <v>1.0120085402478325</v>
      </c>
      <c r="G764" s="146">
        <v>6.6749314794654895</v>
      </c>
      <c r="H764" s="146">
        <v>5.5124768950139318</v>
      </c>
      <c r="I764" s="146"/>
      <c r="J764" s="146">
        <v>0.54549452455403435</v>
      </c>
      <c r="K764" s="146">
        <v>0.27</v>
      </c>
      <c r="L764" s="146">
        <v>37.070207736195307</v>
      </c>
      <c r="M764" s="146">
        <v>16.150920382989657</v>
      </c>
      <c r="N764" s="146">
        <v>1.4068101697454001</v>
      </c>
      <c r="O764" s="146"/>
      <c r="P764" s="146"/>
      <c r="Q764" s="146"/>
      <c r="R764" s="146"/>
      <c r="S764" s="146"/>
      <c r="T764" s="146"/>
      <c r="U764" s="146"/>
      <c r="V764" s="146"/>
      <c r="W764" s="146"/>
      <c r="X764" s="146"/>
      <c r="Y764" s="146"/>
      <c r="Z764" s="146">
        <v>0.25520472857090215</v>
      </c>
      <c r="AA764" s="146"/>
      <c r="AB764" s="146"/>
      <c r="AC764" s="146"/>
      <c r="AD764" s="146"/>
      <c r="AE764" s="146"/>
      <c r="AF764" s="146"/>
      <c r="AG764" s="146"/>
      <c r="AH764" s="146"/>
      <c r="AI764" s="146"/>
      <c r="AJ764" s="146"/>
      <c r="AK764" s="146"/>
      <c r="AL764" s="146">
        <v>1061.5931374133088</v>
      </c>
      <c r="AM764" s="146">
        <v>0.15161332267771405</v>
      </c>
      <c r="AN764" s="146">
        <v>0.21524847520625517</v>
      </c>
      <c r="AO764" s="146">
        <v>372.77185461039846</v>
      </c>
      <c r="AP764" s="146">
        <v>358.18805254060902</v>
      </c>
      <c r="AQ764" t="s">
        <v>385</v>
      </c>
      <c r="AR764">
        <f t="shared" si="48"/>
        <v>14.644015877877388</v>
      </c>
      <c r="AS764">
        <f t="shared" si="49"/>
        <v>3.9965468373646496</v>
      </c>
      <c r="AT764">
        <v>0.3</v>
      </c>
      <c r="AU764">
        <v>0</v>
      </c>
      <c r="AV764">
        <v>0.4</v>
      </c>
      <c r="AW764" s="146">
        <v>3</v>
      </c>
      <c r="AX764" s="146">
        <v>0.43455858241765383</v>
      </c>
      <c r="AY764">
        <v>0.27</v>
      </c>
      <c r="AZ764" s="209">
        <v>358.18805254060902</v>
      </c>
      <c r="BA764">
        <v>0.43455858241765383</v>
      </c>
      <c r="BB764" s="249">
        <v>13.402761868333947</v>
      </c>
      <c r="BC764" s="243">
        <v>102.16994774597572</v>
      </c>
      <c r="BD764" s="209">
        <v>39547.391389435368</v>
      </c>
      <c r="BE764" s="243">
        <v>21.074224868269514</v>
      </c>
      <c r="BF764">
        <v>48315.322823337177</v>
      </c>
      <c r="BG764" t="s">
        <v>387</v>
      </c>
      <c r="BH764">
        <v>3.351714232423674E-6</v>
      </c>
      <c r="BI764">
        <v>1595473.9138943537</v>
      </c>
      <c r="BJ764">
        <f t="shared" si="45"/>
        <v>3.0282740697029308E-2</v>
      </c>
    </row>
    <row r="765" spans="1:62" x14ac:dyDescent="0.3">
      <c r="A765">
        <v>-0.1</v>
      </c>
      <c r="B765" s="146">
        <v>300</v>
      </c>
      <c r="C765" s="146">
        <v>25</v>
      </c>
      <c r="D765" s="146">
        <v>400</v>
      </c>
      <c r="E765" s="252">
        <v>8.2412898980008968</v>
      </c>
      <c r="F765" s="146">
        <v>1.3649829034244285</v>
      </c>
      <c r="G765" s="146">
        <v>9.3033152705967801</v>
      </c>
      <c r="H765" s="146">
        <v>7.7400482074419061</v>
      </c>
      <c r="I765" s="146"/>
      <c r="J765" s="146">
        <v>0.55631081222193635</v>
      </c>
      <c r="K765" s="146">
        <v>0.27</v>
      </c>
      <c r="L765" s="146">
        <v>52.134161241772247</v>
      </c>
      <c r="M765" s="146">
        <v>22.714053653054297</v>
      </c>
      <c r="N765" s="146">
        <v>1.762792970305247</v>
      </c>
      <c r="O765" s="146"/>
      <c r="P765" s="146"/>
      <c r="Q765" s="146"/>
      <c r="R765" s="146"/>
      <c r="S765" s="146"/>
      <c r="T765" s="146"/>
      <c r="U765" s="146"/>
      <c r="V765" s="146"/>
      <c r="W765" s="146"/>
      <c r="X765" s="146"/>
      <c r="Y765" s="146"/>
      <c r="Z765" s="146">
        <v>0.22774961125052887</v>
      </c>
      <c r="AA765" s="146"/>
      <c r="AB765" s="146"/>
      <c r="AC765" s="146"/>
      <c r="AD765" s="146"/>
      <c r="AE765" s="146"/>
      <c r="AF765" s="146"/>
      <c r="AG765" s="146"/>
      <c r="AH765" s="146"/>
      <c r="AI765" s="146"/>
      <c r="AJ765" s="146"/>
      <c r="AK765" s="146"/>
      <c r="AL765" s="146">
        <v>1224.8494143729424</v>
      </c>
      <c r="AM765" s="146">
        <v>0.14672005233859703</v>
      </c>
      <c r="AN765" s="146">
        <v>0.22867190475322488</v>
      </c>
      <c r="AO765" s="146">
        <v>363.96019919064992</v>
      </c>
      <c r="AP765" s="146">
        <v>343.45292922032019</v>
      </c>
      <c r="AQ765" t="s">
        <v>385</v>
      </c>
      <c r="AR765">
        <f t="shared" si="48"/>
        <v>14.644015877877388</v>
      </c>
      <c r="AS765">
        <f t="shared" si="49"/>
        <v>3.9965468373646496</v>
      </c>
      <c r="AT765">
        <v>0.3</v>
      </c>
      <c r="AU765">
        <v>0</v>
      </c>
      <c r="AV765">
        <v>0.4</v>
      </c>
      <c r="AW765" s="146">
        <v>3</v>
      </c>
      <c r="AX765" s="146">
        <v>0.45406971643264626</v>
      </c>
      <c r="AY765">
        <v>0.27</v>
      </c>
      <c r="AZ765" s="209">
        <v>343.45292922032019</v>
      </c>
      <c r="BA765">
        <v>0.45406971643264626</v>
      </c>
      <c r="BB765" s="249">
        <v>18.227350983304625</v>
      </c>
      <c r="BC765" s="243">
        <v>125.20298001197744</v>
      </c>
      <c r="BD765" s="209">
        <v>51152.581287019173</v>
      </c>
      <c r="BE765" s="243">
        <v>26.61058834148967</v>
      </c>
      <c r="BF765">
        <v>84079.649154527258</v>
      </c>
      <c r="BG765" t="s">
        <v>387</v>
      </c>
      <c r="BH765">
        <v>4.3678479498201355E-6</v>
      </c>
      <c r="BI765">
        <v>1711525.8128701919</v>
      </c>
      <c r="BJ765">
        <f t="shared" si="45"/>
        <v>4.9125551319338559E-2</v>
      </c>
    </row>
    <row r="766" spans="1:62" x14ac:dyDescent="0.3">
      <c r="A766">
        <v>-0.1</v>
      </c>
      <c r="B766" s="146">
        <v>400</v>
      </c>
      <c r="C766" s="146">
        <v>25</v>
      </c>
      <c r="D766" s="146">
        <v>400</v>
      </c>
      <c r="E766" s="252">
        <v>10.334448030490984</v>
      </c>
      <c r="F766" s="146">
        <v>1.6754421121007916</v>
      </c>
      <c r="G766" s="146">
        <v>11.608938925521699</v>
      </c>
      <c r="H766" s="146">
        <v>9.7316027497433648</v>
      </c>
      <c r="I766" s="146"/>
      <c r="J766" s="146">
        <v>0.56660361201164211</v>
      </c>
      <c r="K766" s="146">
        <v>0.27</v>
      </c>
      <c r="L766" s="146">
        <v>65.635144670400379</v>
      </c>
      <c r="M766" s="146">
        <v>28.596224856398507</v>
      </c>
      <c r="N766" s="146">
        <v>2.0381745963724942</v>
      </c>
      <c r="O766" s="146"/>
      <c r="P766" s="146"/>
      <c r="Q766" s="146"/>
      <c r="R766" s="146"/>
      <c r="S766" s="146"/>
      <c r="T766" s="146"/>
      <c r="U766" s="146"/>
      <c r="V766" s="146"/>
      <c r="W766" s="146"/>
      <c r="X766" s="146"/>
      <c r="Y766" s="146"/>
      <c r="Z766" s="146">
        <v>0.20943873776868291</v>
      </c>
      <c r="AA766" s="146"/>
      <c r="AB766" s="146"/>
      <c r="AC766" s="146"/>
      <c r="AD766" s="146"/>
      <c r="AE766" s="146"/>
      <c r="AF766" s="146"/>
      <c r="AG766" s="146"/>
      <c r="AH766" s="146"/>
      <c r="AI766" s="146"/>
      <c r="AJ766" s="146"/>
      <c r="AK766" s="146"/>
      <c r="AL766" s="146">
        <v>1349.8787301151704</v>
      </c>
      <c r="AM766" s="146">
        <v>0.14432344961496973</v>
      </c>
      <c r="AN766" s="146">
        <v>0.23761305633803859</v>
      </c>
      <c r="AO766" s="146">
        <v>356.50723832368556</v>
      </c>
      <c r="AP766" s="146">
        <v>330.79143192892406</v>
      </c>
      <c r="AQ766" t="s">
        <v>385</v>
      </c>
      <c r="AR766">
        <f t="shared" si="48"/>
        <v>14.644015877877388</v>
      </c>
      <c r="AS766">
        <f t="shared" si="49"/>
        <v>3.9965468373646496</v>
      </c>
      <c r="AT766">
        <v>0.3</v>
      </c>
      <c r="AU766">
        <v>0</v>
      </c>
      <c r="AV766">
        <v>0.4</v>
      </c>
      <c r="AW766" s="146">
        <v>3</v>
      </c>
      <c r="AX766" s="146">
        <v>0.4696206977339743</v>
      </c>
      <c r="AY766">
        <v>0.27</v>
      </c>
      <c r="AZ766" s="209">
        <v>330.79143192892406</v>
      </c>
      <c r="BA766">
        <v>0.4696206977339743</v>
      </c>
      <c r="BB766" s="249">
        <v>22.406808796072738</v>
      </c>
      <c r="BC766" s="243">
        <v>143.54455410705148</v>
      </c>
      <c r="BD766" s="209">
        <v>60910.472932230252</v>
      </c>
      <c r="BE766" s="243">
        <v>31.163381485075611</v>
      </c>
      <c r="BF766">
        <v>121642.99361193347</v>
      </c>
      <c r="BG766" t="s">
        <v>387</v>
      </c>
      <c r="BH766">
        <v>5.1231611660374451E-6</v>
      </c>
      <c r="BI766">
        <v>1809104.7293223026</v>
      </c>
      <c r="BJ766">
        <f t="shared" si="45"/>
        <v>6.7239332052103695E-2</v>
      </c>
    </row>
    <row r="767" spans="1:62" x14ac:dyDescent="0.3">
      <c r="A767">
        <v>-0.1</v>
      </c>
      <c r="B767" s="146">
        <v>600</v>
      </c>
      <c r="C767" s="146">
        <v>25</v>
      </c>
      <c r="D767" s="146">
        <v>400</v>
      </c>
      <c r="E767" s="252">
        <v>13.830561047802885</v>
      </c>
      <c r="F767" s="146">
        <v>2.201872392036635</v>
      </c>
      <c r="G767" s="146">
        <v>15.455979195919362</v>
      </c>
      <c r="H767" s="146">
        <v>13.145290080689259</v>
      </c>
      <c r="I767" s="146"/>
      <c r="J767" s="146">
        <v>0.58673059894393265</v>
      </c>
      <c r="K767" s="146">
        <v>0.27</v>
      </c>
      <c r="L767" s="146">
        <v>88.848163859164956</v>
      </c>
      <c r="M767" s="146">
        <v>38.709780934490958</v>
      </c>
      <c r="N767" s="146">
        <v>2.432860008692959</v>
      </c>
      <c r="O767" s="146"/>
      <c r="P767" s="146"/>
      <c r="Q767" s="146"/>
      <c r="R767" s="146"/>
      <c r="S767" s="146"/>
      <c r="T767" s="146"/>
      <c r="U767" s="146"/>
      <c r="V767" s="146"/>
      <c r="W767" s="146"/>
      <c r="X767" s="146"/>
      <c r="Y767" s="146"/>
      <c r="Z767" s="146">
        <v>0.18507465364091796</v>
      </c>
      <c r="AA767" s="146"/>
      <c r="AB767" s="146"/>
      <c r="AC767" s="146"/>
      <c r="AD767" s="146"/>
      <c r="AE767" s="146"/>
      <c r="AF767" s="146"/>
      <c r="AG767" s="146"/>
      <c r="AH767" s="146"/>
      <c r="AI767" s="146"/>
      <c r="AJ767" s="146"/>
      <c r="AK767" s="146"/>
      <c r="AL767" s="146">
        <v>1526.5303807644755</v>
      </c>
      <c r="AM767" s="146">
        <v>0.14246087964572093</v>
      </c>
      <c r="AN767" s="146">
        <v>0.24927133049091724</v>
      </c>
      <c r="AO767" s="146">
        <v>344.51603792315444</v>
      </c>
      <c r="AP767" s="146">
        <v>310.1003764179967</v>
      </c>
      <c r="AQ767" t="s">
        <v>385</v>
      </c>
      <c r="AR767">
        <f t="shared" si="48"/>
        <v>14.644015877877388</v>
      </c>
      <c r="AS767">
        <f t="shared" si="49"/>
        <v>3.9965468373646496</v>
      </c>
      <c r="AT767">
        <v>0.3</v>
      </c>
      <c r="AU767">
        <v>0</v>
      </c>
      <c r="AV767">
        <v>0.4</v>
      </c>
      <c r="AW767" s="146">
        <v>3</v>
      </c>
      <c r="AX767" s="146">
        <v>0.4955536112415786</v>
      </c>
      <c r="AY767">
        <v>0.27</v>
      </c>
      <c r="AZ767" s="209">
        <v>310.1003764179967</v>
      </c>
      <c r="BA767">
        <v>0.4955536112415786</v>
      </c>
      <c r="BB767" s="249">
        <v>29.305771491347201</v>
      </c>
      <c r="BC767" s="243">
        <v>171.56935459621658</v>
      </c>
      <c r="BD767" s="209">
        <v>76499.50182263703</v>
      </c>
      <c r="BE767" s="243">
        <v>38.223426243047378</v>
      </c>
      <c r="BF767">
        <v>196690.58165224915</v>
      </c>
      <c r="BG767" t="s">
        <v>387</v>
      </c>
      <c r="BH767">
        <v>6.1555829351270816E-6</v>
      </c>
      <c r="BI767">
        <v>1964995.0182263702</v>
      </c>
      <c r="BJ767">
        <f t="shared" si="45"/>
        <v>0.10009724189010138</v>
      </c>
    </row>
    <row r="768" spans="1:62" x14ac:dyDescent="0.3">
      <c r="A768">
        <v>-0.1</v>
      </c>
      <c r="B768" s="146">
        <v>800</v>
      </c>
      <c r="C768" s="146">
        <v>25</v>
      </c>
      <c r="D768" s="146">
        <v>400</v>
      </c>
      <c r="E768" s="252">
        <v>16.588830736046454</v>
      </c>
      <c r="F768" s="146">
        <v>2.6271123166563699</v>
      </c>
      <c r="G768" s="146">
        <v>18.490197542021583</v>
      </c>
      <c r="H768" s="146">
        <v>15.937222475508522</v>
      </c>
      <c r="I768" s="146"/>
      <c r="J768" s="146">
        <v>0.60741268446193131</v>
      </c>
      <c r="K768" s="146">
        <v>0.27</v>
      </c>
      <c r="L768" s="146">
        <v>107.90407506509833</v>
      </c>
      <c r="M768" s="146">
        <v>47.012148887283502</v>
      </c>
      <c r="N768" s="146">
        <v>2.6842968916175582</v>
      </c>
      <c r="O768" s="146"/>
      <c r="P768" s="146"/>
      <c r="Q768" s="146"/>
      <c r="R768" s="146"/>
      <c r="S768" s="146"/>
      <c r="T768" s="146"/>
      <c r="U768" s="146"/>
      <c r="V768" s="146"/>
      <c r="W768" s="146"/>
      <c r="X768" s="146"/>
      <c r="Y768" s="146"/>
      <c r="Z768" s="146">
        <v>0.16842940454289593</v>
      </c>
      <c r="AA768" s="146"/>
      <c r="AB768" s="146"/>
      <c r="AC768" s="146"/>
      <c r="AD768" s="146"/>
      <c r="AE768" s="146"/>
      <c r="AF768" s="146"/>
      <c r="AG768" s="146"/>
      <c r="AH768" s="146"/>
      <c r="AI768" s="146"/>
      <c r="AJ768" s="146"/>
      <c r="AK768" s="146"/>
      <c r="AL768" s="146">
        <v>1636.2793875762784</v>
      </c>
      <c r="AM768" s="146">
        <v>0.1420813547657285</v>
      </c>
      <c r="AN768" s="146">
        <v>0.25683294368436765</v>
      </c>
      <c r="AO768" s="146">
        <v>335.41003541806873</v>
      </c>
      <c r="AP768" s="146">
        <v>294.13094176749934</v>
      </c>
      <c r="AQ768" t="s">
        <v>385</v>
      </c>
      <c r="AR768">
        <f t="shared" si="48"/>
        <v>14.644015877877388</v>
      </c>
      <c r="AS768">
        <f t="shared" si="49"/>
        <v>3.9965468373646496</v>
      </c>
      <c r="AT768">
        <v>0.3</v>
      </c>
      <c r="AU768">
        <v>0</v>
      </c>
      <c r="AV768">
        <v>0.4</v>
      </c>
      <c r="AW768" s="146">
        <v>3</v>
      </c>
      <c r="AX768" s="146">
        <v>0.51906299084620644</v>
      </c>
      <c r="AY768">
        <v>0.27</v>
      </c>
      <c r="AZ768" s="209">
        <v>294.13094176749934</v>
      </c>
      <c r="BA768">
        <v>0.51906299084620644</v>
      </c>
      <c r="BB768" s="249">
        <v>34.670252890641748</v>
      </c>
      <c r="BC768" s="243">
        <v>191.87980605284042</v>
      </c>
      <c r="BD768" s="209">
        <v>88117.873348650362</v>
      </c>
      <c r="BE768" s="243">
        <v>43.244453005936784</v>
      </c>
      <c r="BF768">
        <v>266609.63740914059</v>
      </c>
      <c r="BG768" t="s">
        <v>387</v>
      </c>
      <c r="BH768">
        <v>6.8127329657803054E-6</v>
      </c>
      <c r="BI768">
        <v>2081178.7334865036</v>
      </c>
      <c r="BJ768">
        <f t="shared" si="45"/>
        <v>0.12810511327996402</v>
      </c>
    </row>
    <row r="769" spans="1:62" x14ac:dyDescent="0.3">
      <c r="A769">
        <v>-0.1</v>
      </c>
      <c r="B769" s="146">
        <v>1000</v>
      </c>
      <c r="C769" s="146">
        <v>25</v>
      </c>
      <c r="D769" s="146">
        <v>400</v>
      </c>
      <c r="E769" s="252">
        <v>18.762954135505865</v>
      </c>
      <c r="F769" s="146">
        <v>2.9673240571080672</v>
      </c>
      <c r="G769" s="146">
        <v>20.880560946363126</v>
      </c>
      <c r="H769" s="146">
        <v>18.21780028397858</v>
      </c>
      <c r="I769" s="146"/>
      <c r="J769" s="146">
        <v>0.62780707278149472</v>
      </c>
      <c r="K769" s="146">
        <v>0.27</v>
      </c>
      <c r="L769" s="146">
        <v>123.52375212573898</v>
      </c>
      <c r="M769" s="146">
        <v>53.817402378433997</v>
      </c>
      <c r="N769" s="146">
        <v>2.8461234040827641</v>
      </c>
      <c r="O769" s="146"/>
      <c r="P769" s="146"/>
      <c r="Q769" s="146"/>
      <c r="R769" s="146"/>
      <c r="S769" s="146"/>
      <c r="T769" s="146"/>
      <c r="U769" s="146"/>
      <c r="V769" s="146"/>
      <c r="W769" s="146"/>
      <c r="X769" s="146"/>
      <c r="Y769" s="146"/>
      <c r="Z769" s="146">
        <v>0.15622761034359084</v>
      </c>
      <c r="AA769" s="146"/>
      <c r="AB769" s="146"/>
      <c r="AC769" s="146"/>
      <c r="AD769" s="146"/>
      <c r="AE769" s="146"/>
      <c r="AF769" s="146"/>
      <c r="AG769" s="146"/>
      <c r="AH769" s="146"/>
      <c r="AI769" s="146"/>
      <c r="AJ769" s="146"/>
      <c r="AK769" s="146"/>
      <c r="AL769" s="146">
        <v>1704.8374668316978</v>
      </c>
      <c r="AM769" s="146">
        <v>0.14210940332160479</v>
      </c>
      <c r="AN769" s="146">
        <v>0.26228940459198669</v>
      </c>
      <c r="AO769" s="146">
        <v>328.46468897707393</v>
      </c>
      <c r="AP769" s="146">
        <v>281.77576479031433</v>
      </c>
      <c r="AQ769" t="s">
        <v>385</v>
      </c>
      <c r="AR769">
        <f t="shared" si="48"/>
        <v>14.644015877877388</v>
      </c>
      <c r="AS769">
        <f t="shared" si="49"/>
        <v>3.9965468373646496</v>
      </c>
      <c r="AT769">
        <v>0.3</v>
      </c>
      <c r="AU769">
        <v>0</v>
      </c>
      <c r="AV769">
        <v>0.4</v>
      </c>
      <c r="AW769" s="146">
        <v>3</v>
      </c>
      <c r="AX769" s="146">
        <v>0.54111602543337467</v>
      </c>
      <c r="AY769">
        <v>0.27</v>
      </c>
      <c r="AZ769" s="209">
        <v>281.77576479031433</v>
      </c>
      <c r="BA769">
        <v>0.54111602543337467</v>
      </c>
      <c r="BB769" s="249">
        <v>38.815403037939994</v>
      </c>
      <c r="BC769" s="243">
        <v>206.82183439857823</v>
      </c>
      <c r="BD769" s="209">
        <v>96710.895836417301</v>
      </c>
      <c r="BE769" s="243">
        <v>46.756078522713288</v>
      </c>
      <c r="BF769">
        <v>328223.88121493673</v>
      </c>
      <c r="BG769" t="s">
        <v>387</v>
      </c>
      <c r="BH769">
        <v>7.2578359631085628E-6</v>
      </c>
      <c r="BI769">
        <v>2167108.9583641728</v>
      </c>
      <c r="BJ769">
        <f t="shared" si="45"/>
        <v>0.15145702755190227</v>
      </c>
    </row>
    <row r="770" spans="1:62" x14ac:dyDescent="0.3">
      <c r="A770">
        <v>-0.1</v>
      </c>
      <c r="B770" s="146">
        <v>1300</v>
      </c>
      <c r="C770" s="146">
        <v>25</v>
      </c>
      <c r="D770" s="146">
        <v>400</v>
      </c>
      <c r="E770" s="252">
        <v>21.382741337125179</v>
      </c>
      <c r="F770" s="146">
        <v>3.4526400725508335</v>
      </c>
      <c r="G770" s="146">
        <v>23.796581677746282</v>
      </c>
      <c r="H770" s="146">
        <v>20.821995306790523</v>
      </c>
      <c r="I770" s="146"/>
      <c r="J770" s="146">
        <v>0.63462734054056447</v>
      </c>
      <c r="K770" s="146">
        <v>0.27</v>
      </c>
      <c r="L770" s="146">
        <v>141.44807036035704</v>
      </c>
      <c r="M770" s="146">
        <v>61.626752646628582</v>
      </c>
      <c r="N770" s="146">
        <v>3.0339366396536462</v>
      </c>
      <c r="O770" s="146"/>
      <c r="P770" s="146"/>
      <c r="Q770" s="146"/>
      <c r="R770" s="146"/>
      <c r="S770" s="146"/>
      <c r="T770" s="146"/>
      <c r="U770" s="146"/>
      <c r="V770" s="146"/>
      <c r="W770" s="146"/>
      <c r="X770" s="146"/>
      <c r="Y770" s="146"/>
      <c r="Z770" s="146">
        <v>0.1457082568193746</v>
      </c>
      <c r="AA770" s="146"/>
      <c r="AB770" s="146"/>
      <c r="AC770" s="146"/>
      <c r="AD770" s="146"/>
      <c r="AE770" s="146"/>
      <c r="AF770" s="146"/>
      <c r="AG770" s="146"/>
      <c r="AH770" s="146"/>
      <c r="AI770" s="146"/>
      <c r="AJ770" s="146"/>
      <c r="AK770" s="146"/>
      <c r="AL770" s="146">
        <v>1782.1721236086446</v>
      </c>
      <c r="AM770" s="146">
        <v>0.14508974941470773</v>
      </c>
      <c r="AN770" s="146">
        <v>0.26208093333371224</v>
      </c>
      <c r="AO770" s="146">
        <v>318.41168655371752</v>
      </c>
      <c r="AP770" s="146">
        <v>265.20380378181937</v>
      </c>
      <c r="AQ770" t="s">
        <v>385</v>
      </c>
      <c r="AR770">
        <f t="shared" si="48"/>
        <v>14.644015877877388</v>
      </c>
      <c r="AS770">
        <f t="shared" si="49"/>
        <v>3.9965468373646496</v>
      </c>
      <c r="AT770">
        <v>0.3</v>
      </c>
      <c r="AU770">
        <v>0</v>
      </c>
      <c r="AV770">
        <v>0.4</v>
      </c>
      <c r="AW770" s="146">
        <v>3</v>
      </c>
      <c r="AX770" s="146">
        <v>0.54936040659541008</v>
      </c>
      <c r="AY770">
        <v>0.27</v>
      </c>
      <c r="AZ770" s="209">
        <v>265.20380378181937</v>
      </c>
      <c r="BA770">
        <v>0.54936040659541008</v>
      </c>
      <c r="BB770" s="249">
        <v>44.344648668794264</v>
      </c>
      <c r="BC770" s="243">
        <v>221.55407503170224</v>
      </c>
      <c r="BD770" s="209">
        <v>107491.27017943289</v>
      </c>
      <c r="BE770" s="243">
        <v>53.454046706572242</v>
      </c>
      <c r="BF770">
        <v>413092.27146154689</v>
      </c>
      <c r="BG770" t="s">
        <v>387</v>
      </c>
      <c r="BH770">
        <v>7.6831568968824786E-6</v>
      </c>
      <c r="BI770">
        <v>2274912.7017943291</v>
      </c>
      <c r="BJ770">
        <f t="shared" si="45"/>
        <v>0.18158598839231144</v>
      </c>
    </row>
    <row r="771" spans="1:62" x14ac:dyDescent="0.3">
      <c r="A771">
        <v>-0.1</v>
      </c>
      <c r="B771" s="227">
        <v>1600</v>
      </c>
      <c r="C771" s="146">
        <v>25</v>
      </c>
      <c r="D771" s="146">
        <v>400</v>
      </c>
      <c r="E771" s="252">
        <v>23.228229237474096</v>
      </c>
      <c r="F771" s="146">
        <v>3.7790401025424929</v>
      </c>
      <c r="G771" s="146">
        <v>25.838788461621469</v>
      </c>
      <c r="H771" s="146">
        <v>22.690045362934345</v>
      </c>
      <c r="I771" s="146"/>
      <c r="J771" s="146">
        <v>0.63216189692589464</v>
      </c>
      <c r="K771" s="146">
        <v>0.27</v>
      </c>
      <c r="L771" s="146">
        <v>154.37381366952593</v>
      </c>
      <c r="M771" s="146">
        <v>67.258300561411701</v>
      </c>
      <c r="N771" s="146">
        <v>3.2458064528559447</v>
      </c>
      <c r="O771" s="146"/>
      <c r="P771" s="146"/>
      <c r="Q771" s="146"/>
      <c r="R771" s="146"/>
      <c r="S771" s="146"/>
      <c r="T771" s="146"/>
      <c r="U771" s="146"/>
      <c r="V771" s="146"/>
      <c r="W771" s="146"/>
      <c r="X771" s="146"/>
      <c r="Y771" s="146"/>
      <c r="Z771" s="146">
        <v>0.14304980007480192</v>
      </c>
      <c r="AA771" s="146"/>
      <c r="AB771" s="146"/>
      <c r="AC771" s="146"/>
      <c r="AD771" s="146"/>
      <c r="AE771" s="146"/>
      <c r="AF771" s="146"/>
      <c r="AG771" s="146"/>
      <c r="AH771" s="146"/>
      <c r="AI771" s="146"/>
      <c r="AJ771" s="146"/>
      <c r="AK771" s="146"/>
      <c r="AL771" s="146">
        <v>1877.0433471488955</v>
      </c>
      <c r="AM771" s="146">
        <v>0.14625453930069235</v>
      </c>
      <c r="AN771" s="146">
        <v>0.26377802431422437</v>
      </c>
      <c r="AO771" s="146">
        <v>311.94024104978672</v>
      </c>
      <c r="AP771" s="146">
        <v>254.14012072092106</v>
      </c>
      <c r="AQ771" t="s">
        <v>385</v>
      </c>
      <c r="AR771">
        <f t="shared" si="48"/>
        <v>14.644015877877388</v>
      </c>
      <c r="AS771">
        <f t="shared" si="49"/>
        <v>3.9965468373646496</v>
      </c>
      <c r="AT771">
        <v>0.3</v>
      </c>
      <c r="AU771">
        <v>0</v>
      </c>
      <c r="AV771">
        <v>0.4</v>
      </c>
      <c r="AW771" s="146">
        <v>3</v>
      </c>
      <c r="AX771" s="146">
        <v>0.54917799037731896</v>
      </c>
      <c r="AY771">
        <v>0.27</v>
      </c>
      <c r="AZ771" s="209">
        <v>254.14012072092106</v>
      </c>
      <c r="BA771">
        <v>0.54917799037731896</v>
      </c>
      <c r="BB771" s="249">
        <v>48.194192764682597</v>
      </c>
      <c r="BC771" s="243">
        <v>230.45655790388599</v>
      </c>
      <c r="BD771" s="209">
        <v>114476.70515062638</v>
      </c>
      <c r="BE771" s="243">
        <v>57.959111246564483</v>
      </c>
      <c r="BF771">
        <v>478090.09606575733</v>
      </c>
      <c r="BG771" t="s">
        <v>387</v>
      </c>
      <c r="BH771">
        <v>7.9495872172503531E-6</v>
      </c>
      <c r="BI771">
        <v>2344767.0515062641</v>
      </c>
      <c r="BJ771">
        <f t="shared" si="45"/>
        <v>0.20389662834891642</v>
      </c>
    </row>
    <row r="772" spans="1:62" s="140" customFormat="1" x14ac:dyDescent="0.3">
      <c r="A772" s="140">
        <v>-0.1</v>
      </c>
      <c r="B772" s="140">
        <v>1900</v>
      </c>
      <c r="C772" s="140">
        <v>25</v>
      </c>
      <c r="D772" s="140">
        <v>400</v>
      </c>
      <c r="E772" s="253">
        <v>24.526798991872869</v>
      </c>
      <c r="F772" s="140">
        <v>4.0517774786378133</v>
      </c>
      <c r="G772" s="140">
        <v>27.294640679395521</v>
      </c>
      <c r="H772" s="140">
        <v>23.982634422861981</v>
      </c>
      <c r="J772" s="140">
        <v>0.63422097419000434</v>
      </c>
      <c r="K772" s="140">
        <v>0.27</v>
      </c>
      <c r="L772" s="140">
        <v>163.37633487857556</v>
      </c>
      <c r="M772" s="140">
        <v>71.180560839213427</v>
      </c>
      <c r="N772" s="140">
        <v>3.3208142894415467</v>
      </c>
      <c r="Z772" s="140">
        <v>0.13846745236110952</v>
      </c>
      <c r="AL772" s="140">
        <v>1906.2226288710619</v>
      </c>
      <c r="AM772" s="140">
        <v>0.14844589918695886</v>
      </c>
      <c r="AN772" s="140">
        <v>0.26329558343568127</v>
      </c>
      <c r="AO772" s="140">
        <v>306.84690311995166</v>
      </c>
      <c r="AP772" s="140">
        <v>245.81548415028959</v>
      </c>
      <c r="AQ772" t="s">
        <v>385</v>
      </c>
      <c r="AR772">
        <f t="shared" si="48"/>
        <v>14.644015877877388</v>
      </c>
      <c r="AS772">
        <f t="shared" si="49"/>
        <v>3.9965468373646496</v>
      </c>
      <c r="AT772">
        <v>0.3</v>
      </c>
      <c r="AU772">
        <v>0</v>
      </c>
      <c r="AV772">
        <v>0.4</v>
      </c>
      <c r="AW772" s="140">
        <v>3</v>
      </c>
      <c r="AX772" s="140">
        <v>0.55164084388784806</v>
      </c>
      <c r="AY772">
        <v>0.27</v>
      </c>
      <c r="AZ772" s="209">
        <v>245.81548415028959</v>
      </c>
      <c r="BA772" s="140">
        <v>0.55164084388784806</v>
      </c>
      <c r="BB772" s="253">
        <v>51.105176438944156</v>
      </c>
      <c r="BC772" s="245">
        <v>235.17891775023489</v>
      </c>
      <c r="BD772" s="210">
        <v>118937.72153004911</v>
      </c>
      <c r="BE772" s="245">
        <v>61.602261531262421</v>
      </c>
      <c r="BF772" s="140">
        <v>525967.39466389036</v>
      </c>
      <c r="BG772" t="s">
        <v>387</v>
      </c>
      <c r="BH772" s="140">
        <v>8.128808696590549E-6</v>
      </c>
      <c r="BI772" s="140">
        <v>2389377.2153004911</v>
      </c>
      <c r="BJ772">
        <f t="shared" ref="BJ772:BJ835" si="50">BF772/BI772</f>
        <v>0.22012740026808367</v>
      </c>
    </row>
    <row r="773" spans="1:62" x14ac:dyDescent="0.3">
      <c r="A773">
        <v>-0.1</v>
      </c>
      <c r="B773" s="146">
        <v>1000</v>
      </c>
      <c r="C773" s="146">
        <v>25</v>
      </c>
      <c r="D773" s="146">
        <v>200</v>
      </c>
      <c r="E773" s="252">
        <v>17.280884356269109</v>
      </c>
      <c r="F773" s="146">
        <v>5.65343652762086</v>
      </c>
      <c r="G773" s="146">
        <v>20.799931116597293</v>
      </c>
      <c r="H773" s="146">
        <v>18.798374006144883</v>
      </c>
      <c r="I773" s="146"/>
      <c r="J773" s="146">
        <v>0.99884133149110588</v>
      </c>
      <c r="K773" s="146">
        <v>0.27</v>
      </c>
      <c r="L773" s="146">
        <v>129.34824920377122</v>
      </c>
      <c r="M773" s="146">
        <v>56.355046333593265</v>
      </c>
      <c r="N773" s="146">
        <v>1.1045622790854281</v>
      </c>
      <c r="O773" s="146"/>
      <c r="P773" s="146"/>
      <c r="Q773" s="146"/>
      <c r="R773" s="146"/>
      <c r="S773" s="146"/>
      <c r="T773" s="146"/>
      <c r="U773" s="146"/>
      <c r="V773" s="146"/>
      <c r="W773" s="146"/>
      <c r="X773" s="146"/>
      <c r="Y773" s="146"/>
      <c r="Z773" s="146">
        <v>5.8758394674154515E-2</v>
      </c>
      <c r="AA773" s="146"/>
      <c r="AB773" s="146"/>
      <c r="AC773" s="146"/>
      <c r="AD773" s="146"/>
      <c r="AE773" s="146"/>
      <c r="AF773" s="146"/>
      <c r="AG773" s="146"/>
      <c r="AH773" s="146"/>
      <c r="AI773" s="146"/>
      <c r="AJ773" s="146"/>
      <c r="AK773" s="146"/>
      <c r="AL773" s="146">
        <v>627.46119929234396</v>
      </c>
      <c r="AM773" s="146">
        <v>0.27180073318174136</v>
      </c>
      <c r="AN773" s="146">
        <v>0.2112088484923576</v>
      </c>
      <c r="AO773" s="146">
        <v>118.18105879738083</v>
      </c>
      <c r="AP773" s="146">
        <v>75.180059749629848</v>
      </c>
      <c r="AQ773" t="s">
        <v>385</v>
      </c>
      <c r="AR773">
        <f t="shared" si="48"/>
        <v>14.644015877877388</v>
      </c>
      <c r="AS773">
        <f t="shared" si="49"/>
        <v>3.9965468373646496</v>
      </c>
      <c r="AT773">
        <v>0.3</v>
      </c>
      <c r="AU773">
        <v>0</v>
      </c>
      <c r="AV773">
        <v>0.4</v>
      </c>
      <c r="AW773" s="146">
        <v>3</v>
      </c>
      <c r="AX773" s="146">
        <v>0.99786480552934176</v>
      </c>
      <c r="AY773">
        <v>0.27</v>
      </c>
      <c r="AZ773" s="209">
        <v>75.180059749629848</v>
      </c>
      <c r="BA773">
        <v>0.99786480552934176</v>
      </c>
      <c r="BB773" s="249">
        <v>49.356093811241735</v>
      </c>
      <c r="BC773" s="243">
        <v>223.12406023501012</v>
      </c>
      <c r="BD773" s="209">
        <v>108404.49490048135</v>
      </c>
      <c r="BE773" s="243">
        <v>53.807338372090427</v>
      </c>
      <c r="BF773">
        <v>320607.33822892461</v>
      </c>
      <c r="BG773" t="s">
        <v>388</v>
      </c>
      <c r="BH773">
        <v>6.3771802564184665E-6</v>
      </c>
      <c r="BI773">
        <v>2284044.9490048136</v>
      </c>
      <c r="BJ773">
        <f t="shared" si="50"/>
        <v>0.14036822627707793</v>
      </c>
    </row>
    <row r="774" spans="1:62" x14ac:dyDescent="0.3">
      <c r="A774">
        <v>-0.1</v>
      </c>
      <c r="B774" s="146">
        <v>1000</v>
      </c>
      <c r="C774" s="146">
        <v>25</v>
      </c>
      <c r="D774" s="146">
        <v>300</v>
      </c>
      <c r="E774" s="252">
        <v>18.11405945059435</v>
      </c>
      <c r="F774" s="146">
        <v>3.7124259699522262</v>
      </c>
      <c r="G774" s="146">
        <v>20.623787172870642</v>
      </c>
      <c r="H774" s="146">
        <v>18.390530743764323</v>
      </c>
      <c r="I774" s="146"/>
      <c r="J774" s="146">
        <v>0.67189375999525391</v>
      </c>
      <c r="K774" s="146">
        <v>0.27</v>
      </c>
      <c r="L774" s="146">
        <v>125.00944621317116</v>
      </c>
      <c r="M774" s="146">
        <v>54.464696482916899</v>
      </c>
      <c r="N774" s="146">
        <v>2.2703765509843628</v>
      </c>
      <c r="O774" s="146"/>
      <c r="P774" s="146"/>
      <c r="Q774" s="146"/>
      <c r="R774" s="146"/>
      <c r="S774" s="146"/>
      <c r="T774" s="146"/>
      <c r="U774" s="146"/>
      <c r="V774" s="146"/>
      <c r="W774" s="146"/>
      <c r="X774" s="146"/>
      <c r="Y774" s="146"/>
      <c r="Z774" s="146">
        <v>0.12345356328305965</v>
      </c>
      <c r="AA774" s="146"/>
      <c r="AB774" s="146"/>
      <c r="AC774" s="146"/>
      <c r="AD774" s="146"/>
      <c r="AE774" s="146"/>
      <c r="AF774" s="146"/>
      <c r="AG774" s="146"/>
      <c r="AH774" s="146"/>
      <c r="AI774" s="146"/>
      <c r="AJ774" s="146"/>
      <c r="AK774" s="146"/>
      <c r="AL774" s="146">
        <v>1318.3584176950708</v>
      </c>
      <c r="AM774" s="146">
        <v>0.18000699574885548</v>
      </c>
      <c r="AN774" s="146">
        <v>0.25244108356275435</v>
      </c>
      <c r="AO774" s="146">
        <v>228.24440778439546</v>
      </c>
      <c r="AP774" s="146">
        <v>183.1701422028888</v>
      </c>
      <c r="AQ774" t="s">
        <v>385</v>
      </c>
      <c r="AR774">
        <f t="shared" si="48"/>
        <v>14.644015877877388</v>
      </c>
      <c r="AS774">
        <f t="shared" si="49"/>
        <v>3.9965468373646496</v>
      </c>
      <c r="AT774">
        <v>0.3</v>
      </c>
      <c r="AU774">
        <v>0</v>
      </c>
      <c r="AV774">
        <v>0.4</v>
      </c>
      <c r="AW774" s="146">
        <v>3</v>
      </c>
      <c r="AX774" s="146">
        <v>0.56798894059772043</v>
      </c>
      <c r="AY774">
        <v>0.27</v>
      </c>
      <c r="AZ774" s="209">
        <v>183.1701422028888</v>
      </c>
      <c r="BA774">
        <v>0.56798894059772043</v>
      </c>
      <c r="BB774" s="249">
        <v>42.535400180920099</v>
      </c>
      <c r="BC774" s="243">
        <v>210.86353451590608</v>
      </c>
      <c r="BD774" s="209">
        <v>100965.03461977719</v>
      </c>
      <c r="BE774" s="243">
        <v>50.542360404164754</v>
      </c>
      <c r="BF774">
        <v>323856.34649011464</v>
      </c>
      <c r="BG774" t="s">
        <v>388</v>
      </c>
      <c r="BH774">
        <v>6.890143689275776E-6</v>
      </c>
      <c r="BI774">
        <v>2209650.3461977718</v>
      </c>
      <c r="BJ774">
        <f t="shared" si="50"/>
        <v>0.14656452186989058</v>
      </c>
    </row>
    <row r="775" spans="1:62" x14ac:dyDescent="0.3">
      <c r="A775">
        <v>-0.1</v>
      </c>
      <c r="B775" s="146">
        <v>1000</v>
      </c>
      <c r="C775" s="146">
        <v>25</v>
      </c>
      <c r="D775" s="146">
        <v>400</v>
      </c>
      <c r="E775" s="252">
        <v>18.763169987954683</v>
      </c>
      <c r="F775" s="146">
        <v>2.9675797089143483</v>
      </c>
      <c r="G775" s="146">
        <v>20.880925583854619</v>
      </c>
      <c r="H775" s="146">
        <v>18.218587472251002</v>
      </c>
      <c r="I775" s="146"/>
      <c r="J775" s="146">
        <v>0.62800021695697172</v>
      </c>
      <c r="K775" s="146">
        <v>0.27</v>
      </c>
      <c r="L775" s="146">
        <v>123.52902416712243</v>
      </c>
      <c r="M775" s="146">
        <v>53.819699325924717</v>
      </c>
      <c r="N775" s="146">
        <v>2.8447127485787647</v>
      </c>
      <c r="O775" s="146"/>
      <c r="P775" s="146"/>
      <c r="Q775" s="146"/>
      <c r="R775" s="146"/>
      <c r="S775" s="146"/>
      <c r="T775" s="146"/>
      <c r="U775" s="146"/>
      <c r="V775" s="146"/>
      <c r="W775" s="146"/>
      <c r="X775" s="146"/>
      <c r="Y775" s="146"/>
      <c r="Z775" s="146">
        <v>0.15614343059864483</v>
      </c>
      <c r="AA775" s="146"/>
      <c r="AB775" s="146"/>
      <c r="AC775" s="146"/>
      <c r="AD775" s="146"/>
      <c r="AE775" s="146"/>
      <c r="AF775" s="146"/>
      <c r="AG775" s="146"/>
      <c r="AH775" s="146"/>
      <c r="AI775" s="146"/>
      <c r="AJ775" s="146"/>
      <c r="AK775" s="146"/>
      <c r="AL775" s="146">
        <v>1704.1296565666671</v>
      </c>
      <c r="AM775" s="146">
        <v>0.14211916502441427</v>
      </c>
      <c r="AN775" s="146">
        <v>0.26228526312038181</v>
      </c>
      <c r="AO775" s="146">
        <v>328.46273646970815</v>
      </c>
      <c r="AP775" s="146">
        <v>281.77328227728498</v>
      </c>
      <c r="AQ775" t="s">
        <v>385</v>
      </c>
      <c r="AR775">
        <f t="shared" si="48"/>
        <v>14.644015877877388</v>
      </c>
      <c r="AS775">
        <f t="shared" si="49"/>
        <v>3.9965468373646496</v>
      </c>
      <c r="AT775">
        <v>0.3</v>
      </c>
      <c r="AU775">
        <v>0</v>
      </c>
      <c r="AV775">
        <v>0.4</v>
      </c>
      <c r="AW775" s="146">
        <v>3</v>
      </c>
      <c r="AX775" s="146">
        <v>0.54128521871195645</v>
      </c>
      <c r="AY775">
        <v>0.27</v>
      </c>
      <c r="AZ775" s="209">
        <v>281.77328227728498</v>
      </c>
      <c r="BA775">
        <v>0.54128521871195645</v>
      </c>
      <c r="BB775" s="249">
        <v>38.815578294326826</v>
      </c>
      <c r="BC775" s="243">
        <v>206.83604233790433</v>
      </c>
      <c r="BD775" s="209">
        <v>96713.001126750969</v>
      </c>
      <c r="BE775" s="243">
        <v>46.750254239199606</v>
      </c>
      <c r="BF775">
        <v>328233.20135283313</v>
      </c>
      <c r="BG775" t="s">
        <v>388</v>
      </c>
      <c r="BH775">
        <v>7.2578299463058748E-6</v>
      </c>
      <c r="BI775">
        <v>2167130.0112675098</v>
      </c>
      <c r="BJ775">
        <f t="shared" si="50"/>
        <v>0.15145985688272404</v>
      </c>
    </row>
    <row r="776" spans="1:62" x14ac:dyDescent="0.3">
      <c r="A776">
        <v>-0.1</v>
      </c>
      <c r="B776" s="146">
        <v>1000</v>
      </c>
      <c r="C776" s="146">
        <v>25</v>
      </c>
      <c r="D776" s="146">
        <v>500</v>
      </c>
      <c r="E776" s="252">
        <v>19.424033075794661</v>
      </c>
      <c r="F776" s="146">
        <v>2.5658715585705352</v>
      </c>
      <c r="G776" s="146">
        <v>21.333715985603241</v>
      </c>
      <c r="H776" s="146">
        <v>18.048058432159575</v>
      </c>
      <c r="I776" s="146"/>
      <c r="J776" s="146">
        <v>0.58460545453861967</v>
      </c>
      <c r="K776" s="146">
        <v>0.27</v>
      </c>
      <c r="L776" s="146">
        <v>122.24048457585731</v>
      </c>
      <c r="M776" s="146">
        <v>53.258302408568539</v>
      </c>
      <c r="N776" s="146">
        <v>3.3607935561854738</v>
      </c>
      <c r="O776" s="146"/>
      <c r="P776" s="146"/>
      <c r="Q776" s="146"/>
      <c r="R776" s="146"/>
      <c r="S776" s="146"/>
      <c r="T776" s="146"/>
      <c r="U776" s="146"/>
      <c r="V776" s="146"/>
      <c r="W776" s="146"/>
      <c r="X776" s="146"/>
      <c r="Y776" s="146"/>
      <c r="Z776" s="146">
        <v>0.18621357908487954</v>
      </c>
      <c r="AA776" s="146"/>
      <c r="AB776" s="146"/>
      <c r="AC776" s="146"/>
      <c r="AD776" s="146"/>
      <c r="AE776" s="146"/>
      <c r="AF776" s="146"/>
      <c r="AG776" s="146"/>
      <c r="AH776" s="146"/>
      <c r="AI776" s="146"/>
      <c r="AJ776" s="146"/>
      <c r="AK776" s="146"/>
      <c r="AL776" s="146">
        <v>2057.4158894087732</v>
      </c>
      <c r="AM776" s="146">
        <v>0.12027307199093104</v>
      </c>
      <c r="AN776" s="146">
        <v>0.26021328603890265</v>
      </c>
      <c r="AO776" s="146">
        <v>425.35341537906442</v>
      </c>
      <c r="AP776" s="146">
        <v>377.01911131603651</v>
      </c>
      <c r="AQ776" t="s">
        <v>385</v>
      </c>
      <c r="AR776">
        <f t="shared" si="48"/>
        <v>14.644015877877388</v>
      </c>
      <c r="AS776">
        <f t="shared" si="49"/>
        <v>3.9965468373646496</v>
      </c>
      <c r="AT776">
        <v>0.3</v>
      </c>
      <c r="AU776">
        <v>0</v>
      </c>
      <c r="AV776">
        <v>0.4</v>
      </c>
      <c r="AW776" s="146">
        <v>3</v>
      </c>
      <c r="AX776" s="146">
        <v>0.5102672265776268</v>
      </c>
      <c r="AY776">
        <v>0.27</v>
      </c>
      <c r="AZ776" s="209">
        <v>377.01911131603651</v>
      </c>
      <c r="BA776">
        <v>0.5102672265776268</v>
      </c>
      <c r="BB776" s="249">
        <v>37.154487701292069</v>
      </c>
      <c r="BC776" s="243">
        <v>203.39124396281389</v>
      </c>
      <c r="BD776" s="209">
        <v>95632.202305203667</v>
      </c>
      <c r="BE776" s="243">
        <v>47.307608246511776</v>
      </c>
      <c r="BF776">
        <v>339541.21940982563</v>
      </c>
      <c r="BG776" t="s">
        <v>388</v>
      </c>
      <c r="BH776">
        <v>7.5190048633167953E-6</v>
      </c>
      <c r="BI776">
        <v>2156322.0230520368</v>
      </c>
      <c r="BJ776">
        <f t="shared" si="50"/>
        <v>0.15746313202758203</v>
      </c>
    </row>
    <row r="777" spans="1:62" s="146" customFormat="1" x14ac:dyDescent="0.3">
      <c r="A777">
        <v>-0.1</v>
      </c>
      <c r="B777" s="146">
        <v>1000</v>
      </c>
      <c r="C777" s="146">
        <v>25</v>
      </c>
      <c r="D777" s="146">
        <v>600</v>
      </c>
      <c r="E777" s="252">
        <v>19.894569964816668</v>
      </c>
      <c r="F777" s="146">
        <v>2.2572657795755378</v>
      </c>
      <c r="G777" s="146">
        <v>21.64338034741305</v>
      </c>
      <c r="H777" s="146">
        <v>17.935987956437614</v>
      </c>
      <c r="J777" s="146">
        <v>0.56427350480662775</v>
      </c>
      <c r="K777" s="146">
        <v>0.27</v>
      </c>
      <c r="L777" s="146">
        <v>121.40374036938137</v>
      </c>
      <c r="M777" s="146">
        <v>52.893745804087317</v>
      </c>
      <c r="N777" s="146">
        <v>3.7344645978212103</v>
      </c>
      <c r="Z777" s="146">
        <v>0.20821069945471446</v>
      </c>
      <c r="AL777" s="146">
        <v>2340.8300266952483</v>
      </c>
      <c r="AM777" s="146">
        <v>0.10429358738526905</v>
      </c>
      <c r="AN777" s="146">
        <v>0.25871549136204397</v>
      </c>
      <c r="AO777" s="146">
        <v>523.10251751807004</v>
      </c>
      <c r="AP777" s="146">
        <v>473.59772778464333</v>
      </c>
      <c r="AQ777" t="s">
        <v>385</v>
      </c>
      <c r="AR777">
        <f t="shared" si="48"/>
        <v>14.644015877877388</v>
      </c>
      <c r="AS777">
        <f t="shared" si="49"/>
        <v>3.9965468373646496</v>
      </c>
      <c r="AT777">
        <v>0.3</v>
      </c>
      <c r="AU777">
        <v>0</v>
      </c>
      <c r="AV777">
        <v>0.4</v>
      </c>
      <c r="AW777" s="146">
        <v>3</v>
      </c>
      <c r="AX777" s="146">
        <v>0.49824552771545189</v>
      </c>
      <c r="AY777">
        <v>0.27</v>
      </c>
      <c r="AZ777" s="209">
        <v>473.59772778464333</v>
      </c>
      <c r="BA777" s="146">
        <v>0.49824552771545189</v>
      </c>
      <c r="BB777" s="252">
        <v>35.687898111116489</v>
      </c>
      <c r="BC777" s="244">
        <v>201.18360946639731</v>
      </c>
      <c r="BD777" s="229">
        <v>94422.658985356262</v>
      </c>
      <c r="BE777" s="244">
        <v>46.887387657047981</v>
      </c>
      <c r="BF777" s="146">
        <v>346426.62686414231</v>
      </c>
      <c r="BG777" t="s">
        <v>388</v>
      </c>
      <c r="BH777" s="146">
        <v>7.7227826953839503E-6</v>
      </c>
      <c r="BI777" s="146">
        <v>2144226.5898535624</v>
      </c>
      <c r="BJ777">
        <f t="shared" si="50"/>
        <v>0.1615625086002693</v>
      </c>
    </row>
    <row r="778" spans="1:62" s="140" customFormat="1" x14ac:dyDescent="0.3">
      <c r="A778">
        <v>-0.1</v>
      </c>
      <c r="B778" s="146">
        <v>1000</v>
      </c>
      <c r="C778" s="146">
        <v>25</v>
      </c>
      <c r="D778" s="146">
        <v>700</v>
      </c>
      <c r="E778" s="252">
        <v>20.243732287333444</v>
      </c>
      <c r="F778" s="146">
        <v>2.0153712153568524</v>
      </c>
      <c r="G778" s="146">
        <v>21.865971416104465</v>
      </c>
      <c r="H778" s="146">
        <v>17.851125509855347</v>
      </c>
      <c r="I778" s="146"/>
      <c r="J778" s="146">
        <v>0.55157741144029115</v>
      </c>
      <c r="K778" s="146">
        <v>0.27</v>
      </c>
      <c r="L778" s="146">
        <v>120.77890801153117</v>
      </c>
      <c r="M778" s="146">
        <v>52.621515938633912</v>
      </c>
      <c r="N778" s="146">
        <v>4.0358535970995604</v>
      </c>
      <c r="O778" s="146"/>
      <c r="P778" s="146"/>
      <c r="Q778" s="146"/>
      <c r="R778" s="146"/>
      <c r="S778" s="146"/>
      <c r="T778" s="146"/>
      <c r="U778" s="146"/>
      <c r="V778" s="146"/>
      <c r="W778" s="146"/>
      <c r="X778" s="146"/>
      <c r="Y778" s="146"/>
      <c r="Z778" s="146">
        <v>0.22608398528548937</v>
      </c>
      <c r="AA778" s="146"/>
      <c r="AB778" s="146"/>
      <c r="AC778" s="146"/>
      <c r="AD778" s="146"/>
      <c r="AE778" s="146"/>
      <c r="AF778" s="146"/>
      <c r="AG778" s="146"/>
      <c r="AH778" s="146"/>
      <c r="AI778" s="146"/>
      <c r="AJ778" s="146"/>
      <c r="AK778" s="146"/>
      <c r="AL778" s="146">
        <v>2588.9740159853313</v>
      </c>
      <c r="AM778" s="146">
        <v>9.2169297078313894E-2</v>
      </c>
      <c r="AN778" s="146">
        <v>0.25762249718506469</v>
      </c>
      <c r="AO778" s="146">
        <v>621.42094534239675</v>
      </c>
      <c r="AP778" s="146">
        <v>571.04721743555149</v>
      </c>
      <c r="AQ778" t="s">
        <v>385</v>
      </c>
      <c r="AR778">
        <f t="shared" si="48"/>
        <v>14.644015877877388</v>
      </c>
      <c r="AS778">
        <f t="shared" si="49"/>
        <v>3.9965468373646496</v>
      </c>
      <c r="AT778">
        <v>0.3</v>
      </c>
      <c r="AU778">
        <v>0</v>
      </c>
      <c r="AV778">
        <v>0.4</v>
      </c>
      <c r="AW778" s="146">
        <v>3</v>
      </c>
      <c r="AX778" s="146">
        <v>0.49166184391845963</v>
      </c>
      <c r="AY778">
        <v>0.27</v>
      </c>
      <c r="AZ778" s="209">
        <v>571.04721743555149</v>
      </c>
      <c r="BA778" s="140">
        <v>0.49166184391845963</v>
      </c>
      <c r="BB778" s="253">
        <v>34.472260989122113</v>
      </c>
      <c r="BC778" s="245">
        <v>199.54979100947938</v>
      </c>
      <c r="BD778" s="210">
        <v>93326.435682954325</v>
      </c>
      <c r="BE778" s="245">
        <v>46.271617427558219</v>
      </c>
      <c r="BF778" s="140">
        <v>350929.83476415445</v>
      </c>
      <c r="BG778" t="s">
        <v>388</v>
      </c>
      <c r="BH778" s="140">
        <v>7.883089920691011E-6</v>
      </c>
      <c r="BI778" s="140">
        <v>2133264.3568295431</v>
      </c>
      <c r="BJ778">
        <f t="shared" si="50"/>
        <v>0.16450367889974324</v>
      </c>
    </row>
    <row r="779" spans="1:62" x14ac:dyDescent="0.3">
      <c r="A779">
        <v>-0.1</v>
      </c>
      <c r="B779" s="146">
        <v>1000</v>
      </c>
      <c r="C779" s="146">
        <v>25</v>
      </c>
      <c r="D779" s="146">
        <v>800</v>
      </c>
      <c r="E779" s="252">
        <v>20.516193065312013</v>
      </c>
      <c r="F779" s="146">
        <v>1.8223937404161039</v>
      </c>
      <c r="G779" s="146">
        <v>22.037347915031205</v>
      </c>
      <c r="H779" s="146">
        <v>17.786201780701028</v>
      </c>
      <c r="I779" s="146"/>
      <c r="J779" s="146">
        <v>0.54251487322363301</v>
      </c>
      <c r="K779" s="146">
        <v>0.27</v>
      </c>
      <c r="L779" s="146">
        <v>120.30433010256456</v>
      </c>
      <c r="M779" s="146">
        <v>52.414749629748052</v>
      </c>
      <c r="N779" s="146">
        <v>4.287734396743959</v>
      </c>
      <c r="O779" s="146"/>
      <c r="P779" s="146"/>
      <c r="Q779" s="146"/>
      <c r="R779" s="146"/>
      <c r="S779" s="146"/>
      <c r="T779" s="146"/>
      <c r="U779" s="146"/>
      <c r="V779" s="146"/>
      <c r="W779" s="146"/>
      <c r="X779" s="146"/>
      <c r="Y779" s="146"/>
      <c r="Z779" s="146">
        <v>0.2410708283651869</v>
      </c>
      <c r="AA779" s="146"/>
      <c r="AB779" s="146"/>
      <c r="AC779" s="146"/>
      <c r="AD779" s="146"/>
      <c r="AE779" s="146"/>
      <c r="AF779" s="146"/>
      <c r="AG779" s="146"/>
      <c r="AH779" s="146"/>
      <c r="AI779" s="146"/>
      <c r="AJ779" s="146"/>
      <c r="AK779" s="146"/>
      <c r="AL779" s="146">
        <v>2812.9082634341789</v>
      </c>
      <c r="AM779" s="146">
        <v>8.2695692214991443E-2</v>
      </c>
      <c r="AN779" s="146">
        <v>0.25674988391946407</v>
      </c>
      <c r="AO779" s="146">
        <v>720.09268805843965</v>
      </c>
      <c r="AP779" s="146">
        <v>669.04106506220091</v>
      </c>
      <c r="AQ779" t="s">
        <v>385</v>
      </c>
      <c r="AR779">
        <f t="shared" si="48"/>
        <v>14.644015877877388</v>
      </c>
      <c r="AS779">
        <f t="shared" si="49"/>
        <v>3.9965468373646496</v>
      </c>
      <c r="AT779">
        <v>0.3</v>
      </c>
      <c r="AU779">
        <v>0</v>
      </c>
      <c r="AV779">
        <v>0.4</v>
      </c>
      <c r="AW779" s="146">
        <v>3</v>
      </c>
      <c r="AX779" s="146">
        <v>0.48733496521983394</v>
      </c>
      <c r="AY779">
        <v>0.27</v>
      </c>
      <c r="AZ779" s="209">
        <v>669.04106506220091</v>
      </c>
      <c r="BA779">
        <v>0.48733496521983394</v>
      </c>
      <c r="BB779" s="249">
        <v>33.475991395155233</v>
      </c>
      <c r="BC779" s="243">
        <v>198.31713174602635</v>
      </c>
      <c r="BD779" s="209">
        <v>92407.136610020782</v>
      </c>
      <c r="BE779" s="243">
        <v>45.666060058429395</v>
      </c>
      <c r="BF779">
        <v>354196.68297497137</v>
      </c>
      <c r="BG779" t="s">
        <v>388</v>
      </c>
      <c r="BH779">
        <v>8.0117433937455161E-6</v>
      </c>
      <c r="BI779">
        <v>2124071.3661002079</v>
      </c>
      <c r="BJ779">
        <f t="shared" si="50"/>
        <v>0.1667536640377936</v>
      </c>
    </row>
    <row r="780" spans="1:62" x14ac:dyDescent="0.3">
      <c r="A780">
        <v>-0.1</v>
      </c>
      <c r="B780" s="146">
        <v>1000</v>
      </c>
      <c r="C780" s="146">
        <v>25</v>
      </c>
      <c r="D780" s="146">
        <v>900</v>
      </c>
      <c r="E780" s="252">
        <v>20.734168690898887</v>
      </c>
      <c r="F780" s="146">
        <v>1.6648083835023821</v>
      </c>
      <c r="G780" s="146">
        <v>22.1726972907597</v>
      </c>
      <c r="H780" s="146">
        <v>17.734049654386119</v>
      </c>
      <c r="I780" s="146"/>
      <c r="J780" s="146">
        <v>0.53527373914741982</v>
      </c>
      <c r="K780" s="146">
        <v>0.27</v>
      </c>
      <c r="L780" s="146">
        <v>119.92558529325042</v>
      </c>
      <c r="M780" s="146">
        <v>52.249736331084208</v>
      </c>
      <c r="N780" s="146">
        <v>4.5063553774645584</v>
      </c>
      <c r="O780" s="146"/>
      <c r="P780" s="146"/>
      <c r="Q780" s="146"/>
      <c r="R780" s="146"/>
      <c r="S780" s="146"/>
      <c r="T780" s="146"/>
      <c r="U780" s="146"/>
      <c r="V780" s="146"/>
      <c r="W780" s="146"/>
      <c r="X780" s="146"/>
      <c r="Y780" s="146"/>
      <c r="Z780" s="146">
        <v>0.25410752001306214</v>
      </c>
      <c r="AA780" s="146"/>
      <c r="AB780" s="146"/>
      <c r="AC780" s="146"/>
      <c r="AD780" s="146"/>
      <c r="AE780" s="146"/>
      <c r="AF780" s="146"/>
      <c r="AG780" s="146"/>
      <c r="AH780" s="146"/>
      <c r="AI780" s="146"/>
      <c r="AJ780" s="146"/>
      <c r="AK780" s="146"/>
      <c r="AL780" s="146">
        <v>3020.6072790616995</v>
      </c>
      <c r="AM780" s="146">
        <v>7.5083710460259523E-2</v>
      </c>
      <c r="AN780" s="146">
        <v>0.25605238692875604</v>
      </c>
      <c r="AO780" s="146">
        <v>819.02372424800728</v>
      </c>
      <c r="AP780" s="146">
        <v>767.42959032941826</v>
      </c>
      <c r="AQ780" t="s">
        <v>385</v>
      </c>
      <c r="AR780">
        <f t="shared" si="48"/>
        <v>14.644015877877388</v>
      </c>
      <c r="AS780">
        <f t="shared" si="49"/>
        <v>3.9965468373646496</v>
      </c>
      <c r="AT780">
        <v>0.3</v>
      </c>
      <c r="AU780">
        <v>0</v>
      </c>
      <c r="AV780">
        <v>0.4</v>
      </c>
      <c r="AW780" s="146">
        <v>3</v>
      </c>
      <c r="AX780" s="146">
        <v>0.48393811036814538</v>
      </c>
      <c r="AY780">
        <v>0.27</v>
      </c>
      <c r="AZ780" s="209">
        <v>767.42959032941826</v>
      </c>
      <c r="BA780">
        <v>0.48393811036814538</v>
      </c>
      <c r="BB780" s="249">
        <v>32.648357427691124</v>
      </c>
      <c r="BC780" s="243">
        <v>197.33844881415308</v>
      </c>
      <c r="BD780" s="209">
        <v>91629.258597530061</v>
      </c>
      <c r="BE780" s="243">
        <v>45.111314429695611</v>
      </c>
      <c r="BF780">
        <v>356639.56129587186</v>
      </c>
      <c r="BG780" t="s">
        <v>388</v>
      </c>
      <c r="BH780">
        <v>8.117145667875901E-6</v>
      </c>
      <c r="BI780">
        <v>2116292.5859753005</v>
      </c>
      <c r="BJ780">
        <f t="shared" si="50"/>
        <v>0.16852091419651849</v>
      </c>
    </row>
    <row r="781" spans="1:62" x14ac:dyDescent="0.3">
      <c r="A781">
        <v>-0.1</v>
      </c>
      <c r="B781" s="146">
        <v>1000</v>
      </c>
      <c r="C781" s="146">
        <v>25</v>
      </c>
      <c r="D781" s="146">
        <v>1000</v>
      </c>
      <c r="E781" s="252">
        <v>20.914306437221136</v>
      </c>
      <c r="F781" s="146">
        <v>1.5339188957245611</v>
      </c>
      <c r="G781" s="146">
        <v>22.284215192972802</v>
      </c>
      <c r="H781" s="146">
        <v>17.691966310707244</v>
      </c>
      <c r="I781" s="146"/>
      <c r="J781" s="146">
        <v>0.52915663408324476</v>
      </c>
      <c r="K781" s="146">
        <v>0.27</v>
      </c>
      <c r="L781" s="146">
        <v>119.62105536379489</v>
      </c>
      <c r="M781" s="146">
        <v>52.117057316176201</v>
      </c>
      <c r="N781" s="146">
        <v>4.6991648098908225</v>
      </c>
      <c r="O781" s="146"/>
      <c r="P781" s="146"/>
      <c r="Q781" s="146"/>
      <c r="R781" s="146"/>
      <c r="S781" s="146"/>
      <c r="T781" s="146"/>
      <c r="U781" s="146"/>
      <c r="V781" s="146"/>
      <c r="W781" s="146"/>
      <c r="X781" s="146"/>
      <c r="Y781" s="146"/>
      <c r="Z781" s="146">
        <v>0.26561009259026624</v>
      </c>
      <c r="AA781" s="146"/>
      <c r="AB781" s="146"/>
      <c r="AC781" s="146"/>
      <c r="AD781" s="146"/>
      <c r="AE781" s="146"/>
      <c r="AF781" s="146"/>
      <c r="AG781" s="146"/>
      <c r="AH781" s="146"/>
      <c r="AI781" s="146"/>
      <c r="AJ781" s="146"/>
      <c r="AK781" s="146"/>
      <c r="AL781" s="146">
        <v>3215.6696838864423</v>
      </c>
      <c r="AM781" s="146">
        <v>6.8834324316176657E-2</v>
      </c>
      <c r="AN781" s="146">
        <v>0.25545607133657477</v>
      </c>
      <c r="AO781" s="146">
        <v>918.12953856295076</v>
      </c>
      <c r="AP781" s="146">
        <v>866.0872789410322</v>
      </c>
      <c r="AQ781" t="s">
        <v>385</v>
      </c>
      <c r="AR781">
        <f t="shared" si="48"/>
        <v>14.644015877877388</v>
      </c>
      <c r="AS781">
        <f t="shared" si="49"/>
        <v>3.9965468373646496</v>
      </c>
      <c r="AT781">
        <v>0.3</v>
      </c>
      <c r="AU781">
        <v>0</v>
      </c>
      <c r="AV781">
        <v>0.4</v>
      </c>
      <c r="AW781" s="146">
        <v>3</v>
      </c>
      <c r="AX781" s="146">
        <v>0.48102758686010327</v>
      </c>
      <c r="AY781">
        <v>0.27</v>
      </c>
      <c r="AZ781" s="209">
        <v>866.0872789410322</v>
      </c>
      <c r="BA781">
        <v>0.48102758686010327</v>
      </c>
      <c r="BB781" s="249">
        <v>31.954592679431638</v>
      </c>
      <c r="BC781" s="243">
        <v>196.55476580033744</v>
      </c>
      <c r="BD781" s="209">
        <v>90979.227245178248</v>
      </c>
      <c r="BE781" s="243">
        <v>44.624957355417493</v>
      </c>
      <c r="BF781">
        <v>358597.1439995009</v>
      </c>
      <c r="BG781" t="s">
        <v>388</v>
      </c>
      <c r="BH781">
        <v>8.2050599816547073E-6</v>
      </c>
      <c r="BI781">
        <v>2109792.2724517826</v>
      </c>
      <c r="BJ781">
        <f t="shared" si="50"/>
        <v>0.16996798627135759</v>
      </c>
    </row>
    <row r="782" spans="1:62" s="140" customFormat="1" x14ac:dyDescent="0.3">
      <c r="A782" s="140">
        <v>-0.1</v>
      </c>
      <c r="B782" s="140">
        <v>1000</v>
      </c>
      <c r="C782" s="140">
        <v>25</v>
      </c>
      <c r="D782" s="140">
        <v>1100</v>
      </c>
      <c r="E782" s="253">
        <v>21.064730304621083</v>
      </c>
      <c r="F782" s="140">
        <v>1.4231982775214769</v>
      </c>
      <c r="G782" s="140">
        <v>22.376563755953605</v>
      </c>
      <c r="H782" s="140">
        <v>17.656572538582719</v>
      </c>
      <c r="J782" s="140">
        <v>0.52370459187394225</v>
      </c>
      <c r="K782" s="140">
        <v>0.27</v>
      </c>
      <c r="L782" s="140">
        <v>119.36602002566303</v>
      </c>
      <c r="M782" s="140">
        <v>52.00594233483244</v>
      </c>
      <c r="N782" s="140">
        <v>4.8731230853316134</v>
      </c>
      <c r="Z782" s="140">
        <v>0.27599484977523142</v>
      </c>
      <c r="AL782" s="140">
        <v>3401.5255087486753</v>
      </c>
      <c r="AM782" s="140">
        <v>6.3602181865069191E-2</v>
      </c>
      <c r="AN782" s="140">
        <v>0.25496083443772216</v>
      </c>
      <c r="AO782" s="140">
        <v>1017.3805249301282</v>
      </c>
      <c r="AP782" s="140">
        <v>964.96396608286875</v>
      </c>
      <c r="AQ782" t="s">
        <v>385</v>
      </c>
      <c r="AR782">
        <f t="shared" si="48"/>
        <v>14.644015877877388</v>
      </c>
      <c r="AS782">
        <f t="shared" si="49"/>
        <v>3.9965468373646496</v>
      </c>
      <c r="AT782">
        <v>0.3</v>
      </c>
      <c r="AU782">
        <v>0</v>
      </c>
      <c r="AV782">
        <v>0.4</v>
      </c>
      <c r="AW782" s="140">
        <v>3</v>
      </c>
      <c r="AX782" s="140">
        <v>0.47832176802163912</v>
      </c>
      <c r="AY782">
        <v>0.27</v>
      </c>
      <c r="AZ782" s="209">
        <v>964.96396608286875</v>
      </c>
      <c r="BA782" s="140">
        <v>0.47832176802163912</v>
      </c>
      <c r="BB782" s="253">
        <v>31.362829648017701</v>
      </c>
      <c r="BC782" s="245">
        <v>195.90064948262111</v>
      </c>
      <c r="BD782" s="210">
        <v>90420.082189475332</v>
      </c>
      <c r="BE782" s="245">
        <v>44.193075546092295</v>
      </c>
      <c r="BF782" s="140">
        <v>360156.64987268002</v>
      </c>
      <c r="BG782" t="s">
        <v>388</v>
      </c>
      <c r="BH782" s="140">
        <v>8.2795560062802554E-6</v>
      </c>
      <c r="BI782" s="140">
        <v>2104200.8218947533</v>
      </c>
      <c r="BJ782">
        <f t="shared" si="50"/>
        <v>0.17116077806127486</v>
      </c>
    </row>
    <row r="783" spans="1:62" x14ac:dyDescent="0.3">
      <c r="A783">
        <v>-0.1</v>
      </c>
      <c r="B783" s="146">
        <v>1000</v>
      </c>
      <c r="C783" s="146">
        <v>25</v>
      </c>
      <c r="D783" s="146">
        <v>400</v>
      </c>
      <c r="E783" s="252">
        <v>18.763242268830322</v>
      </c>
      <c r="F783" s="146">
        <v>2.967670814145472</v>
      </c>
      <c r="G783" s="146">
        <v>20.881050802152728</v>
      </c>
      <c r="H783" s="146">
        <v>18.218867585499865</v>
      </c>
      <c r="I783" s="146"/>
      <c r="J783" s="146">
        <v>0.62806910607650024</v>
      </c>
      <c r="K783" s="146">
        <v>0.27</v>
      </c>
      <c r="L783" s="146">
        <v>123.53090065423929</v>
      </c>
      <c r="M783" s="146">
        <v>53.82051688255239</v>
      </c>
      <c r="N783" s="146">
        <v>2.8442105655225056</v>
      </c>
      <c r="O783" s="146"/>
      <c r="P783" s="146"/>
      <c r="Q783" s="146"/>
      <c r="R783" s="146"/>
      <c r="S783" s="146"/>
      <c r="T783" s="146"/>
      <c r="U783" s="146"/>
      <c r="V783" s="146"/>
      <c r="W783" s="146"/>
      <c r="X783" s="146"/>
      <c r="Y783" s="146"/>
      <c r="Z783" s="146">
        <v>0.15611346600851153</v>
      </c>
      <c r="AA783" s="146"/>
      <c r="AB783" s="146"/>
      <c r="AC783" s="146"/>
      <c r="AD783" s="146"/>
      <c r="AE783" s="146"/>
      <c r="AF783" s="146"/>
      <c r="AG783" s="146"/>
      <c r="AH783" s="146"/>
      <c r="AI783" s="146"/>
      <c r="AJ783" s="146"/>
      <c r="AK783" s="146"/>
      <c r="AL783" s="146">
        <v>1703.8774514093477</v>
      </c>
      <c r="AM783" s="146">
        <v>0.14212267583006505</v>
      </c>
      <c r="AN783" s="146">
        <v>0.26228387124307551</v>
      </c>
      <c r="AO783" s="146">
        <v>328.4620812560708</v>
      </c>
      <c r="AP783" s="146">
        <v>281.77216864809418</v>
      </c>
      <c r="AQ783" t="s">
        <v>385</v>
      </c>
      <c r="AR783">
        <f t="shared" si="48"/>
        <v>14.644015877877388</v>
      </c>
      <c r="AS783">
        <f t="shared" si="49"/>
        <v>3.9965468373646496</v>
      </c>
      <c r="AT783">
        <v>0.3</v>
      </c>
      <c r="AU783">
        <v>0</v>
      </c>
      <c r="AV783">
        <v>0.4</v>
      </c>
      <c r="AW783" s="146">
        <v>3</v>
      </c>
      <c r="AX783" s="146">
        <v>0.54134558044013958</v>
      </c>
      <c r="AY783">
        <v>0.27</v>
      </c>
      <c r="AZ783" s="209">
        <v>281.77216864809418</v>
      </c>
      <c r="BA783">
        <v>0.54134558044013958</v>
      </c>
      <c r="BB783" s="249">
        <v>38.815635974502491</v>
      </c>
      <c r="BC783" s="243">
        <v>206.84109962286732</v>
      </c>
      <c r="BD783" s="209">
        <v>96713.730303864679</v>
      </c>
      <c r="BE783" s="243">
        <v>46.748150877000811</v>
      </c>
      <c r="BF783">
        <v>328236.37756046734</v>
      </c>
      <c r="BG783" t="s">
        <v>389</v>
      </c>
      <c r="BH783">
        <v>7.2578270330106823E-6</v>
      </c>
      <c r="BI783">
        <v>2167137.3030386469</v>
      </c>
      <c r="BJ783">
        <f t="shared" si="50"/>
        <v>0.15146081288907326</v>
      </c>
    </row>
    <row r="784" spans="1:62" x14ac:dyDescent="0.3">
      <c r="A784">
        <v>-0.1</v>
      </c>
      <c r="B784" s="146">
        <v>1000</v>
      </c>
      <c r="C784" s="146">
        <v>25</v>
      </c>
      <c r="D784" s="146">
        <v>400</v>
      </c>
      <c r="E784" s="252">
        <v>18.15141465423822</v>
      </c>
      <c r="F784" s="146">
        <v>2.8598432193521037</v>
      </c>
      <c r="G784" s="146">
        <v>20.184201939396388</v>
      </c>
      <c r="H784" s="146">
        <v>17.619660483835812</v>
      </c>
      <c r="I784" s="146"/>
      <c r="J784" s="146">
        <v>0.63096046134417427</v>
      </c>
      <c r="K784" s="146">
        <v>0.27</v>
      </c>
      <c r="L784" s="146">
        <v>119.51125339944528</v>
      </c>
      <c r="M784" s="146">
        <v>52.069218286065365</v>
      </c>
      <c r="N784" s="146">
        <v>2.7643206883809928</v>
      </c>
      <c r="O784" s="146"/>
      <c r="P784" s="146"/>
      <c r="Q784" s="146"/>
      <c r="R784" s="146"/>
      <c r="S784" s="146"/>
      <c r="T784" s="146"/>
      <c r="U784" s="146"/>
      <c r="V784" s="146"/>
      <c r="W784" s="146"/>
      <c r="X784" s="146"/>
      <c r="Y784" s="146"/>
      <c r="Z784" s="146">
        <v>0.1568884196671648</v>
      </c>
      <c r="AA784" s="146"/>
      <c r="AB784" s="146"/>
      <c r="AC784" s="146"/>
      <c r="AD784" s="146"/>
      <c r="AE784" s="146"/>
      <c r="AF784" s="146"/>
      <c r="AG784" s="146"/>
      <c r="AH784" s="146"/>
      <c r="AI784" s="146"/>
      <c r="AJ784" s="146"/>
      <c r="AK784" s="146"/>
      <c r="AL784" s="146">
        <v>1667.9820773865681</v>
      </c>
      <c r="AM784" s="146">
        <v>0.14168720804215398</v>
      </c>
      <c r="AN784" s="146">
        <v>0.26302211594503494</v>
      </c>
      <c r="AO784" s="146">
        <v>330.98901744813196</v>
      </c>
      <c r="AP784" s="146">
        <v>285.82173319607244</v>
      </c>
      <c r="AQ784" t="s">
        <v>385</v>
      </c>
      <c r="AR784">
        <f t="shared" si="48"/>
        <v>14.644015877877388</v>
      </c>
      <c r="AS784">
        <f t="shared" si="49"/>
        <v>3.9965468373646496</v>
      </c>
      <c r="AT784">
        <v>0.3</v>
      </c>
      <c r="AU784">
        <v>0</v>
      </c>
      <c r="AV784">
        <v>0.4</v>
      </c>
      <c r="AW784" s="146">
        <v>2.5</v>
      </c>
      <c r="AX784" s="146">
        <v>0.5437613543757851</v>
      </c>
      <c r="AY784">
        <v>0.27</v>
      </c>
      <c r="AZ784" s="209">
        <v>285.82173319607244</v>
      </c>
      <c r="BA784">
        <v>0.5437613543757851</v>
      </c>
      <c r="BB784" s="249">
        <v>37.494223305984974</v>
      </c>
      <c r="BC784" s="243">
        <v>196.27290040314884</v>
      </c>
      <c r="BD784" s="209">
        <v>91025.817100436383</v>
      </c>
      <c r="BE784" s="243">
        <v>44.873369789698117</v>
      </c>
      <c r="BF784">
        <v>375062.45931340684</v>
      </c>
      <c r="BG784" t="s">
        <v>389</v>
      </c>
      <c r="BH784">
        <v>7.0330247000203691E-6</v>
      </c>
      <c r="BI784">
        <v>2110258.1710043638</v>
      </c>
      <c r="BJ784">
        <f t="shared" si="50"/>
        <v>0.17773297337116731</v>
      </c>
    </row>
    <row r="785" spans="1:62" x14ac:dyDescent="0.3">
      <c r="A785">
        <v>-0.1</v>
      </c>
      <c r="B785" s="146">
        <v>1000</v>
      </c>
      <c r="C785" s="146">
        <v>25</v>
      </c>
      <c r="D785" s="146">
        <v>400</v>
      </c>
      <c r="E785" s="252">
        <v>15.920924478978186</v>
      </c>
      <c r="F785" s="146">
        <v>2.4845342710795411</v>
      </c>
      <c r="G785" s="146">
        <v>17.662817630874706</v>
      </c>
      <c r="H785" s="146">
        <v>15.375108677308548</v>
      </c>
      <c r="I785" s="146"/>
      <c r="J785" s="146">
        <v>0.62695509011223005</v>
      </c>
      <c r="K785" s="146">
        <v>0.27</v>
      </c>
      <c r="L785" s="146">
        <v>104.42165302347219</v>
      </c>
      <c r="M785" s="146">
        <v>45.494911068317762</v>
      </c>
      <c r="N785" s="146">
        <v>2.5375405584028865</v>
      </c>
      <c r="O785" s="146"/>
      <c r="P785" s="146"/>
      <c r="Q785" s="146"/>
      <c r="R785" s="146"/>
      <c r="S785" s="146"/>
      <c r="T785" s="146"/>
      <c r="U785" s="146"/>
      <c r="V785" s="146"/>
      <c r="W785" s="146"/>
      <c r="X785" s="146"/>
      <c r="Y785" s="146"/>
      <c r="Z785" s="146">
        <v>0.16504212176060465</v>
      </c>
      <c r="AA785" s="146"/>
      <c r="AB785" s="146"/>
      <c r="AC785" s="146"/>
      <c r="AD785" s="146"/>
      <c r="AE785" s="146"/>
      <c r="AF785" s="146"/>
      <c r="AG785" s="146"/>
      <c r="AH785" s="146"/>
      <c r="AI785" s="146"/>
      <c r="AJ785" s="146"/>
      <c r="AK785" s="146"/>
      <c r="AL785" s="146">
        <v>1568.8436768919541</v>
      </c>
      <c r="AM785" s="146">
        <v>0.14066466194705884</v>
      </c>
      <c r="AN785" s="146">
        <v>0.26398627241373501</v>
      </c>
      <c r="AO785" s="146">
        <v>339.69033187443188</v>
      </c>
      <c r="AP785" s="146">
        <v>300.07339769051003</v>
      </c>
      <c r="AQ785" t="s">
        <v>385</v>
      </c>
      <c r="AR785">
        <f t="shared" si="48"/>
        <v>14.644015877877388</v>
      </c>
      <c r="AS785">
        <f t="shared" si="49"/>
        <v>3.9965468373646496</v>
      </c>
      <c r="AT785">
        <v>0.3</v>
      </c>
      <c r="AU785">
        <v>0</v>
      </c>
      <c r="AV785">
        <v>0.4</v>
      </c>
      <c r="AW785" s="146">
        <v>1.5</v>
      </c>
      <c r="AX785" s="146">
        <v>0.53883553099896953</v>
      </c>
      <c r="AY785">
        <v>0.27</v>
      </c>
      <c r="AZ785" s="209">
        <v>300.07339769051003</v>
      </c>
      <c r="BA785">
        <v>0.53883553099896953</v>
      </c>
      <c r="BB785" s="249">
        <v>32.896796540759304</v>
      </c>
      <c r="BC785" s="243">
        <v>160.66933670443026</v>
      </c>
      <c r="BD785" s="209">
        <v>72730.85811523837</v>
      </c>
      <c r="BE785" s="243">
        <v>39.181069838269437</v>
      </c>
      <c r="BF785">
        <v>500011.8222433686</v>
      </c>
      <c r="BG785" t="s">
        <v>389</v>
      </c>
      <c r="BH785">
        <v>6.2629233152127177E-6</v>
      </c>
      <c r="BI785">
        <v>1927308.5811523837</v>
      </c>
      <c r="BJ785">
        <f t="shared" si="50"/>
        <v>0.25943527006163153</v>
      </c>
    </row>
    <row r="786" spans="1:62" x14ac:dyDescent="0.3">
      <c r="A786">
        <v>-0.1</v>
      </c>
      <c r="B786" s="146">
        <v>1000</v>
      </c>
      <c r="C786" s="146">
        <v>25</v>
      </c>
      <c r="D786" s="146">
        <v>400</v>
      </c>
      <c r="E786" s="252">
        <v>13.814825033275461</v>
      </c>
      <c r="F786" s="146">
        <v>2.1465381314555212</v>
      </c>
      <c r="G786" s="146">
        <v>15.302912525284986</v>
      </c>
      <c r="H786" s="146">
        <v>13.287770667927798</v>
      </c>
      <c r="I786" s="146"/>
      <c r="J786" s="146">
        <v>0.62315280896322645</v>
      </c>
      <c r="K786" s="146">
        <v>0.27</v>
      </c>
      <c r="L786" s="146">
        <v>90.344445284670343</v>
      </c>
      <c r="M786" s="146">
        <v>39.361687779628163</v>
      </c>
      <c r="N786" s="146">
        <v>2.3101361792434254</v>
      </c>
      <c r="O786" s="146"/>
      <c r="P786" s="146"/>
      <c r="Q786" s="146"/>
      <c r="R786" s="146"/>
      <c r="S786" s="146"/>
      <c r="T786" s="146"/>
      <c r="U786" s="146"/>
      <c r="V786" s="146"/>
      <c r="W786" s="146"/>
      <c r="X786" s="146"/>
      <c r="Y786" s="146"/>
      <c r="Z786" s="146">
        <v>0.17385430836937274</v>
      </c>
      <c r="AA786" s="146"/>
      <c r="AB786" s="146"/>
      <c r="AC786" s="146"/>
      <c r="AD786" s="146"/>
      <c r="AE786" s="146"/>
      <c r="AF786" s="146"/>
      <c r="AG786" s="146"/>
      <c r="AH786" s="146"/>
      <c r="AI786" s="146"/>
      <c r="AJ786" s="146"/>
      <c r="AK786" s="146"/>
      <c r="AL786" s="146">
        <v>1468.4974647440195</v>
      </c>
      <c r="AM786" s="146">
        <v>0.14026990796090605</v>
      </c>
      <c r="AN786" s="146">
        <v>0.2646802367188234</v>
      </c>
      <c r="AO786" s="146">
        <v>347.80560420931124</v>
      </c>
      <c r="AP786" s="146">
        <v>313.42937512230674</v>
      </c>
      <c r="AQ786" t="s">
        <v>385</v>
      </c>
      <c r="AR786">
        <f t="shared" si="48"/>
        <v>14.644015877877388</v>
      </c>
      <c r="AS786">
        <f t="shared" si="49"/>
        <v>3.9965468373646496</v>
      </c>
      <c r="AT786">
        <v>0.3</v>
      </c>
      <c r="AU786">
        <v>0</v>
      </c>
      <c r="AV786">
        <v>0.4</v>
      </c>
      <c r="AW786" s="146">
        <v>1</v>
      </c>
      <c r="AX786" s="146">
        <v>0.5337483794433574</v>
      </c>
      <c r="AY786">
        <v>0.27</v>
      </c>
      <c r="AZ786" s="209">
        <v>313.42937512230674</v>
      </c>
      <c r="BA786">
        <v>0.5337483794433574</v>
      </c>
      <c r="BB786" s="249">
        <v>28.635315670889696</v>
      </c>
      <c r="BC786" s="243">
        <v>131.96930701197681</v>
      </c>
      <c r="BD786" s="209">
        <v>58162.951125950603</v>
      </c>
      <c r="BE786" s="243">
        <v>33.958063500729104</v>
      </c>
      <c r="BF786">
        <v>574855.26601451088</v>
      </c>
      <c r="BG786" t="s">
        <v>389</v>
      </c>
      <c r="BH786">
        <v>5.5486300667468596E-6</v>
      </c>
      <c r="BI786">
        <v>1781629.511259506</v>
      </c>
      <c r="BJ786">
        <f t="shared" si="50"/>
        <v>0.3226570184101421</v>
      </c>
    </row>
    <row r="787" spans="1:62" x14ac:dyDescent="0.3">
      <c r="A787">
        <v>-0.1</v>
      </c>
      <c r="B787" s="146">
        <v>1000</v>
      </c>
      <c r="C787" s="146">
        <v>25</v>
      </c>
      <c r="D787" s="146">
        <v>400</v>
      </c>
      <c r="E787" s="252">
        <v>12.640244900095475</v>
      </c>
      <c r="F787" s="146">
        <v>1.9660713360832716</v>
      </c>
      <c r="G787" s="146">
        <v>13.99484145432584</v>
      </c>
      <c r="H787" s="146">
        <v>12.134771202214528</v>
      </c>
      <c r="I787" s="146"/>
      <c r="J787" s="146">
        <v>0.62220677911823108</v>
      </c>
      <c r="K787" s="146">
        <v>0.27</v>
      </c>
      <c r="L787" s="146">
        <v>82.552047786330775</v>
      </c>
      <c r="M787" s="146">
        <v>35.966659823920047</v>
      </c>
      <c r="N787" s="146">
        <v>2.1676383075320658</v>
      </c>
      <c r="O787" s="146"/>
      <c r="P787" s="146"/>
      <c r="Q787" s="146"/>
      <c r="R787" s="146"/>
      <c r="S787" s="146"/>
      <c r="T787" s="146"/>
      <c r="U787" s="146"/>
      <c r="V787" s="146"/>
      <c r="W787" s="146"/>
      <c r="X787" s="146"/>
      <c r="Y787" s="146"/>
      <c r="Z787" s="146">
        <v>0.17863034015313645</v>
      </c>
      <c r="AA787" s="146"/>
      <c r="AB787" s="146"/>
      <c r="AC787" s="146"/>
      <c r="AD787" s="146"/>
      <c r="AE787" s="146"/>
      <c r="AF787" s="146"/>
      <c r="AG787" s="146"/>
      <c r="AH787" s="146"/>
      <c r="AI787" s="146"/>
      <c r="AJ787" s="146"/>
      <c r="AK787" s="146"/>
      <c r="AL787" s="146">
        <v>1404.6254950105697</v>
      </c>
      <c r="AM787" s="146">
        <v>0.14048543118547113</v>
      </c>
      <c r="AN787" s="146">
        <v>0.26477168785908145</v>
      </c>
      <c r="AO787" s="146">
        <v>352.25983184870222</v>
      </c>
      <c r="AP787" s="146">
        <v>320.8063412445382</v>
      </c>
      <c r="AQ787" t="s">
        <v>385</v>
      </c>
      <c r="AR787">
        <f t="shared" si="48"/>
        <v>14.644015877877388</v>
      </c>
      <c r="AS787">
        <f t="shared" si="49"/>
        <v>3.9965468373646496</v>
      </c>
      <c r="AT787">
        <v>0.3</v>
      </c>
      <c r="AU787">
        <v>0</v>
      </c>
      <c r="AV787">
        <v>0.4</v>
      </c>
      <c r="AW787" s="146">
        <v>0.8</v>
      </c>
      <c r="AX787" s="146">
        <v>0.53167669777876003</v>
      </c>
      <c r="AY787">
        <v>0.27</v>
      </c>
      <c r="AZ787" s="209">
        <v>320.8063412445382</v>
      </c>
      <c r="BA787">
        <v>0.53167669777876003</v>
      </c>
      <c r="BB787" s="249">
        <v>26.292971069751761</v>
      </c>
      <c r="BC787" s="243">
        <v>117.51835658824727</v>
      </c>
      <c r="BD787" s="209">
        <v>50945.619144370656</v>
      </c>
      <c r="BE787" s="243">
        <v>31.105997887244715</v>
      </c>
      <c r="BF787">
        <v>605370.1258940727</v>
      </c>
      <c r="BG787" t="s">
        <v>389</v>
      </c>
      <c r="BH787">
        <v>5.1385166518917135E-6</v>
      </c>
      <c r="BI787">
        <v>1709456.1914437066</v>
      </c>
      <c r="BJ787">
        <f t="shared" si="50"/>
        <v>0.35413023681104838</v>
      </c>
    </row>
    <row r="788" spans="1:62" x14ac:dyDescent="0.3">
      <c r="A788">
        <v>-0.1</v>
      </c>
      <c r="B788" s="146">
        <v>1000</v>
      </c>
      <c r="C788" s="146">
        <v>25</v>
      </c>
      <c r="D788" s="146">
        <v>400</v>
      </c>
      <c r="E788" s="252">
        <v>11.157448399311926</v>
      </c>
      <c r="F788" s="146">
        <v>1.7413729668012059</v>
      </c>
      <c r="G788" s="146">
        <v>12.348401430887268</v>
      </c>
      <c r="H788" s="146">
        <v>10.692193343781247</v>
      </c>
      <c r="I788" s="146"/>
      <c r="J788" s="146">
        <v>0.62046151794028748</v>
      </c>
      <c r="K788" s="146">
        <v>0.27</v>
      </c>
      <c r="L788" s="146">
        <v>72.787369138324962</v>
      </c>
      <c r="M788" s="146">
        <v>31.712339251137429</v>
      </c>
      <c r="N788" s="146">
        <v>1.9872149277329374</v>
      </c>
      <c r="O788" s="146"/>
      <c r="P788" s="146"/>
      <c r="Q788" s="146"/>
      <c r="R788" s="146"/>
      <c r="S788" s="146"/>
      <c r="T788" s="146"/>
      <c r="U788" s="146"/>
      <c r="V788" s="146"/>
      <c r="W788" s="146"/>
      <c r="X788" s="146"/>
      <c r="Y788" s="146"/>
      <c r="Z788" s="146">
        <v>0.18585662116638901</v>
      </c>
      <c r="AA788" s="146"/>
      <c r="AB788" s="146"/>
      <c r="AC788" s="146"/>
      <c r="AD788" s="146"/>
      <c r="AE788" s="146"/>
      <c r="AF788" s="146"/>
      <c r="AG788" s="146"/>
      <c r="AH788" s="146"/>
      <c r="AI788" s="146"/>
      <c r="AJ788" s="146"/>
      <c r="AK788" s="146"/>
      <c r="AL788" s="146">
        <v>1323.7391293933463</v>
      </c>
      <c r="AM788" s="146">
        <v>0.14102011313346843</v>
      </c>
      <c r="AN788" s="146">
        <v>0.26499345168084104</v>
      </c>
      <c r="AO788" s="146">
        <v>357.89538070265223</v>
      </c>
      <c r="AP788" s="146">
        <v>330.1316655268771</v>
      </c>
      <c r="AQ788" t="s">
        <v>385</v>
      </c>
      <c r="AR788">
        <f t="shared" si="48"/>
        <v>14.644015877877388</v>
      </c>
      <c r="AS788">
        <f t="shared" si="49"/>
        <v>3.9965468373646496</v>
      </c>
      <c r="AT788">
        <v>0.3</v>
      </c>
      <c r="AU788">
        <v>0</v>
      </c>
      <c r="AV788">
        <v>0.4</v>
      </c>
      <c r="AW788" s="146">
        <v>0.6</v>
      </c>
      <c r="AX788" s="146">
        <v>0.52840750702578609</v>
      </c>
      <c r="AY788">
        <v>0.27</v>
      </c>
      <c r="AZ788" s="209">
        <v>330.1316655268771</v>
      </c>
      <c r="BA788">
        <v>0.52840750702578609</v>
      </c>
      <c r="BB788" s="249">
        <v>23.346342319373122</v>
      </c>
      <c r="BC788" s="243">
        <v>100.58211015008095</v>
      </c>
      <c r="BD788" s="209">
        <v>42629.879897464947</v>
      </c>
      <c r="BE788" s="243">
        <v>27.524509119814908</v>
      </c>
      <c r="BF788">
        <v>632333.96859570337</v>
      </c>
      <c r="BG788" t="s">
        <v>389</v>
      </c>
      <c r="BH788">
        <v>4.6092630948819877E-6</v>
      </c>
      <c r="BI788">
        <v>1626298.7989746495</v>
      </c>
      <c r="BJ788">
        <f t="shared" si="50"/>
        <v>0.38881782916791052</v>
      </c>
    </row>
    <row r="789" spans="1:62" x14ac:dyDescent="0.3">
      <c r="A789">
        <v>-0.1</v>
      </c>
      <c r="B789" s="146">
        <v>1000</v>
      </c>
      <c r="C789" s="146">
        <v>25</v>
      </c>
      <c r="D789" s="146">
        <v>400</v>
      </c>
      <c r="E789" s="252">
        <v>9.2529800483509295</v>
      </c>
      <c r="F789" s="146">
        <v>1.4604826156363968</v>
      </c>
      <c r="G789" s="146">
        <v>10.242058294518387</v>
      </c>
      <c r="H789" s="146">
        <v>8.856919492823069</v>
      </c>
      <c r="I789" s="146"/>
      <c r="J789" s="146">
        <v>0.61986572502853254</v>
      </c>
      <c r="K789" s="146">
        <v>0.27</v>
      </c>
      <c r="L789" s="146">
        <v>60.342231364026006</v>
      </c>
      <c r="M789" s="146">
        <v>26.290183789305939</v>
      </c>
      <c r="N789" s="146">
        <v>1.7349957752143048</v>
      </c>
      <c r="O789" s="146"/>
      <c r="P789" s="146"/>
      <c r="Q789" s="146"/>
      <c r="R789" s="146"/>
      <c r="S789" s="146"/>
      <c r="T789" s="146"/>
      <c r="U789" s="146"/>
      <c r="V789" s="146"/>
      <c r="W789" s="146"/>
      <c r="X789" s="146"/>
      <c r="Y789" s="146"/>
      <c r="Z789" s="146">
        <v>0.19589155988379539</v>
      </c>
      <c r="AA789" s="146"/>
      <c r="AB789" s="146"/>
      <c r="AC789" s="146"/>
      <c r="AD789" s="146"/>
      <c r="AE789" s="146"/>
      <c r="AF789" s="146"/>
      <c r="AG789" s="146"/>
      <c r="AH789" s="146"/>
      <c r="AI789" s="146"/>
      <c r="AJ789" s="146"/>
      <c r="AK789" s="146"/>
      <c r="AL789" s="146">
        <v>1209.5639982486678</v>
      </c>
      <c r="AM789" s="146">
        <v>0.14259659275890435</v>
      </c>
      <c r="AN789" s="146">
        <v>0.26505866796864985</v>
      </c>
      <c r="AO789" s="146">
        <v>365.09082264970357</v>
      </c>
      <c r="AP789" s="146">
        <v>342.06611064151457</v>
      </c>
      <c r="AQ789" t="s">
        <v>385</v>
      </c>
      <c r="AR789">
        <f t="shared" si="48"/>
        <v>14.644015877877388</v>
      </c>
      <c r="AS789">
        <f t="shared" si="49"/>
        <v>3.9965468373646496</v>
      </c>
      <c r="AT789">
        <v>0.3</v>
      </c>
      <c r="AU789">
        <v>0</v>
      </c>
      <c r="AV789">
        <v>0.4</v>
      </c>
      <c r="AW789" s="146">
        <v>0.4</v>
      </c>
      <c r="AX789" s="146">
        <v>0.52521944592857372</v>
      </c>
      <c r="AY789">
        <v>0.27</v>
      </c>
      <c r="AZ789" s="209">
        <v>342.06611064151457</v>
      </c>
      <c r="BA789">
        <v>0.52521944592857372</v>
      </c>
      <c r="BB789" s="249">
        <v>19.584140130543744</v>
      </c>
      <c r="BC789" s="243">
        <v>80.572329574207075</v>
      </c>
      <c r="BD789" s="209">
        <v>33078.268918464921</v>
      </c>
      <c r="BE789" s="243">
        <v>22.962445765496405</v>
      </c>
      <c r="BF789">
        <v>657497.05228479963</v>
      </c>
      <c r="BG789" t="s">
        <v>389</v>
      </c>
      <c r="BH789">
        <v>3.8882104426971512E-6</v>
      </c>
      <c r="BI789">
        <v>1530782.6891846491</v>
      </c>
      <c r="BJ789">
        <f t="shared" si="50"/>
        <v>0.42951691113975599</v>
      </c>
    </row>
    <row r="790" spans="1:62" x14ac:dyDescent="0.3">
      <c r="A790">
        <v>-0.1</v>
      </c>
      <c r="B790" s="146">
        <v>1000</v>
      </c>
      <c r="C790" s="146">
        <v>25</v>
      </c>
      <c r="D790" s="146">
        <v>400</v>
      </c>
      <c r="E790" s="252">
        <v>7.9859720015124163</v>
      </c>
      <c r="F790" s="146">
        <v>1.2748838859072231</v>
      </c>
      <c r="G790" s="146">
        <v>8.8436666871418197</v>
      </c>
      <c r="H790" s="146">
        <v>7.6461432332761534</v>
      </c>
      <c r="I790" s="146"/>
      <c r="J790" s="146">
        <v>0.61842659069763184</v>
      </c>
      <c r="K790" s="146">
        <v>0.27</v>
      </c>
      <c r="L790" s="146">
        <v>52.119244784764795</v>
      </c>
      <c r="M790" s="146">
        <v>22.707554781743998</v>
      </c>
      <c r="N790" s="146">
        <v>1.565939205558462</v>
      </c>
      <c r="O790" s="146"/>
      <c r="P790" s="146"/>
      <c r="Q790" s="146"/>
      <c r="R790" s="146"/>
      <c r="S790" s="146"/>
      <c r="T790" s="146"/>
      <c r="U790" s="146"/>
      <c r="V790" s="146"/>
      <c r="W790" s="146"/>
      <c r="X790" s="146"/>
      <c r="Y790" s="146"/>
      <c r="Z790" s="146">
        <v>0.20480118639989195</v>
      </c>
      <c r="AA790" s="146"/>
      <c r="AB790" s="146"/>
      <c r="AC790" s="146"/>
      <c r="AD790" s="146"/>
      <c r="AE790" s="146"/>
      <c r="AF790" s="146"/>
      <c r="AG790" s="146"/>
      <c r="AH790" s="146"/>
      <c r="AI790" s="146"/>
      <c r="AJ790" s="146"/>
      <c r="AK790" s="146"/>
      <c r="AL790" s="146">
        <v>1132.9946289674183</v>
      </c>
      <c r="AM790" s="146">
        <v>0.14415783984270128</v>
      </c>
      <c r="AN790" s="146">
        <v>0.2652881642733535</v>
      </c>
      <c r="AO790" s="146">
        <v>369.89699098191335</v>
      </c>
      <c r="AP790" s="146">
        <v>350.02502618818812</v>
      </c>
      <c r="AQ790" t="s">
        <v>385</v>
      </c>
      <c r="AR790">
        <f t="shared" si="48"/>
        <v>14.644015877877388</v>
      </c>
      <c r="AS790">
        <f t="shared" si="49"/>
        <v>3.9965468373646496</v>
      </c>
      <c r="AT790">
        <v>0.3</v>
      </c>
      <c r="AU790">
        <v>0</v>
      </c>
      <c r="AV790">
        <v>0.4</v>
      </c>
      <c r="AW790" s="146">
        <v>0.3</v>
      </c>
      <c r="AX790" s="146">
        <v>0.52196556974459263</v>
      </c>
      <c r="AY790">
        <v>0.27</v>
      </c>
      <c r="AZ790" s="209">
        <v>350.02502618818812</v>
      </c>
      <c r="BA790">
        <v>0.52196556974459263</v>
      </c>
      <c r="BB790" s="249">
        <v>17.075942380567245</v>
      </c>
      <c r="BC790" s="243">
        <v>68.163491040702212</v>
      </c>
      <c r="BD790" s="209">
        <v>27344.410563822592</v>
      </c>
      <c r="BE790" s="243">
        <v>19.937606029614646</v>
      </c>
      <c r="BF790">
        <v>654803.29639732966</v>
      </c>
      <c r="BG790" t="s">
        <v>389</v>
      </c>
      <c r="BH790">
        <v>3.4087896184035918E-6</v>
      </c>
      <c r="BI790">
        <v>1473444.105638226</v>
      </c>
      <c r="BJ790">
        <f t="shared" si="50"/>
        <v>0.44440321413732892</v>
      </c>
    </row>
    <row r="791" spans="1:62" x14ac:dyDescent="0.3">
      <c r="A791">
        <v>-0.1</v>
      </c>
      <c r="B791" s="146">
        <v>1000</v>
      </c>
      <c r="C791" s="146">
        <v>25</v>
      </c>
      <c r="D791" s="146">
        <v>400</v>
      </c>
      <c r="E791" s="252">
        <v>6.478417203492695</v>
      </c>
      <c r="F791" s="146">
        <v>1.057436735021148</v>
      </c>
      <c r="G791" s="146">
        <v>7.1834370642901693</v>
      </c>
      <c r="H791" s="146">
        <v>6.2111508685602308</v>
      </c>
      <c r="I791" s="146"/>
      <c r="J791" s="146">
        <v>0.61849864289063605</v>
      </c>
      <c r="K791" s="146">
        <v>0.27</v>
      </c>
      <c r="L791" s="146">
        <v>42.361637854778508</v>
      </c>
      <c r="M791" s="146">
        <v>18.456315247932544</v>
      </c>
      <c r="N791" s="146">
        <v>1.3436567795767198</v>
      </c>
      <c r="O791" s="146"/>
      <c r="P791" s="146"/>
      <c r="Q791" s="146"/>
      <c r="R791" s="146"/>
      <c r="S791" s="146"/>
      <c r="T791" s="146"/>
      <c r="U791" s="146"/>
      <c r="V791" s="146"/>
      <c r="W791" s="146"/>
      <c r="X791" s="146"/>
      <c r="Y791" s="146"/>
      <c r="Z791" s="146">
        <v>0.21632976046002642</v>
      </c>
      <c r="AA791" s="146"/>
      <c r="AB791" s="146"/>
      <c r="AC791" s="146"/>
      <c r="AD791" s="146"/>
      <c r="AE791" s="146"/>
      <c r="AF791" s="146"/>
      <c r="AG791" s="146"/>
      <c r="AH791" s="146"/>
      <c r="AI791" s="146"/>
      <c r="AJ791" s="146"/>
      <c r="AK791" s="146"/>
      <c r="AL791" s="146">
        <v>1031.2730807126691</v>
      </c>
      <c r="AM791" s="146">
        <v>0.14720484436034223</v>
      </c>
      <c r="AN791" s="146">
        <v>0.2651319286624636</v>
      </c>
      <c r="AO791" s="146">
        <v>375.56530729371229</v>
      </c>
      <c r="AP791" s="146">
        <v>359.44469092430944</v>
      </c>
      <c r="AQ791" t="s">
        <v>385</v>
      </c>
      <c r="AR791">
        <f t="shared" si="48"/>
        <v>14.644015877877388</v>
      </c>
      <c r="AS791">
        <f t="shared" si="49"/>
        <v>3.9965468373646496</v>
      </c>
      <c r="AT791">
        <v>0.3</v>
      </c>
      <c r="AU791">
        <v>0</v>
      </c>
      <c r="AV791">
        <v>0.4</v>
      </c>
      <c r="AW791" s="146">
        <v>0.2</v>
      </c>
      <c r="AX791" s="146">
        <v>0.51932281046035378</v>
      </c>
      <c r="AY791">
        <v>0.27</v>
      </c>
      <c r="AZ791" s="209">
        <v>359.44469092430944</v>
      </c>
      <c r="BA791">
        <v>0.51932281046035378</v>
      </c>
      <c r="BB791" s="249">
        <v>14.091044774628688</v>
      </c>
      <c r="BC791" s="243">
        <v>54.148830265598818</v>
      </c>
      <c r="BD791" s="209">
        <v>21095.639606471024</v>
      </c>
      <c r="BE791" s="243">
        <v>16.371767049161086</v>
      </c>
      <c r="BF791">
        <v>653347.61970654852</v>
      </c>
      <c r="BG791" t="s">
        <v>389</v>
      </c>
      <c r="BH791">
        <v>2.7906068100744876E-6</v>
      </c>
      <c r="BI791">
        <v>1410956.3960647103</v>
      </c>
      <c r="BJ791">
        <f t="shared" si="50"/>
        <v>0.4630530195892632</v>
      </c>
    </row>
    <row r="792" spans="1:62" s="140" customFormat="1" x14ac:dyDescent="0.3">
      <c r="A792" s="140">
        <v>-0.1</v>
      </c>
      <c r="B792" s="140">
        <v>1000</v>
      </c>
      <c r="C792" s="140">
        <v>25</v>
      </c>
      <c r="D792" s="140">
        <v>400</v>
      </c>
      <c r="E792" s="253">
        <v>4.4073666961863962</v>
      </c>
      <c r="F792" s="140">
        <v>0.75777804790852121</v>
      </c>
      <c r="G792" s="140">
        <v>4.9049566344434918</v>
      </c>
      <c r="H792" s="140">
        <v>4.2503122241825722</v>
      </c>
      <c r="J792" s="140">
        <v>0.62341755249149</v>
      </c>
      <c r="K792" s="140">
        <v>0.27</v>
      </c>
      <c r="L792" s="140">
        <v>29.009204660534714</v>
      </c>
      <c r="M792" s="140">
        <v>12.638865101062843</v>
      </c>
      <c r="N792" s="140">
        <v>1.0000696828968039</v>
      </c>
      <c r="Z792" s="140">
        <v>0.23529322792024746</v>
      </c>
      <c r="AL792" s="140">
        <v>872.41034009915347</v>
      </c>
      <c r="AM792" s="140">
        <v>0.15449230327282953</v>
      </c>
      <c r="AN792" s="140">
        <v>0.26458914866551175</v>
      </c>
      <c r="AO792" s="140">
        <v>383.34260222531611</v>
      </c>
      <c r="AP792" s="140">
        <v>372.37549865075164</v>
      </c>
      <c r="AQ792" t="s">
        <v>385</v>
      </c>
      <c r="AR792">
        <f t="shared" si="48"/>
        <v>14.644015877877388</v>
      </c>
      <c r="AS792">
        <f t="shared" si="49"/>
        <v>3.9965468373646496</v>
      </c>
      <c r="AT792">
        <v>0.3</v>
      </c>
      <c r="AU792">
        <v>0</v>
      </c>
      <c r="AV792">
        <v>0.4</v>
      </c>
      <c r="AW792" s="140">
        <v>0.1</v>
      </c>
      <c r="AX792" s="140">
        <v>0.51994500329204563</v>
      </c>
      <c r="AY792">
        <v>0.27</v>
      </c>
      <c r="AZ792" s="209">
        <v>372.37549865075164</v>
      </c>
      <c r="BA792" s="140">
        <v>0.51994500329204563</v>
      </c>
      <c r="BB792" s="253">
        <v>9.9396508727652417</v>
      </c>
      <c r="BC792" s="245">
        <v>36.034846748070883</v>
      </c>
      <c r="BD792" s="210">
        <v>13442.364237615859</v>
      </c>
      <c r="BE792" s="245">
        <v>11.445518973062944</v>
      </c>
      <c r="BF792" s="140">
        <v>620580.24093989795</v>
      </c>
      <c r="BG792" t="s">
        <v>389</v>
      </c>
      <c r="BH792" s="140">
        <v>1.9062682375665019E-6</v>
      </c>
      <c r="BI792" s="140">
        <v>1334423.6423761586</v>
      </c>
      <c r="BJ792">
        <f t="shared" si="50"/>
        <v>0.46505489054049864</v>
      </c>
    </row>
    <row r="793" spans="1:62" x14ac:dyDescent="0.3">
      <c r="A793">
        <v>-0.1</v>
      </c>
      <c r="B793" s="146">
        <v>1000</v>
      </c>
      <c r="C793" s="146">
        <v>25</v>
      </c>
      <c r="D793" s="146">
        <v>400</v>
      </c>
      <c r="E793" s="252">
        <v>18.763326894319878</v>
      </c>
      <c r="F793" s="146">
        <v>2.967770383912272</v>
      </c>
      <c r="G793" s="146">
        <v>20.881193410262703</v>
      </c>
      <c r="H793" s="146">
        <v>18.219174263458768</v>
      </c>
      <c r="I793" s="146"/>
      <c r="J793" s="146">
        <v>0.62814403024633314</v>
      </c>
      <c r="K793" s="146">
        <v>0.27</v>
      </c>
      <c r="L793" s="146">
        <v>123.53295459334161</v>
      </c>
      <c r="M793" s="146">
        <v>53.821411752285755</v>
      </c>
      <c r="N793" s="146">
        <v>2.843663859387771</v>
      </c>
      <c r="O793" s="146"/>
      <c r="P793" s="146"/>
      <c r="Q793" s="146"/>
      <c r="R793" s="146"/>
      <c r="S793" s="146"/>
      <c r="T793" s="146"/>
      <c r="U793" s="146"/>
      <c r="V793" s="146"/>
      <c r="W793" s="146"/>
      <c r="X793" s="146"/>
      <c r="Y793" s="146"/>
      <c r="Z793" s="146">
        <v>0.15608083101170819</v>
      </c>
      <c r="AA793" s="146"/>
      <c r="AB793" s="146"/>
      <c r="AC793" s="146"/>
      <c r="AD793" s="146"/>
      <c r="AE793" s="146"/>
      <c r="AF793" s="146"/>
      <c r="AG793" s="146"/>
      <c r="AH793" s="146"/>
      <c r="AI793" s="146"/>
      <c r="AJ793" s="146"/>
      <c r="AK793" s="146"/>
      <c r="AL793" s="146">
        <v>1703.6031189440898</v>
      </c>
      <c r="AM793" s="146">
        <v>0.14212647359770492</v>
      </c>
      <c r="AN793" s="146">
        <v>0.26228226588842762</v>
      </c>
      <c r="AO793" s="146">
        <v>328.46132074251022</v>
      </c>
      <c r="AP793" s="146">
        <v>281.77118925020511</v>
      </c>
      <c r="AQ793" t="s">
        <v>385</v>
      </c>
      <c r="AR793">
        <f t="shared" si="48"/>
        <v>14.644015877877388</v>
      </c>
      <c r="AS793">
        <f t="shared" si="49"/>
        <v>3.9965468373646496</v>
      </c>
      <c r="AT793">
        <v>0.3</v>
      </c>
      <c r="AU793">
        <v>0</v>
      </c>
      <c r="AV793">
        <v>0.4</v>
      </c>
      <c r="AW793" s="146">
        <v>3</v>
      </c>
      <c r="AX793" s="146">
        <v>0.5414112266614578</v>
      </c>
      <c r="AY793">
        <v>0.27</v>
      </c>
      <c r="AZ793" s="209">
        <v>281.77118925020511</v>
      </c>
      <c r="BA793">
        <v>0.5414112266614578</v>
      </c>
      <c r="BB793" s="249">
        <v>38.815707251901152</v>
      </c>
      <c r="BC793" s="243">
        <v>206.84663529237449</v>
      </c>
      <c r="BD793" s="209">
        <v>96714.559034502599</v>
      </c>
      <c r="BE793" s="243">
        <v>46.745894302301245</v>
      </c>
      <c r="BF793">
        <v>328240.03922571178</v>
      </c>
      <c r="BG793" t="s">
        <v>390</v>
      </c>
      <c r="BH793">
        <v>7.2578245497667793E-6</v>
      </c>
      <c r="BI793">
        <v>2167145.590345026</v>
      </c>
      <c r="BJ793">
        <f t="shared" si="50"/>
        <v>0.15146192331889133</v>
      </c>
    </row>
    <row r="794" spans="1:62" s="140" customFormat="1" x14ac:dyDescent="0.3">
      <c r="A794">
        <v>-0.2</v>
      </c>
      <c r="B794" s="146">
        <v>1000</v>
      </c>
      <c r="C794" s="146">
        <v>25</v>
      </c>
      <c r="D794" s="146">
        <v>400</v>
      </c>
      <c r="E794" s="252">
        <v>18.698048164750627</v>
      </c>
      <c r="F794" s="146">
        <v>3.0130091052194272</v>
      </c>
      <c r="G794" s="146">
        <v>20.83937986712505</v>
      </c>
      <c r="H794" s="146">
        <v>18.237828870279227</v>
      </c>
      <c r="I794" s="146"/>
      <c r="J794" s="146">
        <v>0.63385722907665043</v>
      </c>
      <c r="K794" s="146">
        <v>0.27</v>
      </c>
      <c r="L794" s="146">
        <v>123.67628855015447</v>
      </c>
      <c r="M794" s="146">
        <v>53.883860156706305</v>
      </c>
      <c r="N794" s="146">
        <v>2.786542097489118</v>
      </c>
      <c r="O794" s="146"/>
      <c r="P794" s="146"/>
      <c r="Q794" s="146"/>
      <c r="R794" s="146"/>
      <c r="S794" s="146"/>
      <c r="T794" s="146"/>
      <c r="U794" s="146"/>
      <c r="V794" s="146"/>
      <c r="W794" s="146"/>
      <c r="X794" s="146"/>
      <c r="Y794" s="146"/>
      <c r="Z794" s="146">
        <v>0.15278913500664157</v>
      </c>
      <c r="AA794" s="146"/>
      <c r="AB794" s="146"/>
      <c r="AC794" s="146"/>
      <c r="AD794" s="146"/>
      <c r="AE794" s="146"/>
      <c r="AF794" s="146"/>
      <c r="AG794" s="146"/>
      <c r="AH794" s="146"/>
      <c r="AI794" s="146"/>
      <c r="AJ794" s="146"/>
      <c r="AK794" s="146"/>
      <c r="AL794" s="146">
        <v>1666.5225664628128</v>
      </c>
      <c r="AM794" s="146">
        <v>0.14458247435532229</v>
      </c>
      <c r="AN794" s="146">
        <v>0.23308186716847229</v>
      </c>
      <c r="AO794" s="146">
        <v>319.77905277704156</v>
      </c>
      <c r="AP794" s="146">
        <v>273.25151771825387</v>
      </c>
      <c r="AQ794" t="s">
        <v>385</v>
      </c>
      <c r="AR794">
        <f t="shared" si="48"/>
        <v>14.644015877877388</v>
      </c>
      <c r="AS794">
        <f t="shared" si="49"/>
        <v>3.9965468373646496</v>
      </c>
      <c r="AT794">
        <v>0.3</v>
      </c>
      <c r="AU794">
        <v>0</v>
      </c>
      <c r="AV794">
        <v>0.4</v>
      </c>
      <c r="AW794" s="146">
        <v>3</v>
      </c>
      <c r="AX794" s="146">
        <v>0.54572218230499148</v>
      </c>
      <c r="AY794">
        <v>0.27</v>
      </c>
      <c r="AZ794" s="209">
        <v>273.25151771825387</v>
      </c>
      <c r="BA794" s="140">
        <v>0.54572218230499148</v>
      </c>
      <c r="BB794" s="253">
        <v>38.997405566708331</v>
      </c>
      <c r="BC794" s="245">
        <v>207.23329572229164</v>
      </c>
      <c r="BD794" s="210">
        <v>96855.276535107274</v>
      </c>
      <c r="BE794" s="245">
        <v>46.697564183591837</v>
      </c>
      <c r="BF794" s="140">
        <v>327194.84429723118</v>
      </c>
      <c r="BG794" t="s">
        <v>390</v>
      </c>
      <c r="BH794" s="140">
        <v>7.2307823297986843E-6</v>
      </c>
      <c r="BI794" s="140">
        <v>2168552.7653510729</v>
      </c>
      <c r="BJ794">
        <f t="shared" si="50"/>
        <v>0.15088166150490726</v>
      </c>
    </row>
    <row r="795" spans="1:62" x14ac:dyDescent="0.3">
      <c r="A795">
        <v>-0.3</v>
      </c>
      <c r="B795" s="146">
        <v>1000</v>
      </c>
      <c r="C795" s="146">
        <v>25</v>
      </c>
      <c r="D795" s="146">
        <v>400</v>
      </c>
      <c r="E795" s="252">
        <v>18.623242269422331</v>
      </c>
      <c r="F795" s="146">
        <v>3.0742581720261115</v>
      </c>
      <c r="G795" s="146">
        <v>20.796500986584288</v>
      </c>
      <c r="H795" s="146">
        <v>18.246487684029265</v>
      </c>
      <c r="I795" s="146"/>
      <c r="J795" s="146">
        <v>0.63574377102950508</v>
      </c>
      <c r="K795" s="146">
        <v>0.27</v>
      </c>
      <c r="L795" s="146">
        <v>123.76020353383761</v>
      </c>
      <c r="M795" s="146">
        <v>53.920420626775723</v>
      </c>
      <c r="N795" s="146">
        <v>2.7458834726866144</v>
      </c>
      <c r="O795" s="146"/>
      <c r="P795" s="146"/>
      <c r="Q795" s="146"/>
      <c r="R795" s="146"/>
      <c r="S795" s="146"/>
      <c r="T795" s="146"/>
      <c r="U795" s="146"/>
      <c r="V795" s="146"/>
      <c r="W795" s="146"/>
      <c r="X795" s="146"/>
      <c r="Y795" s="146"/>
      <c r="Z795" s="146">
        <v>0.15048833069884587</v>
      </c>
      <c r="AA795" s="146"/>
      <c r="AB795" s="146"/>
      <c r="AC795" s="146"/>
      <c r="AD795" s="146"/>
      <c r="AE795" s="146"/>
      <c r="AF795" s="146"/>
      <c r="AG795" s="146"/>
      <c r="AH795" s="146"/>
      <c r="AI795" s="146"/>
      <c r="AJ795" s="146"/>
      <c r="AK795" s="146"/>
      <c r="AL795" s="146">
        <v>1635.1254774136041</v>
      </c>
      <c r="AM795" s="146">
        <v>0.14782574116719438</v>
      </c>
      <c r="AN795" s="146">
        <v>0.20358838799099746</v>
      </c>
      <c r="AO795" s="146">
        <v>308.52502712362042</v>
      </c>
      <c r="AP795" s="146">
        <v>262.18374107029894</v>
      </c>
      <c r="AQ795" t="s">
        <v>385</v>
      </c>
      <c r="AR795">
        <f t="shared" si="48"/>
        <v>14.644015877877388</v>
      </c>
      <c r="AS795">
        <f t="shared" si="49"/>
        <v>3.9965468373646496</v>
      </c>
      <c r="AT795">
        <v>0.3</v>
      </c>
      <c r="AU795">
        <v>0</v>
      </c>
      <c r="AV795">
        <v>0.4</v>
      </c>
      <c r="AW795" s="146">
        <v>3</v>
      </c>
      <c r="AX795" s="146">
        <v>0.5462740586584911</v>
      </c>
      <c r="AY795">
        <v>0.27</v>
      </c>
      <c r="AZ795" s="209">
        <v>262.18374107029894</v>
      </c>
      <c r="BA795">
        <v>0.5462740586584911</v>
      </c>
      <c r="BB795" s="249">
        <v>39.305499123267509</v>
      </c>
      <c r="BC795" s="243">
        <v>207.45999117736835</v>
      </c>
      <c r="BD795" s="209">
        <v>97212.024976292261</v>
      </c>
      <c r="BE795" s="243">
        <v>46.991861282192176</v>
      </c>
      <c r="BF795">
        <v>326435.40527763206</v>
      </c>
      <c r="BG795" t="s">
        <v>390</v>
      </c>
      <c r="BH795">
        <v>7.1926333038435472E-6</v>
      </c>
      <c r="BI795">
        <v>2172120.2497629225</v>
      </c>
      <c r="BJ795">
        <f t="shared" si="50"/>
        <v>0.1502842235890306</v>
      </c>
    </row>
    <row r="796" spans="1:62" x14ac:dyDescent="0.3">
      <c r="A796">
        <v>-0.4</v>
      </c>
      <c r="B796" s="146">
        <v>1000</v>
      </c>
      <c r="C796" s="146">
        <v>25</v>
      </c>
      <c r="D796" s="146">
        <v>400</v>
      </c>
      <c r="E796" s="252">
        <v>18.551943032912504</v>
      </c>
      <c r="F796" s="146">
        <v>3.1750975612529997</v>
      </c>
      <c r="G796" s="146">
        <v>20.779219041369238</v>
      </c>
      <c r="H796" s="146">
        <v>18.286567105641119</v>
      </c>
      <c r="I796" s="146"/>
      <c r="J796" s="146">
        <v>0.63988245657053755</v>
      </c>
      <c r="K796" s="146">
        <v>0.27</v>
      </c>
      <c r="L796" s="146">
        <v>124.06796098603768</v>
      </c>
      <c r="M796" s="146">
        <v>54.054505823792347</v>
      </c>
      <c r="N796" s="146">
        <v>2.675007981259391</v>
      </c>
      <c r="O796" s="146"/>
      <c r="P796" s="146"/>
      <c r="Q796" s="146"/>
      <c r="R796" s="146"/>
      <c r="S796" s="146"/>
      <c r="T796" s="146"/>
      <c r="U796" s="146"/>
      <c r="V796" s="146"/>
      <c r="W796" s="146"/>
      <c r="X796" s="146"/>
      <c r="Y796" s="146"/>
      <c r="Z796" s="146">
        <v>0.14628267655738364</v>
      </c>
      <c r="AA796" s="146"/>
      <c r="AB796" s="146"/>
      <c r="AC796" s="146"/>
      <c r="AD796" s="146"/>
      <c r="AE796" s="146"/>
      <c r="AF796" s="146"/>
      <c r="AG796" s="146"/>
      <c r="AH796" s="146"/>
      <c r="AI796" s="146"/>
      <c r="AJ796" s="146"/>
      <c r="AK796" s="146"/>
      <c r="AL796" s="146">
        <v>1584.5344816818304</v>
      </c>
      <c r="AM796" s="146">
        <v>0.15280158291472432</v>
      </c>
      <c r="AN796" s="146">
        <v>0.17369844818953126</v>
      </c>
      <c r="AO796" s="146">
        <v>293.19453785407723</v>
      </c>
      <c r="AP796" s="146">
        <v>247.03049105213353</v>
      </c>
      <c r="AQ796" t="s">
        <v>385</v>
      </c>
      <c r="AR796">
        <f t="shared" si="48"/>
        <v>14.644015877877388</v>
      </c>
      <c r="AS796">
        <f t="shared" si="49"/>
        <v>3.9965468373646496</v>
      </c>
      <c r="AT796">
        <v>0.3</v>
      </c>
      <c r="AU796">
        <v>0</v>
      </c>
      <c r="AV796">
        <v>0.4</v>
      </c>
      <c r="AW796" s="146">
        <v>3</v>
      </c>
      <c r="AX796" s="146">
        <v>0.54819725023280708</v>
      </c>
      <c r="AY796">
        <v>0.27</v>
      </c>
      <c r="AZ796" s="209">
        <v>247.03049105213353</v>
      </c>
      <c r="BA796">
        <v>0.54819725023280708</v>
      </c>
      <c r="BB796" s="249">
        <v>39.849534809851654</v>
      </c>
      <c r="BC796" s="243">
        <v>208.29345714669662</v>
      </c>
      <c r="BD796" s="209">
        <v>97985.415182992176</v>
      </c>
      <c r="BE796" s="243">
        <v>47.597433985397487</v>
      </c>
      <c r="BF796">
        <v>326670.94348121242</v>
      </c>
      <c r="BG796" t="s">
        <v>390</v>
      </c>
      <c r="BH796">
        <v>7.1406392886472773E-6</v>
      </c>
      <c r="BI796">
        <v>2179854.1518299216</v>
      </c>
      <c r="BJ796">
        <f t="shared" si="50"/>
        <v>0.1498590826395344</v>
      </c>
    </row>
    <row r="797" spans="1:62" x14ac:dyDescent="0.3">
      <c r="A797">
        <v>-0.5</v>
      </c>
      <c r="B797" s="146">
        <v>1000</v>
      </c>
      <c r="C797" s="146">
        <v>25</v>
      </c>
      <c r="D797" s="146">
        <v>400</v>
      </c>
      <c r="E797" s="252">
        <v>18.414716155450414</v>
      </c>
      <c r="F797" s="146">
        <v>3.3338214873690077</v>
      </c>
      <c r="G797" s="146">
        <v>20.725239826093986</v>
      </c>
      <c r="H797" s="146">
        <v>18.309635907391453</v>
      </c>
      <c r="I797" s="146"/>
      <c r="J797" s="146">
        <v>0.6479737628350396</v>
      </c>
      <c r="K797" s="146">
        <v>0.27</v>
      </c>
      <c r="L797" s="146">
        <v>124.28763557222497</v>
      </c>
      <c r="M797" s="146">
        <v>54.150214668396771</v>
      </c>
      <c r="N797" s="146">
        <v>2.5492317143621861</v>
      </c>
      <c r="O797" s="146"/>
      <c r="P797" s="146"/>
      <c r="Q797" s="146"/>
      <c r="R797" s="146"/>
      <c r="S797" s="146"/>
      <c r="T797" s="146"/>
      <c r="U797" s="146"/>
      <c r="V797" s="146"/>
      <c r="W797" s="146"/>
      <c r="X797" s="146"/>
      <c r="Y797" s="146"/>
      <c r="Z797" s="146">
        <v>0.13922896813765051</v>
      </c>
      <c r="AA797" s="146"/>
      <c r="AB797" s="146"/>
      <c r="AC797" s="146"/>
      <c r="AD797" s="146"/>
      <c r="AE797" s="146"/>
      <c r="AF797" s="146"/>
      <c r="AG797" s="146"/>
      <c r="AH797" s="146"/>
      <c r="AI797" s="146"/>
      <c r="AJ797" s="146"/>
      <c r="AK797" s="146"/>
      <c r="AL797" s="146">
        <v>1500.359561360294</v>
      </c>
      <c r="AM797" s="146">
        <v>0.16085804146746616</v>
      </c>
      <c r="AN797" s="146">
        <v>0.14337898798299795</v>
      </c>
      <c r="AO797" s="146">
        <v>271.56614498050402</v>
      </c>
      <c r="AP797" s="146">
        <v>225.7437041792036</v>
      </c>
      <c r="AQ797" t="s">
        <v>385</v>
      </c>
      <c r="AR797">
        <f t="shared" si="48"/>
        <v>14.644015877877388</v>
      </c>
      <c r="AS797">
        <f t="shared" si="49"/>
        <v>3.9965468373646496</v>
      </c>
      <c r="AT797">
        <v>0.3</v>
      </c>
      <c r="AU797">
        <v>0</v>
      </c>
      <c r="AV797">
        <v>0.4</v>
      </c>
      <c r="AW797" s="146">
        <v>3</v>
      </c>
      <c r="AX797" s="146">
        <v>0.55254233095798821</v>
      </c>
      <c r="AY797">
        <v>0.27</v>
      </c>
      <c r="AZ797" s="209">
        <v>225.7437041792036</v>
      </c>
      <c r="BA797">
        <v>0.55254233095798821</v>
      </c>
      <c r="BB797" s="249">
        <v>40.658521609325149</v>
      </c>
      <c r="BC797" s="243">
        <v>208.89037070093914</v>
      </c>
      <c r="BD797" s="209">
        <v>98811.48867321352</v>
      </c>
      <c r="BE797" s="243">
        <v>48.55480008268875</v>
      </c>
      <c r="BF797">
        <v>325603.70524354174</v>
      </c>
      <c r="BG797" t="s">
        <v>390</v>
      </c>
      <c r="BH797">
        <v>7.065239561010817E-6</v>
      </c>
      <c r="BI797">
        <v>2188114.886732135</v>
      </c>
      <c r="BJ797">
        <f t="shared" si="50"/>
        <v>0.14880558019045256</v>
      </c>
    </row>
    <row r="798" spans="1:62" x14ac:dyDescent="0.3">
      <c r="A798">
        <v>-0.6</v>
      </c>
      <c r="B798" s="146">
        <v>1000</v>
      </c>
      <c r="C798" s="146">
        <v>25</v>
      </c>
      <c r="D798" s="146">
        <v>400</v>
      </c>
      <c r="E798" s="252">
        <v>18.169996822761444</v>
      </c>
      <c r="F798" s="146">
        <v>3.6212088894737819</v>
      </c>
      <c r="G798" s="146">
        <v>20.630470075523903</v>
      </c>
      <c r="H798" s="146">
        <v>18.3400881438487</v>
      </c>
      <c r="I798" s="146"/>
      <c r="J798" s="146">
        <v>0.66694339242229883</v>
      </c>
      <c r="K798" s="146">
        <v>0.27</v>
      </c>
      <c r="L798" s="146">
        <v>124.6211045103661</v>
      </c>
      <c r="M798" s="146">
        <v>54.295501965097266</v>
      </c>
      <c r="N798" s="146">
        <v>2.319130988681934</v>
      </c>
      <c r="O798" s="146"/>
      <c r="P798" s="146"/>
      <c r="Q798" s="146"/>
      <c r="R798" s="146"/>
      <c r="S798" s="146"/>
      <c r="T798" s="146"/>
      <c r="U798" s="146"/>
      <c r="V798" s="146"/>
      <c r="W798" s="146"/>
      <c r="X798" s="146"/>
      <c r="Y798" s="146"/>
      <c r="Z798" s="146">
        <v>0.12645146361849821</v>
      </c>
      <c r="AA798" s="146"/>
      <c r="AB798" s="146"/>
      <c r="AC798" s="146"/>
      <c r="AD798" s="146"/>
      <c r="AE798" s="146"/>
      <c r="AF798" s="146"/>
      <c r="AG798" s="146"/>
      <c r="AH798" s="146"/>
      <c r="AI798" s="146"/>
      <c r="AJ798" s="146"/>
      <c r="AK798" s="146"/>
      <c r="AL798" s="146">
        <v>1352.8831009918679</v>
      </c>
      <c r="AM798" s="146">
        <v>0.17552721175122438</v>
      </c>
      <c r="AN798" s="146">
        <v>0.11252940258826308</v>
      </c>
      <c r="AO798" s="146">
        <v>238.53111804703929</v>
      </c>
      <c r="AP798" s="146">
        <v>193.31760665090096</v>
      </c>
      <c r="AQ798" t="s">
        <v>385</v>
      </c>
      <c r="AR798">
        <f t="shared" si="48"/>
        <v>14.644015877877388</v>
      </c>
      <c r="AS798">
        <f t="shared" si="49"/>
        <v>3.9965468373646496</v>
      </c>
      <c r="AT798">
        <v>0.3</v>
      </c>
      <c r="AU798">
        <v>0</v>
      </c>
      <c r="AV798">
        <v>0.4</v>
      </c>
      <c r="AW798" s="146">
        <v>3</v>
      </c>
      <c r="AX798" s="146">
        <v>0.56472476491203794</v>
      </c>
      <c r="AY798">
        <v>0.27</v>
      </c>
      <c r="AZ798" s="209">
        <v>193.31760665090096</v>
      </c>
      <c r="BA798">
        <v>0.56472476491203794</v>
      </c>
      <c r="BB798" s="249">
        <v>42.061457903970258</v>
      </c>
      <c r="BC798" s="243">
        <v>209.79968952228813</v>
      </c>
      <c r="BD798" s="209">
        <v>100244.39425053928</v>
      </c>
      <c r="BE798" s="243">
        <v>50.147833687937776</v>
      </c>
      <c r="BF798">
        <v>323516.62512357743</v>
      </c>
      <c r="BG798" t="s">
        <v>390</v>
      </c>
      <c r="BH798">
        <v>6.9335327354763879E-6</v>
      </c>
      <c r="BI798">
        <v>2202443.9425053927</v>
      </c>
      <c r="BJ798">
        <f t="shared" si="50"/>
        <v>0.14688983400665387</v>
      </c>
    </row>
    <row r="799" spans="1:62" x14ac:dyDescent="0.3">
      <c r="A799">
        <v>-0.7</v>
      </c>
      <c r="B799" s="146">
        <v>1000</v>
      </c>
      <c r="C799" s="146">
        <v>25</v>
      </c>
      <c r="D799" s="146">
        <v>400</v>
      </c>
      <c r="E799" s="252">
        <v>17.721882317962038</v>
      </c>
      <c r="F799" s="146">
        <v>4.433398331886476</v>
      </c>
      <c r="G799" s="146">
        <v>20.610298861596764</v>
      </c>
      <c r="H799" s="146">
        <v>18.570271026151175</v>
      </c>
      <c r="I799" s="146"/>
      <c r="J799" s="146">
        <v>0.75261520535943549</v>
      </c>
      <c r="K799" s="146">
        <v>0.27</v>
      </c>
      <c r="L799" s="146">
        <v>126.60563585222022</v>
      </c>
      <c r="M799" s="146">
        <v>55.160131802834542</v>
      </c>
      <c r="N799" s="146">
        <v>1.7433090761437597</v>
      </c>
      <c r="O799" s="146"/>
      <c r="P799" s="146"/>
      <c r="Q799" s="146"/>
      <c r="R799" s="146"/>
      <c r="S799" s="146"/>
      <c r="T799" s="146"/>
      <c r="U799" s="146"/>
      <c r="V799" s="146"/>
      <c r="W799" s="146"/>
      <c r="X799" s="146"/>
      <c r="Y799" s="146"/>
      <c r="Z799" s="146">
        <v>9.3876339967724931E-2</v>
      </c>
      <c r="AA799" s="146"/>
      <c r="AB799" s="146"/>
      <c r="AC799" s="146"/>
      <c r="AD799" s="146"/>
      <c r="AE799" s="146"/>
      <c r="AF799" s="146"/>
      <c r="AG799" s="146"/>
      <c r="AH799" s="146"/>
      <c r="AI799" s="146"/>
      <c r="AJ799" s="146"/>
      <c r="AK799" s="146"/>
      <c r="AL799" s="146">
        <v>1003.4887281402354</v>
      </c>
      <c r="AM799" s="146">
        <v>0.21510597015879482</v>
      </c>
      <c r="AN799" s="146">
        <v>7.9091731205177956E-2</v>
      </c>
      <c r="AO799" s="146">
        <v>175.93255264588484</v>
      </c>
      <c r="AP799" s="146">
        <v>131.83419006835641</v>
      </c>
      <c r="AQ799" t="s">
        <v>385</v>
      </c>
      <c r="AR799">
        <f t="shared" si="48"/>
        <v>14.644015877877388</v>
      </c>
      <c r="AS799">
        <f t="shared" si="49"/>
        <v>3.9965468373646496</v>
      </c>
      <c r="AT799">
        <v>0.3</v>
      </c>
      <c r="AU799">
        <v>0</v>
      </c>
      <c r="AV799">
        <v>0.4</v>
      </c>
      <c r="AW799" s="146">
        <v>3</v>
      </c>
      <c r="AX799" s="146">
        <v>0.63877228231584615</v>
      </c>
      <c r="AY799">
        <v>0.27</v>
      </c>
      <c r="AZ799" s="209">
        <v>131.83419006835641</v>
      </c>
      <c r="BA799">
        <v>0.63877228231584615</v>
      </c>
      <c r="BB799" s="249">
        <v>45.716181849443174</v>
      </c>
      <c r="BC799" s="243">
        <v>215.29268450314163</v>
      </c>
      <c r="BD799" s="209">
        <v>104771.63088114771</v>
      </c>
      <c r="BE799" s="243">
        <v>53.394266573454118</v>
      </c>
      <c r="BF799">
        <v>323232.85143660853</v>
      </c>
      <c r="BG799" t="s">
        <v>390</v>
      </c>
      <c r="BH799">
        <v>6.634456547141301E-6</v>
      </c>
      <c r="BI799">
        <v>2247716.3088114769</v>
      </c>
      <c r="BJ799">
        <f t="shared" si="50"/>
        <v>0.14380500340255309</v>
      </c>
    </row>
    <row r="800" spans="1:62" x14ac:dyDescent="0.3">
      <c r="A800">
        <v>-0.8</v>
      </c>
      <c r="B800" s="146">
        <v>1000</v>
      </c>
      <c r="C800" s="146">
        <v>25</v>
      </c>
      <c r="D800" s="146">
        <v>400</v>
      </c>
      <c r="E800" s="252">
        <v>17.232715129360539</v>
      </c>
      <c r="F800" s="146">
        <v>5.673514007614795</v>
      </c>
      <c r="G800" s="146">
        <v>20.793240201639236</v>
      </c>
      <c r="H800" s="146">
        <v>18.835248493903535</v>
      </c>
      <c r="I800" s="146"/>
      <c r="J800" s="146">
        <v>0.99999999931658057</v>
      </c>
      <c r="K800" s="146">
        <v>0.27</v>
      </c>
      <c r="L800" s="146">
        <v>133.06457585741194</v>
      </c>
      <c r="M800" s="146">
        <v>57.974192800947108</v>
      </c>
      <c r="N800" s="146">
        <v>1.1682725232015621</v>
      </c>
      <c r="O800" s="146"/>
      <c r="P800" s="146"/>
      <c r="Q800" s="146"/>
      <c r="R800" s="146"/>
      <c r="S800" s="146"/>
      <c r="T800" s="146"/>
      <c r="U800" s="146"/>
      <c r="V800" s="146"/>
      <c r="W800" s="146"/>
      <c r="X800" s="146"/>
      <c r="Y800" s="146"/>
      <c r="Z800" s="146">
        <v>6.2025861967241927E-2</v>
      </c>
      <c r="AA800" s="146"/>
      <c r="AB800" s="146"/>
      <c r="AC800" s="146"/>
      <c r="AD800" s="146"/>
      <c r="AE800" s="146"/>
      <c r="AF800" s="146"/>
      <c r="AG800" s="146"/>
      <c r="AH800" s="146"/>
      <c r="AI800" s="146"/>
      <c r="AJ800" s="146"/>
      <c r="AK800" s="146"/>
      <c r="AL800" s="146">
        <v>623.96544468365221</v>
      </c>
      <c r="AM800" s="146">
        <v>0.27285377135053357</v>
      </c>
      <c r="AN800" s="146">
        <v>5.4312264080171424E-2</v>
      </c>
      <c r="AO800" s="146">
        <v>82.710426066514515</v>
      </c>
      <c r="AP800" s="146">
        <v>39.829183082869903</v>
      </c>
      <c r="AQ800" t="s">
        <v>385</v>
      </c>
      <c r="AR800">
        <f t="shared" si="48"/>
        <v>14.644015877877388</v>
      </c>
      <c r="AS800">
        <f t="shared" si="49"/>
        <v>3.9965468373646496</v>
      </c>
      <c r="AT800">
        <v>0.3</v>
      </c>
      <c r="AU800">
        <v>0</v>
      </c>
      <c r="AV800">
        <v>0.4</v>
      </c>
      <c r="AW800" s="146">
        <v>3</v>
      </c>
      <c r="AX800" s="146">
        <v>0.99999999900000003</v>
      </c>
      <c r="AY800">
        <v>0.27</v>
      </c>
      <c r="AZ800" s="209">
        <v>39.829183082869903</v>
      </c>
      <c r="BA800">
        <v>0.99999999900000003</v>
      </c>
      <c r="BB800" s="249">
        <v>49.445424942606785</v>
      </c>
      <c r="BC800" s="243">
        <v>234.21519791219782</v>
      </c>
      <c r="BD800" s="209">
        <v>114192.77617621915</v>
      </c>
      <c r="BE800" s="243">
        <v>55.292029476321794</v>
      </c>
      <c r="BF800">
        <v>336258.13464324764</v>
      </c>
      <c r="BG800" t="s">
        <v>390</v>
      </c>
      <c r="BH800">
        <v>6.1758810355343587E-6</v>
      </c>
      <c r="BI800">
        <v>2341927.7617621915</v>
      </c>
      <c r="BJ800">
        <f t="shared" si="50"/>
        <v>0.14358177059664259</v>
      </c>
    </row>
    <row r="801" spans="1:62" x14ac:dyDescent="0.3">
      <c r="A801">
        <v>-0.85</v>
      </c>
      <c r="B801" s="146">
        <v>1000</v>
      </c>
      <c r="C801" s="146">
        <v>25</v>
      </c>
      <c r="D801" s="146">
        <v>400</v>
      </c>
      <c r="E801" s="252">
        <v>11.685026012514566</v>
      </c>
      <c r="F801" s="146">
        <v>3.9721903244991612</v>
      </c>
      <c r="G801" s="146">
        <v>14.095436622125415</v>
      </c>
      <c r="H801" s="146">
        <v>12.8286169607288</v>
      </c>
      <c r="I801" s="146"/>
      <c r="J801" s="146">
        <v>0.99999999937934092</v>
      </c>
      <c r="K801" s="146">
        <v>0.27</v>
      </c>
      <c r="L801" s="146">
        <v>89.547410831220844</v>
      </c>
      <c r="M801" s="146">
        <v>39.014432104888748</v>
      </c>
      <c r="N801" s="146">
        <v>0.88900168050810535</v>
      </c>
      <c r="O801" s="146"/>
      <c r="P801" s="146"/>
      <c r="Q801" s="146"/>
      <c r="R801" s="146"/>
      <c r="S801" s="146"/>
      <c r="T801" s="146"/>
      <c r="U801" s="146"/>
      <c r="V801" s="146"/>
      <c r="W801" s="146"/>
      <c r="X801" s="146"/>
      <c r="Y801" s="146"/>
      <c r="Z801" s="146">
        <v>6.9298326018271003E-2</v>
      </c>
      <c r="AA801" s="146"/>
      <c r="AB801" s="146"/>
      <c r="AC801" s="146"/>
      <c r="AD801" s="146"/>
      <c r="AE801" s="146"/>
      <c r="AF801" s="146"/>
      <c r="AG801" s="146"/>
      <c r="AH801" s="146"/>
      <c r="AI801" s="146"/>
      <c r="AJ801" s="146"/>
      <c r="AK801" s="146"/>
      <c r="AL801" s="146">
        <v>511.64211088521483</v>
      </c>
      <c r="AM801" s="146">
        <v>0.28180683089050734</v>
      </c>
      <c r="AN801" s="146">
        <v>3.8465141342770286E-2</v>
      </c>
      <c r="AO801" s="146">
        <v>96.217780447313373</v>
      </c>
      <c r="AP801" s="146">
        <v>67.141270631161177</v>
      </c>
      <c r="AQ801" t="s">
        <v>385</v>
      </c>
      <c r="AR801">
        <f t="shared" si="48"/>
        <v>14.644015877877388</v>
      </c>
      <c r="AS801">
        <f t="shared" si="49"/>
        <v>3.9965468373646496</v>
      </c>
      <c r="AT801">
        <v>0.3</v>
      </c>
      <c r="AU801">
        <v>0</v>
      </c>
      <c r="AV801">
        <v>0.4</v>
      </c>
      <c r="AW801" s="146">
        <v>3</v>
      </c>
      <c r="AX801" s="146">
        <v>0.99999999900000003</v>
      </c>
      <c r="AY801">
        <v>0.27</v>
      </c>
      <c r="AZ801" s="209">
        <v>67.141270631161177</v>
      </c>
      <c r="BA801">
        <v>0.99999999900000003</v>
      </c>
      <c r="BB801" s="249">
        <v>35.689500239482499</v>
      </c>
      <c r="BC801" s="243">
        <v>130.44885829940367</v>
      </c>
      <c r="BD801" s="209">
        <v>60813.371920371115</v>
      </c>
      <c r="BE801" s="243">
        <v>39.27732064510424</v>
      </c>
      <c r="BF801">
        <v>675281.6914253307</v>
      </c>
      <c r="BG801" t="s">
        <v>390</v>
      </c>
      <c r="BH801">
        <v>4.3783297099038775E-6</v>
      </c>
      <c r="BI801">
        <v>1808133.719203711</v>
      </c>
      <c r="BJ801">
        <f t="shared" si="50"/>
        <v>0.37346888908344672</v>
      </c>
    </row>
    <row r="802" spans="1:62" s="287" customFormat="1" ht="15" thickBot="1" x14ac:dyDescent="0.35">
      <c r="A802" s="285">
        <v>-0.87</v>
      </c>
      <c r="B802" s="285">
        <v>1000</v>
      </c>
      <c r="C802" s="285">
        <v>25</v>
      </c>
      <c r="D802" s="285">
        <v>400</v>
      </c>
      <c r="E802" s="286">
        <v>3.8812420158595797</v>
      </c>
      <c r="F802" s="287">
        <v>0.82033023053906673</v>
      </c>
      <c r="G802" s="287">
        <v>4.4017307569728548</v>
      </c>
      <c r="H802" s="287">
        <v>3.8797032411546795</v>
      </c>
      <c r="J802" s="287">
        <v>0.63884323172629531</v>
      </c>
      <c r="K802" s="287">
        <v>0.27</v>
      </c>
      <c r="L802" s="287">
        <v>26.532226933088364</v>
      </c>
      <c r="M802" s="287">
        <v>11.55968393350323</v>
      </c>
      <c r="N802" s="287">
        <v>0.87534841922587692</v>
      </c>
      <c r="Z802" s="287">
        <v>0.22562251925365179</v>
      </c>
      <c r="AL802" s="287">
        <v>724.03935218934555</v>
      </c>
      <c r="AM802" s="287">
        <v>0.18636538121727869</v>
      </c>
      <c r="AN802" s="287">
        <v>3.7327964977460916E-2</v>
      </c>
      <c r="AO802" s="287">
        <v>296.02320892116347</v>
      </c>
      <c r="AP802" s="287">
        <v>286.36514257640687</v>
      </c>
      <c r="AQ802" s="288" t="s">
        <v>385</v>
      </c>
      <c r="AR802" s="288">
        <f t="shared" si="48"/>
        <v>14.644015877877388</v>
      </c>
      <c r="AS802" s="288">
        <f t="shared" si="49"/>
        <v>3.9965468373646496</v>
      </c>
      <c r="AT802" s="288">
        <v>0.3</v>
      </c>
      <c r="AU802" s="288">
        <v>0</v>
      </c>
      <c r="AV802" s="288">
        <v>0.4</v>
      </c>
      <c r="AW802" s="285">
        <v>3</v>
      </c>
      <c r="AX802" s="285">
        <v>0.52393201381553267</v>
      </c>
      <c r="AY802" s="288">
        <v>0.27</v>
      </c>
      <c r="AZ802" s="289">
        <v>286.36514257640687</v>
      </c>
      <c r="BA802" s="287">
        <v>0.52393201381553267</v>
      </c>
      <c r="BB802" s="286">
        <v>9.8616988339394354</v>
      </c>
      <c r="BC802" s="290">
        <v>32.793591254344669</v>
      </c>
      <c r="BD802" s="291">
        <v>12487.376057078545</v>
      </c>
      <c r="BE802" s="290">
        <v>11.335859083151899</v>
      </c>
      <c r="BF802" s="287">
        <v>874620.51428960683</v>
      </c>
      <c r="BG802" s="288" t="s">
        <v>390</v>
      </c>
      <c r="BH802" s="287">
        <v>1.3790383341998966E-6</v>
      </c>
      <c r="BI802" s="287">
        <v>1324873.7605707855</v>
      </c>
      <c r="BJ802">
        <f t="shared" si="50"/>
        <v>0.66015385036594021</v>
      </c>
    </row>
    <row r="803" spans="1:62" s="239" customFormat="1" x14ac:dyDescent="0.3">
      <c r="A803" s="239">
        <v>-0.1</v>
      </c>
      <c r="B803" s="240">
        <v>100</v>
      </c>
      <c r="C803" s="240">
        <v>25</v>
      </c>
      <c r="D803" s="240">
        <v>400</v>
      </c>
      <c r="E803" s="251">
        <v>3.4794085896375071</v>
      </c>
      <c r="F803" s="239">
        <v>1.0316914211790666</v>
      </c>
      <c r="G803" s="239">
        <v>4.2860053135319047</v>
      </c>
      <c r="H803" s="239">
        <v>0</v>
      </c>
      <c r="J803" s="239">
        <v>9.8629136311921962E-4</v>
      </c>
      <c r="K803" s="239">
        <v>1E-8</v>
      </c>
      <c r="L803" s="239">
        <v>18.250294358045984</v>
      </c>
      <c r="M803" s="239">
        <v>10.950176529659551</v>
      </c>
      <c r="N803" s="239">
        <v>-3.7041054427853605E-3</v>
      </c>
      <c r="Z803" s="239" t="s">
        <v>35</v>
      </c>
      <c r="AL803" s="239">
        <v>371.38963366019681</v>
      </c>
      <c r="AM803" s="239">
        <v>0.24071165239151232</v>
      </c>
      <c r="AN803" s="239">
        <v>0.19222943133723699</v>
      </c>
      <c r="AO803" s="239">
        <v>381.89970929304047</v>
      </c>
      <c r="AP803" s="239">
        <v>373.24168638158949</v>
      </c>
      <c r="AQ803" s="239" t="s">
        <v>302</v>
      </c>
      <c r="AR803" s="239">
        <v>0</v>
      </c>
      <c r="AS803" s="239">
        <v>0</v>
      </c>
      <c r="AT803" s="239">
        <v>0</v>
      </c>
      <c r="AU803" s="239">
        <v>0</v>
      </c>
      <c r="AV803" s="239">
        <v>0</v>
      </c>
      <c r="AW803" s="239">
        <v>3</v>
      </c>
      <c r="AX803" s="241">
        <v>9.9035550111793691E-4</v>
      </c>
      <c r="AY803" s="241">
        <v>1E-8</v>
      </c>
      <c r="AZ803" s="242">
        <v>373.24168638158949</v>
      </c>
      <c r="BA803" s="239">
        <v>9.9035550111793691E-4</v>
      </c>
      <c r="BB803" s="251">
        <v>11.468374921493346</v>
      </c>
      <c r="BC803" s="247">
        <v>90.019978991979301</v>
      </c>
      <c r="BD803" s="242">
        <v>34983.920551741896</v>
      </c>
      <c r="BE803" s="247">
        <v>26.280426329966378</v>
      </c>
      <c r="BF803" s="242">
        <v>25315.875826476637</v>
      </c>
      <c r="BG803" t="s">
        <v>387</v>
      </c>
      <c r="BH803" s="239">
        <v>2.0014305482183544E-6</v>
      </c>
      <c r="BI803" s="239">
        <v>1549839.2055174189</v>
      </c>
      <c r="BJ803">
        <f t="shared" si="50"/>
        <v>1.6334517630185286E-2</v>
      </c>
    </row>
    <row r="804" spans="1:62" x14ac:dyDescent="0.3">
      <c r="A804">
        <v>-0.1</v>
      </c>
      <c r="B804" s="146">
        <v>200</v>
      </c>
      <c r="C804" s="146">
        <v>25</v>
      </c>
      <c r="D804" s="146">
        <v>400</v>
      </c>
      <c r="E804" s="249">
        <v>6.0307308414746883</v>
      </c>
      <c r="F804">
        <v>1.8188256613276517</v>
      </c>
      <c r="G804">
        <v>7.2788481948688872</v>
      </c>
      <c r="H804">
        <v>0</v>
      </c>
      <c r="J804">
        <v>3.4119631856480978E-4</v>
      </c>
      <c r="K804">
        <v>1E-8</v>
      </c>
      <c r="L804">
        <v>32.278651444002548</v>
      </c>
      <c r="M804">
        <v>19.367190715767823</v>
      </c>
      <c r="N804">
        <v>-2.1680305841312061E-3</v>
      </c>
      <c r="Z804" t="s">
        <v>35</v>
      </c>
      <c r="AL804">
        <v>358.4641689811159</v>
      </c>
      <c r="AM804">
        <v>0.24987822422369035</v>
      </c>
      <c r="AN804">
        <v>0.23700851241687992</v>
      </c>
      <c r="AO804">
        <v>374.55479223097655</v>
      </c>
      <c r="AP804">
        <v>359.54818427318145</v>
      </c>
      <c r="AQ804" t="s">
        <v>302</v>
      </c>
      <c r="AR804">
        <v>0</v>
      </c>
      <c r="AS804">
        <v>0</v>
      </c>
      <c r="AT804">
        <v>0</v>
      </c>
      <c r="AU804">
        <v>0</v>
      </c>
      <c r="AV804">
        <v>0</v>
      </c>
      <c r="AW804">
        <v>3</v>
      </c>
      <c r="AX804" s="141">
        <v>3.4166832441916194E-4</v>
      </c>
      <c r="AY804" s="141">
        <v>1E-8</v>
      </c>
      <c r="AZ804" s="209">
        <v>359.54818427318145</v>
      </c>
      <c r="BA804">
        <v>3.4166832441916194E-4</v>
      </c>
      <c r="BB804" s="249">
        <v>19.941044474844492</v>
      </c>
      <c r="BC804" s="243">
        <v>101.42012479096861</v>
      </c>
      <c r="BD804" s="209">
        <v>42950.548440503291</v>
      </c>
      <c r="BE804" s="243">
        <v>34.061684301180797</v>
      </c>
      <c r="BF804" s="209">
        <v>52998.483470902589</v>
      </c>
      <c r="BG804" t="s">
        <v>387</v>
      </c>
      <c r="BH804">
        <v>3.3696784854761213E-6</v>
      </c>
      <c r="BI804">
        <v>1629505.4844050328</v>
      </c>
      <c r="BJ804">
        <f t="shared" si="50"/>
        <v>3.2524274375335081E-2</v>
      </c>
    </row>
    <row r="805" spans="1:62" x14ac:dyDescent="0.3">
      <c r="A805">
        <v>-0.1</v>
      </c>
      <c r="B805" s="146">
        <v>300</v>
      </c>
      <c r="C805" s="146">
        <v>25</v>
      </c>
      <c r="D805" s="146">
        <v>400</v>
      </c>
      <c r="E805" s="249">
        <v>8.2810428498982329</v>
      </c>
      <c r="F805">
        <v>2.5943744496242762</v>
      </c>
      <c r="G805">
        <v>9.9993543646188119</v>
      </c>
      <c r="H805">
        <v>0</v>
      </c>
      <c r="J805">
        <v>2.7427374762226581E-4</v>
      </c>
      <c r="K805">
        <v>1E-8</v>
      </c>
      <c r="L805">
        <v>45.332459131149406</v>
      </c>
      <c r="M805">
        <v>27.199475267138165</v>
      </c>
      <c r="N805">
        <v>-2.38014698125316E-3</v>
      </c>
      <c r="Z805" t="s">
        <v>35</v>
      </c>
      <c r="AL805">
        <v>345.08782443182776</v>
      </c>
      <c r="AM805">
        <v>0.25945419624331684</v>
      </c>
      <c r="AN805">
        <v>0.25006242758068115</v>
      </c>
      <c r="AO805">
        <v>366.88409798298704</v>
      </c>
      <c r="AP805">
        <v>346.27789792245431</v>
      </c>
      <c r="AQ805" t="s">
        <v>302</v>
      </c>
      <c r="AR805">
        <v>0</v>
      </c>
      <c r="AS805">
        <v>0</v>
      </c>
      <c r="AT805">
        <v>0</v>
      </c>
      <c r="AU805">
        <v>0</v>
      </c>
      <c r="AV805">
        <v>0</v>
      </c>
      <c r="AW805">
        <v>3</v>
      </c>
      <c r="AX805" s="141">
        <v>2.7463594488966192E-4</v>
      </c>
      <c r="AY805" s="141">
        <v>1E-8</v>
      </c>
      <c r="AZ805" s="209">
        <v>346.27789792245431</v>
      </c>
      <c r="BA805">
        <v>2.7463594488966192E-4</v>
      </c>
      <c r="BB805" s="249">
        <v>28.060721810369358</v>
      </c>
      <c r="BC805" s="243">
        <v>123.97079228728452</v>
      </c>
      <c r="BD805" s="209">
        <v>56635.241057785468</v>
      </c>
      <c r="BE805" s="243">
        <v>44.478923676092094</v>
      </c>
      <c r="BF805" s="209">
        <v>90904.01274236232</v>
      </c>
      <c r="BG805" t="s">
        <v>387</v>
      </c>
      <c r="BH805">
        <v>4.2359092658605266E-6</v>
      </c>
      <c r="BI805">
        <v>1766352.4105778546</v>
      </c>
      <c r="BJ805">
        <f t="shared" si="50"/>
        <v>5.1464256055575829E-2</v>
      </c>
    </row>
    <row r="806" spans="1:62" x14ac:dyDescent="0.3">
      <c r="A806">
        <v>-0.1</v>
      </c>
      <c r="B806" s="146">
        <v>400</v>
      </c>
      <c r="C806" s="146">
        <v>25</v>
      </c>
      <c r="D806" s="146">
        <v>400</v>
      </c>
      <c r="E806" s="249">
        <v>10.201411490436939</v>
      </c>
      <c r="F806">
        <v>3.308744773287565</v>
      </c>
      <c r="G806">
        <v>12.344180972171117</v>
      </c>
      <c r="H806">
        <v>0</v>
      </c>
      <c r="J806">
        <v>2.3381570925848231E-4</v>
      </c>
      <c r="K806">
        <v>1E-8</v>
      </c>
      <c r="L806">
        <v>56.991701440641165</v>
      </c>
      <c r="M806">
        <v>34.195020598423419</v>
      </c>
      <c r="N806">
        <v>-2.4918156756848515E-3</v>
      </c>
      <c r="Z806" t="s">
        <v>35</v>
      </c>
      <c r="AL806">
        <v>333.93899552642847</v>
      </c>
      <c r="AM806">
        <v>0.26804085104931974</v>
      </c>
      <c r="AN806">
        <v>0.25871985867675429</v>
      </c>
      <c r="AO806">
        <v>360.56966194008851</v>
      </c>
      <c r="AP806">
        <v>335.18490336427078</v>
      </c>
      <c r="AQ806" t="s">
        <v>302</v>
      </c>
      <c r="AR806">
        <v>0</v>
      </c>
      <c r="AS806">
        <v>0</v>
      </c>
      <c r="AT806">
        <v>0</v>
      </c>
      <c r="AU806">
        <v>0</v>
      </c>
      <c r="AV806">
        <v>0</v>
      </c>
      <c r="AW806">
        <v>3</v>
      </c>
      <c r="AX806" s="141">
        <v>2.3411175171270725E-4</v>
      </c>
      <c r="AY806" s="141">
        <v>1E-8</v>
      </c>
      <c r="AZ806" s="209">
        <v>335.18490336427078</v>
      </c>
      <c r="BA806">
        <v>2.3411175171270725E-4</v>
      </c>
      <c r="BB806" s="249">
        <v>35.378810867950385</v>
      </c>
      <c r="BC806" s="243">
        <v>141.8351828233842</v>
      </c>
      <c r="BD806" s="209">
        <v>68495.939780092769</v>
      </c>
      <c r="BE806" s="243">
        <v>53.523655212773647</v>
      </c>
      <c r="BF806" s="209">
        <v>130072.79008118673</v>
      </c>
      <c r="BG806" t="s">
        <v>387</v>
      </c>
      <c r="BH806">
        <v>4.8325304558653449E-6</v>
      </c>
      <c r="BI806">
        <v>1884959.3978009277</v>
      </c>
      <c r="BJ806">
        <f t="shared" si="50"/>
        <v>6.9005619024438969E-2</v>
      </c>
    </row>
    <row r="807" spans="1:62" x14ac:dyDescent="0.3">
      <c r="A807">
        <v>-0.1</v>
      </c>
      <c r="B807" s="146">
        <v>600</v>
      </c>
      <c r="C807" s="146">
        <v>25</v>
      </c>
      <c r="D807" s="146">
        <v>400</v>
      </c>
      <c r="E807" s="249">
        <v>13.303206673833284</v>
      </c>
      <c r="F807">
        <v>4.5788341201723117</v>
      </c>
      <c r="G807">
        <v>16.186876841094946</v>
      </c>
      <c r="H807">
        <v>0</v>
      </c>
      <c r="J807">
        <v>1.8656561804515761E-4</v>
      </c>
      <c r="K807">
        <v>1E-8</v>
      </c>
      <c r="L807">
        <v>76.941428630488659</v>
      </c>
      <c r="M807">
        <v>46.164856819233187</v>
      </c>
      <c r="N807">
        <v>-2.5838955979526953E-3</v>
      </c>
      <c r="Z807" t="s">
        <v>35</v>
      </c>
      <c r="AL807">
        <v>316.31759302852453</v>
      </c>
      <c r="AM807">
        <v>0.28287322904364426</v>
      </c>
      <c r="AN807">
        <v>0.26991129271538639</v>
      </c>
      <c r="AO807">
        <v>350.71267104092186</v>
      </c>
      <c r="AP807">
        <v>317.60954082750084</v>
      </c>
      <c r="AQ807" t="s">
        <v>302</v>
      </c>
      <c r="AR807">
        <v>0</v>
      </c>
      <c r="AS807">
        <v>0</v>
      </c>
      <c r="AT807">
        <v>0</v>
      </c>
      <c r="AU807">
        <v>0</v>
      </c>
      <c r="AV807">
        <v>0</v>
      </c>
      <c r="AW807">
        <v>3</v>
      </c>
      <c r="AX807" s="141">
        <v>1.8678616765241917E-4</v>
      </c>
      <c r="AY807" s="141">
        <v>1E-8</v>
      </c>
      <c r="AZ807" s="209">
        <v>317.60954082750084</v>
      </c>
      <c r="BA807">
        <v>1.8678616765241917E-4</v>
      </c>
      <c r="BB807" s="249">
        <v>48.063542118061015</v>
      </c>
      <c r="BC807" s="243">
        <v>168.98037494659829</v>
      </c>
      <c r="BD807" s="209">
        <v>88232.55235677633</v>
      </c>
      <c r="BE807" s="243">
        <v>68.720867923605041</v>
      </c>
      <c r="BF807" s="209">
        <v>206967.45392740821</v>
      </c>
      <c r="BG807" t="s">
        <v>387</v>
      </c>
      <c r="BH807">
        <v>5.5688648817900591E-6</v>
      </c>
      <c r="BI807">
        <v>2082325.5235677632</v>
      </c>
      <c r="BJ807">
        <f t="shared" si="50"/>
        <v>9.9392458856672639E-2</v>
      </c>
    </row>
    <row r="808" spans="1:62" x14ac:dyDescent="0.3">
      <c r="A808">
        <v>-0.1</v>
      </c>
      <c r="B808" s="146">
        <v>800</v>
      </c>
      <c r="C808" s="146">
        <v>25</v>
      </c>
      <c r="D808" s="146">
        <v>400</v>
      </c>
      <c r="E808" s="249">
        <v>15.670898540360346</v>
      </c>
      <c r="F808">
        <v>5.6579718123361715</v>
      </c>
      <c r="G808">
        <v>19.173671447575078</v>
      </c>
      <c r="H808">
        <v>0</v>
      </c>
      <c r="J808">
        <v>1.5953689714370955E-4</v>
      </c>
      <c r="K808">
        <v>1E-8</v>
      </c>
      <c r="L808">
        <v>93.231596982190467</v>
      </c>
      <c r="M808">
        <v>55.938957754233492</v>
      </c>
      <c r="N808">
        <v>-2.5980043112342234E-3</v>
      </c>
      <c r="Z808" t="s">
        <v>35</v>
      </c>
      <c r="AL808">
        <v>303.16072522483819</v>
      </c>
      <c r="AM808">
        <v>0.29509068348262241</v>
      </c>
      <c r="AN808">
        <v>0.27713798771295145</v>
      </c>
      <c r="AO808">
        <v>343.45452722060014</v>
      </c>
      <c r="AP808">
        <v>304.45972738045526</v>
      </c>
      <c r="AQ808" t="s">
        <v>302</v>
      </c>
      <c r="AR808">
        <v>0</v>
      </c>
      <c r="AS808">
        <v>0</v>
      </c>
      <c r="AT808">
        <v>0</v>
      </c>
      <c r="AU808">
        <v>0</v>
      </c>
      <c r="AV808">
        <v>0</v>
      </c>
      <c r="AW808">
        <v>3</v>
      </c>
      <c r="AX808" s="141">
        <v>1.597151209593273E-4</v>
      </c>
      <c r="AY808" s="141">
        <v>1E-8</v>
      </c>
      <c r="AZ808" s="209">
        <v>304.45972738045526</v>
      </c>
      <c r="BA808">
        <v>1.597151209593273E-4</v>
      </c>
      <c r="BB808" s="249">
        <v>58.563015816531497</v>
      </c>
      <c r="BC808" s="243">
        <v>188.58037225079707</v>
      </c>
      <c r="BD808" s="209">
        <v>103806.89586970372</v>
      </c>
      <c r="BE808" s="243">
        <v>80.93442816786164</v>
      </c>
      <c r="BF808" s="209">
        <v>277686.29442186694</v>
      </c>
      <c r="BG808" t="s">
        <v>387</v>
      </c>
      <c r="BH808">
        <v>5.9775928257314204E-6</v>
      </c>
      <c r="BI808">
        <v>2238068.9586970373</v>
      </c>
      <c r="BJ808">
        <f t="shared" si="50"/>
        <v>0.12407405649535071</v>
      </c>
    </row>
    <row r="809" spans="1:62" x14ac:dyDescent="0.3">
      <c r="A809">
        <v>-0.1</v>
      </c>
      <c r="B809" s="146">
        <v>1000</v>
      </c>
      <c r="C809" s="146">
        <v>25</v>
      </c>
      <c r="D809" s="146">
        <v>400</v>
      </c>
      <c r="E809" s="249">
        <v>17.484541843011016</v>
      </c>
      <c r="F809">
        <v>6.5567479286242429</v>
      </c>
      <c r="G809">
        <v>21.496366019314056</v>
      </c>
      <c r="H809">
        <v>0</v>
      </c>
      <c r="J809">
        <v>1.4159981620213305E-4</v>
      </c>
      <c r="K809">
        <v>1E-8</v>
      </c>
      <c r="L809">
        <v>106.43486946655531</v>
      </c>
      <c r="M809">
        <v>63.860921183237124</v>
      </c>
      <c r="N809">
        <v>-2.5698209401810619E-3</v>
      </c>
      <c r="Z809" t="s">
        <v>35</v>
      </c>
      <c r="AL809">
        <v>293.26702750048486</v>
      </c>
      <c r="AM809">
        <v>0.3050165745565151</v>
      </c>
      <c r="AN809">
        <v>0.28228059713142267</v>
      </c>
      <c r="AO809">
        <v>338.05971072510289</v>
      </c>
      <c r="AP809">
        <v>294.55193797057541</v>
      </c>
      <c r="AQ809" t="s">
        <v>302</v>
      </c>
      <c r="AR809">
        <v>0</v>
      </c>
      <c r="AS809">
        <v>0</v>
      </c>
      <c r="AT809">
        <v>0</v>
      </c>
      <c r="AU809">
        <v>0</v>
      </c>
      <c r="AV809">
        <v>0</v>
      </c>
      <c r="AW809">
        <v>3</v>
      </c>
      <c r="AX809" s="141">
        <v>1.4174982617976616E-4</v>
      </c>
      <c r="AY809" s="141">
        <v>1E-8</v>
      </c>
      <c r="AZ809" s="209">
        <v>294.55193797057541</v>
      </c>
      <c r="BA809">
        <v>1.4174982617976616E-4</v>
      </c>
      <c r="BB809" s="249">
        <v>67.142758587631164</v>
      </c>
      <c r="BC809" s="243">
        <v>202.69057435797913</v>
      </c>
      <c r="BD809" s="209">
        <v>115894.23127057934</v>
      </c>
      <c r="BE809" s="243">
        <v>90.68951043838922</v>
      </c>
      <c r="BF809" s="209">
        <v>339263.89257929497</v>
      </c>
      <c r="BG809" t="s">
        <v>387</v>
      </c>
      <c r="BH809">
        <v>6.2213841993258691E-6</v>
      </c>
      <c r="BI809">
        <v>2358942.3127057934</v>
      </c>
      <c r="BJ809">
        <f t="shared" si="50"/>
        <v>0.14382034302065946</v>
      </c>
    </row>
    <row r="810" spans="1:62" s="146" customFormat="1" x14ac:dyDescent="0.3">
      <c r="A810">
        <v>-0.1</v>
      </c>
      <c r="B810" s="146">
        <v>1300</v>
      </c>
      <c r="C810" s="146">
        <v>25</v>
      </c>
      <c r="D810" s="146">
        <v>400</v>
      </c>
      <c r="E810" s="252">
        <v>19.472445574897947</v>
      </c>
      <c r="F810" s="146">
        <v>7.6217715527510883</v>
      </c>
      <c r="G810" s="146">
        <v>24.08087953524274</v>
      </c>
      <c r="H810" s="146">
        <v>0</v>
      </c>
      <c r="J810" s="146">
        <v>1.2428130001267121E-4</v>
      </c>
      <c r="K810" s="146">
        <v>1E-8</v>
      </c>
      <c r="L810" s="146">
        <v>121.73609907865762</v>
      </c>
      <c r="M810" s="146">
        <v>73.041658879092765</v>
      </c>
      <c r="N810" s="146">
        <v>-2.5092645349307002E-3</v>
      </c>
      <c r="Z810" s="146" t="s">
        <v>35</v>
      </c>
      <c r="AL810" s="146">
        <v>282.60374171500433</v>
      </c>
      <c r="AM810" s="146">
        <v>0.31650719159142454</v>
      </c>
      <c r="AN810" s="146">
        <v>0.28768276146902261</v>
      </c>
      <c r="AO810" s="146">
        <v>332.31278274908135</v>
      </c>
      <c r="AP810">
        <v>283.85837398246963</v>
      </c>
      <c r="AQ810" s="146" t="s">
        <v>302</v>
      </c>
      <c r="AR810" s="146">
        <v>0</v>
      </c>
      <c r="AS810" s="146">
        <v>0</v>
      </c>
      <c r="AT810" s="146">
        <v>0</v>
      </c>
      <c r="AU810" s="146">
        <v>0</v>
      </c>
      <c r="AV810" s="146">
        <v>0</v>
      </c>
      <c r="AW810" s="146">
        <v>3</v>
      </c>
      <c r="AX810" s="141">
        <v>1.2440445088802933E-4</v>
      </c>
      <c r="AY810" s="228">
        <v>1E-8</v>
      </c>
      <c r="AZ810" s="209">
        <v>283.85837398246963</v>
      </c>
      <c r="BA810" s="146">
        <v>1.2440445088802933E-4</v>
      </c>
      <c r="BB810" s="252">
        <v>77.141692713374297</v>
      </c>
      <c r="BC810" s="244">
        <v>217.18029733087138</v>
      </c>
      <c r="BD810" s="229">
        <v>129258.0441873181</v>
      </c>
      <c r="BE810" s="244">
        <v>101.83897625682761</v>
      </c>
      <c r="BF810" s="229">
        <v>414703.97946980695</v>
      </c>
      <c r="BG810" t="s">
        <v>387</v>
      </c>
      <c r="BH810" s="146">
        <v>6.431245608312272E-6</v>
      </c>
      <c r="BI810" s="146">
        <v>2492580.4418731807</v>
      </c>
      <c r="BJ810">
        <f t="shared" si="50"/>
        <v>0.16637536446292414</v>
      </c>
    </row>
    <row r="811" spans="1:62" s="146" customFormat="1" x14ac:dyDescent="0.3">
      <c r="A811">
        <v>-0.1</v>
      </c>
      <c r="B811" s="227">
        <v>1600</v>
      </c>
      <c r="C811" s="146">
        <v>25</v>
      </c>
      <c r="D811" s="146">
        <v>400</v>
      </c>
      <c r="E811" s="252">
        <v>20.8432630282513</v>
      </c>
      <c r="F811" s="146">
        <v>8.4075369927306323</v>
      </c>
      <c r="G811" s="146">
        <v>25.887161125267621</v>
      </c>
      <c r="H811" s="146">
        <v>0</v>
      </c>
      <c r="J811" s="146">
        <v>1.1326890841762038E-4</v>
      </c>
      <c r="K811" s="146">
        <v>1E-8</v>
      </c>
      <c r="L811" s="146">
        <v>132.90209069222095</v>
      </c>
      <c r="M811" s="146">
        <v>79.741253795122816</v>
      </c>
      <c r="N811" s="146">
        <v>-2.4462603164082425E-3</v>
      </c>
      <c r="Z811" s="146" t="s">
        <v>35</v>
      </c>
      <c r="AL811" s="146">
        <v>275.4079109178175</v>
      </c>
      <c r="AM811" s="146">
        <v>0.32477632259662137</v>
      </c>
      <c r="AN811" s="146">
        <v>0.29149994484579567</v>
      </c>
      <c r="AO811" s="146">
        <v>328.49651124538821</v>
      </c>
      <c r="AP811">
        <v>276.63104107602163</v>
      </c>
      <c r="AQ811" s="146" t="s">
        <v>302</v>
      </c>
      <c r="AR811" s="146">
        <v>0</v>
      </c>
      <c r="AS811" s="146">
        <v>0</v>
      </c>
      <c r="AT811" s="146">
        <v>0</v>
      </c>
      <c r="AU811" s="146">
        <v>0</v>
      </c>
      <c r="AV811" s="146">
        <v>0</v>
      </c>
      <c r="AW811" s="146">
        <v>3</v>
      </c>
      <c r="AX811" s="141">
        <v>1.1337491380289069E-4</v>
      </c>
      <c r="AY811" s="228">
        <v>1E-8</v>
      </c>
      <c r="AZ811" s="209">
        <v>276.63104107602163</v>
      </c>
      <c r="BA811" s="146">
        <v>1.1337491380289069E-4</v>
      </c>
      <c r="BB811" s="252">
        <v>84.418271252284981</v>
      </c>
      <c r="BC811" s="244">
        <v>226.309023486309</v>
      </c>
      <c r="BD811" s="229">
        <v>138370.75534528733</v>
      </c>
      <c r="BE811" s="244">
        <v>109.7428167740928</v>
      </c>
      <c r="BF811" s="229">
        <v>471588.51017259038</v>
      </c>
      <c r="BG811" t="s">
        <v>387</v>
      </c>
      <c r="BH811" s="146">
        <v>6.5499803491053342E-6</v>
      </c>
      <c r="BI811" s="146">
        <v>2583707.5534528731</v>
      </c>
      <c r="BJ811">
        <f t="shared" si="50"/>
        <v>0.18252395072436056</v>
      </c>
    </row>
    <row r="812" spans="1:62" s="140" customFormat="1" x14ac:dyDescent="0.3">
      <c r="A812" s="140">
        <v>-0.1</v>
      </c>
      <c r="B812" s="140">
        <v>1900</v>
      </c>
      <c r="C812" s="140">
        <v>25</v>
      </c>
      <c r="D812" s="140">
        <v>400</v>
      </c>
      <c r="E812" s="253">
        <v>21.814820946878513</v>
      </c>
      <c r="F812" s="140">
        <v>8.9917351497159466</v>
      </c>
      <c r="G812" s="140">
        <v>27.179884307264512</v>
      </c>
      <c r="H812" s="140">
        <v>0</v>
      </c>
      <c r="J812" s="140">
        <v>1.0570492147204075E-4</v>
      </c>
      <c r="K812" s="140">
        <v>1E-8</v>
      </c>
      <c r="L812" s="140">
        <v>141.14801454998153</v>
      </c>
      <c r="M812" s="140">
        <v>84.688808071298183</v>
      </c>
      <c r="N812" s="140">
        <v>-2.3882177665355583E-3</v>
      </c>
      <c r="Z812" s="140" t="s">
        <v>35</v>
      </c>
      <c r="AL812" s="140">
        <v>270.38061863361622</v>
      </c>
      <c r="AM812" s="140">
        <v>0.33082315759941178</v>
      </c>
      <c r="AN812" s="140">
        <v>0.29422938777320534</v>
      </c>
      <c r="AO812" s="140">
        <v>325.85777677757471</v>
      </c>
      <c r="AP812" s="140">
        <v>271.57472751688402</v>
      </c>
      <c r="AQ812" s="140" t="s">
        <v>302</v>
      </c>
      <c r="AR812" s="140">
        <v>0</v>
      </c>
      <c r="AS812" s="140">
        <v>0</v>
      </c>
      <c r="AT812" s="140">
        <v>0</v>
      </c>
      <c r="AU812" s="140">
        <v>0</v>
      </c>
      <c r="AV812" s="140">
        <v>0</v>
      </c>
      <c r="AW812" s="140">
        <v>3</v>
      </c>
      <c r="AX812" s="141">
        <v>1.057992989173539E-4</v>
      </c>
      <c r="AY812" s="205">
        <v>1E-8</v>
      </c>
      <c r="AZ812" s="209">
        <v>271.57472751688402</v>
      </c>
      <c r="BA812" s="140">
        <v>1.057992989173539E-4</v>
      </c>
      <c r="BB812" s="253">
        <v>89.77803179309312</v>
      </c>
      <c r="BC812" s="245">
        <v>232.1993251093277</v>
      </c>
      <c r="BD812" s="210">
        <v>144727.88164957924</v>
      </c>
      <c r="BE812" s="245">
        <v>115.47898910188387</v>
      </c>
      <c r="BF812" s="210">
        <v>514343.78545317182</v>
      </c>
      <c r="BG812" t="s">
        <v>387</v>
      </c>
      <c r="BH812" s="140">
        <v>6.6239624279320079E-6</v>
      </c>
      <c r="BI812" s="140">
        <v>2647278.8164957925</v>
      </c>
      <c r="BJ812">
        <f t="shared" si="50"/>
        <v>0.19429150501570877</v>
      </c>
    </row>
    <row r="813" spans="1:62" x14ac:dyDescent="0.3">
      <c r="A813">
        <v>-0.1</v>
      </c>
      <c r="B813" s="146">
        <v>1000</v>
      </c>
      <c r="C813" s="146">
        <v>25</v>
      </c>
      <c r="D813" s="146">
        <v>200</v>
      </c>
      <c r="E813" s="249">
        <v>10.790485416168062</v>
      </c>
      <c r="F813">
        <v>11.515025675634538</v>
      </c>
      <c r="G813">
        <v>17.413994387952798</v>
      </c>
      <c r="H813">
        <v>0</v>
      </c>
      <c r="J813">
        <v>1.0793136923821084E-4</v>
      </c>
      <c r="K813">
        <v>1E-8</v>
      </c>
      <c r="L813">
        <v>111.464961558803</v>
      </c>
      <c r="M813">
        <v>66.878976415111978</v>
      </c>
      <c r="N813">
        <v>-1.2504123795996948E-3</v>
      </c>
      <c r="Z813" t="s">
        <v>35</v>
      </c>
      <c r="AL813">
        <v>135.24328594700873</v>
      </c>
      <c r="AM813">
        <v>0.66125125683977282</v>
      </c>
      <c r="AN813">
        <v>0.28943770391698292</v>
      </c>
      <c r="AO813">
        <v>162.71914380835813</v>
      </c>
      <c r="AP813">
        <v>135.86849213680856</v>
      </c>
      <c r="AQ813" t="s">
        <v>302</v>
      </c>
      <c r="AR813">
        <v>0</v>
      </c>
      <c r="AS813">
        <v>0</v>
      </c>
      <c r="AT813">
        <v>0</v>
      </c>
      <c r="AU813">
        <v>0</v>
      </c>
      <c r="AV813">
        <v>0</v>
      </c>
      <c r="AW813" s="146">
        <v>3</v>
      </c>
      <c r="AX813" s="141">
        <v>1.0805935795334603E-4</v>
      </c>
      <c r="AY813" s="141">
        <v>1E-8</v>
      </c>
      <c r="AZ813" s="209">
        <v>135.86849213680856</v>
      </c>
      <c r="BA813" s="198">
        <v>1.0805935795334603E-4</v>
      </c>
      <c r="BB813" s="249">
        <v>97.57864181622277</v>
      </c>
      <c r="BC813" s="243">
        <v>218.49823167900234</v>
      </c>
      <c r="BD813" s="209">
        <v>147990.4188118203</v>
      </c>
      <c r="BE813" s="244">
        <v>127.90022190798405</v>
      </c>
      <c r="BF813" s="209">
        <v>220101.98990282181</v>
      </c>
      <c r="BG813" t="s">
        <v>388</v>
      </c>
      <c r="BH813">
        <v>3.4854304777746328E-6</v>
      </c>
      <c r="BI813">
        <v>2679904.1881182031</v>
      </c>
      <c r="BJ813">
        <f t="shared" si="50"/>
        <v>8.2130544397325936E-2</v>
      </c>
    </row>
    <row r="814" spans="1:62" x14ac:dyDescent="0.3">
      <c r="A814">
        <v>-0.1</v>
      </c>
      <c r="B814" s="146">
        <v>1000</v>
      </c>
      <c r="C814" s="146">
        <v>25</v>
      </c>
      <c r="D814" s="146">
        <v>300</v>
      </c>
      <c r="E814" s="249">
        <v>14.895308572362586</v>
      </c>
      <c r="F814">
        <v>8.4948311042311389</v>
      </c>
      <c r="G814">
        <v>19.929267021492201</v>
      </c>
      <c r="H814">
        <v>0</v>
      </c>
      <c r="J814">
        <v>1.2357846993814908E-4</v>
      </c>
      <c r="K814">
        <v>1E-8</v>
      </c>
      <c r="L814">
        <v>108.58835193319543</v>
      </c>
      <c r="M814">
        <v>65.15301065317162</v>
      </c>
      <c r="N814">
        <v>-1.9287859048669606E-3</v>
      </c>
      <c r="Z814" t="s">
        <v>35</v>
      </c>
      <c r="AL814">
        <v>209.81195526099941</v>
      </c>
      <c r="AM814">
        <v>0.4262490484507086</v>
      </c>
      <c r="AN814">
        <v>0.28557618299572224</v>
      </c>
      <c r="AO814">
        <v>247.84120854859347</v>
      </c>
      <c r="AP814">
        <v>210.77634821343287</v>
      </c>
      <c r="AQ814" t="s">
        <v>302</v>
      </c>
      <c r="AR814">
        <v>0</v>
      </c>
      <c r="AS814">
        <v>0</v>
      </c>
      <c r="AT814">
        <v>0</v>
      </c>
      <c r="AU814">
        <v>0</v>
      </c>
      <c r="AV814">
        <v>0</v>
      </c>
      <c r="AW814" s="146">
        <v>3</v>
      </c>
      <c r="AX814" s="141">
        <v>1.2372080505545618E-4</v>
      </c>
      <c r="AY814" s="141">
        <v>1E-8</v>
      </c>
      <c r="AZ814" s="209">
        <v>210.77634821343287</v>
      </c>
      <c r="BA814">
        <v>1.2372080505545618E-4</v>
      </c>
      <c r="BB814" s="249">
        <v>79.068096368380608</v>
      </c>
      <c r="BC814" s="243">
        <v>209.31564333704833</v>
      </c>
      <c r="BD814" s="209">
        <v>128563.76547009245</v>
      </c>
      <c r="BE814" s="244">
        <v>105.30151546857034</v>
      </c>
      <c r="BF814" s="209">
        <v>298046.33879344998</v>
      </c>
      <c r="BG814" t="s">
        <v>388</v>
      </c>
      <c r="BH814">
        <v>5.1009681829588971E-6</v>
      </c>
      <c r="BI814">
        <v>2485637.6547009246</v>
      </c>
      <c r="BJ814">
        <f t="shared" si="50"/>
        <v>0.11990739608799149</v>
      </c>
    </row>
    <row r="815" spans="1:62" x14ac:dyDescent="0.3">
      <c r="A815">
        <v>-0.1</v>
      </c>
      <c r="B815" s="146">
        <v>1000</v>
      </c>
      <c r="C815" s="146">
        <v>25</v>
      </c>
      <c r="D815" s="146">
        <v>400</v>
      </c>
      <c r="E815" s="249">
        <v>17.487825506415142</v>
      </c>
      <c r="F815">
        <v>6.5591342643231512</v>
      </c>
      <c r="G815">
        <v>21.501043429893084</v>
      </c>
      <c r="H815">
        <v>0</v>
      </c>
      <c r="J815">
        <v>1.414799907983939E-4</v>
      </c>
      <c r="K815">
        <v>1E-8</v>
      </c>
      <c r="L815">
        <v>106.43809943367597</v>
      </c>
      <c r="M815">
        <v>63.862859163494441</v>
      </c>
      <c r="N815">
        <v>-2.5681416576789403E-3</v>
      </c>
      <c r="Z815" t="s">
        <v>35</v>
      </c>
      <c r="AL815">
        <v>293.22477184560705</v>
      </c>
      <c r="AM815">
        <v>0.30506120717862145</v>
      </c>
      <c r="AN815">
        <v>0.2821750101070446</v>
      </c>
      <c r="AO815">
        <v>338.02489632309732</v>
      </c>
      <c r="AP815">
        <v>294.5088426744465</v>
      </c>
      <c r="AQ815" t="s">
        <v>302</v>
      </c>
      <c r="AR815">
        <v>0</v>
      </c>
      <c r="AS815">
        <v>0</v>
      </c>
      <c r="AT815">
        <v>0</v>
      </c>
      <c r="AU815">
        <v>0</v>
      </c>
      <c r="AV815">
        <v>0</v>
      </c>
      <c r="AW815" s="146">
        <v>3</v>
      </c>
      <c r="AX815" s="141">
        <v>1.4163006955142894E-4</v>
      </c>
      <c r="AY815" s="141">
        <v>1E-8</v>
      </c>
      <c r="AZ815" s="209">
        <v>294.5088426744465</v>
      </c>
      <c r="BA815">
        <v>1.4163006955142894E-4</v>
      </c>
      <c r="BB815" s="249">
        <v>67.164049054273548</v>
      </c>
      <c r="BC815" s="243">
        <v>202.70035915881064</v>
      </c>
      <c r="BD815" s="209">
        <v>115946.31632069063</v>
      </c>
      <c r="BE815" s="244">
        <v>90.75995736773676</v>
      </c>
      <c r="BF815" s="209">
        <v>339437.03262370336</v>
      </c>
      <c r="BG815" t="s">
        <v>388</v>
      </c>
      <c r="BH815">
        <v>6.2209197452461316E-6</v>
      </c>
      <c r="BI815">
        <v>2359463.1632069061</v>
      </c>
      <c r="BJ815">
        <f t="shared" si="50"/>
        <v>0.14386197585825053</v>
      </c>
    </row>
    <row r="816" spans="1:62" x14ac:dyDescent="0.3">
      <c r="A816">
        <v>-0.1</v>
      </c>
      <c r="B816" s="146">
        <v>1000</v>
      </c>
      <c r="C816" s="146">
        <v>25</v>
      </c>
      <c r="D816" s="146">
        <v>500</v>
      </c>
      <c r="E816" s="249">
        <v>19.211640078434101</v>
      </c>
      <c r="F816">
        <v>5.2840189217663713</v>
      </c>
      <c r="G816">
        <v>22.55268420165936</v>
      </c>
      <c r="H816">
        <v>0</v>
      </c>
      <c r="J816">
        <v>1.6086138127306758E-4</v>
      </c>
      <c r="K816">
        <v>1E-8</v>
      </c>
      <c r="L816">
        <v>105.03041176216291</v>
      </c>
      <c r="M816">
        <v>63.018246567155828</v>
      </c>
      <c r="N816">
        <v>-3.1926064296577943E-3</v>
      </c>
      <c r="Z816" t="s">
        <v>35</v>
      </c>
      <c r="AL816">
        <v>381.86295202049263</v>
      </c>
      <c r="AM816">
        <v>0.23429667504401044</v>
      </c>
      <c r="AN816">
        <v>0.27950187002867688</v>
      </c>
      <c r="AO816">
        <v>431.26471720399229</v>
      </c>
      <c r="AP816">
        <v>383.45925523532145</v>
      </c>
      <c r="AQ816" t="s">
        <v>302</v>
      </c>
      <c r="AR816">
        <v>0</v>
      </c>
      <c r="AS816">
        <v>0</v>
      </c>
      <c r="AT816">
        <v>0</v>
      </c>
      <c r="AU816">
        <v>0</v>
      </c>
      <c r="AV816">
        <v>0</v>
      </c>
      <c r="AW816" s="146">
        <v>3</v>
      </c>
      <c r="AX816" s="141">
        <v>1.6101733668706395E-4</v>
      </c>
      <c r="AY816" s="141">
        <v>1E-8</v>
      </c>
      <c r="AZ816" s="209">
        <v>383.45925523532145</v>
      </c>
      <c r="BA816">
        <v>1.6101733668706395E-4</v>
      </c>
      <c r="BB816" s="249">
        <v>59.338664630003741</v>
      </c>
      <c r="BC816" s="243">
        <v>198.47774244582911</v>
      </c>
      <c r="BD816" s="209">
        <v>107746.55588554156</v>
      </c>
      <c r="BE816" s="244">
        <v>81.136122490999426</v>
      </c>
      <c r="BF816" s="209">
        <v>362863.04527770181</v>
      </c>
      <c r="BG816" t="s">
        <v>388</v>
      </c>
      <c r="BH816">
        <v>7.0120962371234415E-6</v>
      </c>
      <c r="BI816">
        <v>2277465.5588554153</v>
      </c>
      <c r="BJ816">
        <f t="shared" si="50"/>
        <v>0.15932756649899271</v>
      </c>
    </row>
    <row r="817" spans="1:62" x14ac:dyDescent="0.3">
      <c r="A817">
        <v>-0.1</v>
      </c>
      <c r="B817" s="146">
        <v>1000</v>
      </c>
      <c r="C817" s="146">
        <v>25</v>
      </c>
      <c r="D817" s="146">
        <v>600</v>
      </c>
      <c r="E817" s="249">
        <v>20.422457251259772</v>
      </c>
      <c r="F817">
        <v>4.4020141209307493</v>
      </c>
      <c r="G817">
        <v>23.298847958740048</v>
      </c>
      <c r="H817">
        <v>0</v>
      </c>
      <c r="J817">
        <v>1.8076713598229714E-4</v>
      </c>
      <c r="K817">
        <v>1E-8</v>
      </c>
      <c r="L817">
        <v>104.06819300114367</v>
      </c>
      <c r="M817">
        <v>62.44091531503463</v>
      </c>
      <c r="N817">
        <v>-3.8032735669090781E-3</v>
      </c>
      <c r="Z817" t="s">
        <v>35</v>
      </c>
      <c r="AL817">
        <v>473.61793088698664</v>
      </c>
      <c r="AM817">
        <v>0.18893698644354778</v>
      </c>
      <c r="AN817">
        <v>0.27724610372951819</v>
      </c>
      <c r="AO817">
        <v>526.33816318232573</v>
      </c>
      <c r="AP817">
        <v>475.51956767044129</v>
      </c>
      <c r="AQ817" t="s">
        <v>302</v>
      </c>
      <c r="AR817">
        <v>0</v>
      </c>
      <c r="AS817">
        <v>0</v>
      </c>
      <c r="AT817">
        <v>0</v>
      </c>
      <c r="AU817">
        <v>0</v>
      </c>
      <c r="AV817">
        <v>0</v>
      </c>
      <c r="AW817" s="146">
        <v>3</v>
      </c>
      <c r="AX817" s="141">
        <v>1.8092792618876958E-4</v>
      </c>
      <c r="AY817" s="141">
        <v>1E-8</v>
      </c>
      <c r="AZ817" s="209">
        <v>475.51956767044129</v>
      </c>
      <c r="BA817">
        <v>1.8092792618876958E-4</v>
      </c>
      <c r="BB817" s="249">
        <v>53.944537700595639</v>
      </c>
      <c r="BC817" s="243">
        <v>195.63853350398844</v>
      </c>
      <c r="BD817" s="209">
        <v>102178.51469093202</v>
      </c>
      <c r="BE817" s="244">
        <v>74.514925301972397</v>
      </c>
      <c r="BF817" s="209">
        <v>377306.63692217821</v>
      </c>
      <c r="BG817" t="s">
        <v>388</v>
      </c>
      <c r="BH817">
        <v>7.5897906286516437E-6</v>
      </c>
      <c r="BI817">
        <v>2221785.1469093203</v>
      </c>
      <c r="BJ817">
        <f t="shared" si="50"/>
        <v>0.16982138774626418</v>
      </c>
    </row>
    <row r="818" spans="1:62" x14ac:dyDescent="0.3">
      <c r="A818">
        <v>-0.1</v>
      </c>
      <c r="B818" s="146">
        <v>1000</v>
      </c>
      <c r="C818" s="146">
        <v>25</v>
      </c>
      <c r="D818" s="146">
        <v>700</v>
      </c>
      <c r="E818" s="249">
        <v>21.011492411996567</v>
      </c>
      <c r="F818">
        <v>3.7943701052444232</v>
      </c>
      <c r="G818">
        <v>23.567256543861365</v>
      </c>
      <c r="H818">
        <v>0</v>
      </c>
      <c r="J818">
        <v>4.1154176007775795E-2</v>
      </c>
      <c r="K818">
        <v>1E-8</v>
      </c>
      <c r="L818">
        <v>103.99606970957132</v>
      </c>
      <c r="M818">
        <v>62.397641340427796</v>
      </c>
      <c r="N818">
        <v>-0.55378851064803236</v>
      </c>
      <c r="Z818" t="s">
        <v>35</v>
      </c>
      <c r="AL818">
        <v>296.48028314545581</v>
      </c>
      <c r="AM818">
        <v>0.16100177371866198</v>
      </c>
      <c r="AN818">
        <v>0.28263559650042303</v>
      </c>
      <c r="AO818">
        <v>625.65871860388575</v>
      </c>
      <c r="AP818">
        <v>573.3745384694721</v>
      </c>
      <c r="AQ818" t="s">
        <v>302</v>
      </c>
      <c r="AR818">
        <v>0</v>
      </c>
      <c r="AS818">
        <v>0</v>
      </c>
      <c r="AT818">
        <v>0</v>
      </c>
      <c r="AU818">
        <v>0</v>
      </c>
      <c r="AV818">
        <v>0</v>
      </c>
      <c r="AW818" s="146">
        <v>3</v>
      </c>
      <c r="AX818" s="141">
        <v>5.0000010000000004E-2</v>
      </c>
      <c r="AY818" s="141">
        <v>1E-8</v>
      </c>
      <c r="AZ818" s="209">
        <v>573.3745384694721</v>
      </c>
      <c r="BA818">
        <v>5.0000010000000004E-2</v>
      </c>
      <c r="BB818" s="249">
        <v>49.960114570536255</v>
      </c>
      <c r="BC818" s="243">
        <v>195.42722674161695</v>
      </c>
      <c r="BD818" s="209">
        <v>97725.360527929995</v>
      </c>
      <c r="BE818" s="244">
        <v>68.004404955417499</v>
      </c>
      <c r="BF818" s="209">
        <v>378926.98734181939</v>
      </c>
      <c r="BG818" t="s">
        <v>388</v>
      </c>
      <c r="BH818">
        <v>7.9506994764167904E-6</v>
      </c>
      <c r="BI818">
        <v>2177253.6052792999</v>
      </c>
      <c r="BJ818">
        <f t="shared" si="50"/>
        <v>0.1740389757183157</v>
      </c>
    </row>
    <row r="819" spans="1:62" x14ac:dyDescent="0.3">
      <c r="A819">
        <v>-0.1</v>
      </c>
      <c r="B819" s="146">
        <v>1000</v>
      </c>
      <c r="C819" s="146">
        <v>25</v>
      </c>
      <c r="D819" s="146">
        <v>800</v>
      </c>
      <c r="E819" s="249">
        <v>21.981348357335822</v>
      </c>
      <c r="F819">
        <v>3.2781974506978022</v>
      </c>
      <c r="G819">
        <v>24.265807001333837</v>
      </c>
      <c r="H819">
        <v>0</v>
      </c>
      <c r="J819">
        <v>2.2119660243054604E-4</v>
      </c>
      <c r="K819">
        <v>1E-8</v>
      </c>
      <c r="L819">
        <v>102.84132158906448</v>
      </c>
      <c r="M819">
        <v>61.704792473512526</v>
      </c>
      <c r="N819">
        <v>-4.9941148966121274E-3</v>
      </c>
      <c r="Z819" t="s">
        <v>35</v>
      </c>
      <c r="AL819">
        <v>662.53880256364391</v>
      </c>
      <c r="AM819">
        <v>0.1350953401433386</v>
      </c>
      <c r="AN819">
        <v>0.27385405959184128</v>
      </c>
      <c r="AO819">
        <v>719.73334852111611</v>
      </c>
      <c r="AP819">
        <v>665.03586001194981</v>
      </c>
      <c r="AQ819" t="s">
        <v>302</v>
      </c>
      <c r="AR819">
        <v>0</v>
      </c>
      <c r="AS819">
        <v>0</v>
      </c>
      <c r="AT819">
        <v>0</v>
      </c>
      <c r="AU819">
        <v>0</v>
      </c>
      <c r="AV819">
        <v>0</v>
      </c>
      <c r="AW819" s="146">
        <v>3</v>
      </c>
      <c r="AX819" s="141">
        <v>2.2136456279705163E-4</v>
      </c>
      <c r="AY819" s="141">
        <v>1E-8</v>
      </c>
      <c r="AZ819" s="209">
        <v>665.03586001194981</v>
      </c>
      <c r="BA819">
        <v>2.2136456279705163E-4</v>
      </c>
      <c r="BB819" s="249">
        <v>47.087773944113906</v>
      </c>
      <c r="BC819" s="243">
        <v>192.07207551204721</v>
      </c>
      <c r="BD819" s="209">
        <v>95162.336777988225</v>
      </c>
      <c r="BE819" s="244">
        <v>66.071891947597564</v>
      </c>
      <c r="BF819" s="209">
        <v>393072.06219042826</v>
      </c>
      <c r="BG819" t="s">
        <v>388</v>
      </c>
      <c r="BH819">
        <v>8.3660210929714069E-6</v>
      </c>
      <c r="BI819">
        <v>2151623.3677798822</v>
      </c>
      <c r="BJ819">
        <f t="shared" si="50"/>
        <v>0.18268627682548982</v>
      </c>
    </row>
    <row r="820" spans="1:62" x14ac:dyDescent="0.3">
      <c r="A820">
        <v>-0.1</v>
      </c>
      <c r="B820" s="146">
        <v>1000</v>
      </c>
      <c r="C820" s="146">
        <v>25</v>
      </c>
      <c r="D820" s="146">
        <v>900</v>
      </c>
      <c r="E820" s="249">
        <v>22.513777327458939</v>
      </c>
      <c r="F820">
        <v>2.9029020754809731</v>
      </c>
      <c r="G820">
        <v>24.600819439467458</v>
      </c>
      <c r="H820">
        <v>0</v>
      </c>
      <c r="J820">
        <v>2.4139924725057193E-4</v>
      </c>
      <c r="K820">
        <v>1E-8</v>
      </c>
      <c r="L820">
        <v>102.46192452512211</v>
      </c>
      <c r="M820">
        <v>61.477154236917613</v>
      </c>
      <c r="N820">
        <v>-5.5773101046949309E-3</v>
      </c>
      <c r="Z820" t="s">
        <v>35</v>
      </c>
      <c r="AL820">
        <v>758.59342199497621</v>
      </c>
      <c r="AM820">
        <v>0.11800021875790871</v>
      </c>
      <c r="AN820">
        <v>0.27257839730826228</v>
      </c>
      <c r="AO820">
        <v>817.4043961304908</v>
      </c>
      <c r="AP820">
        <v>761.38207704732372</v>
      </c>
      <c r="AQ820" t="s">
        <v>302</v>
      </c>
      <c r="AR820">
        <v>0</v>
      </c>
      <c r="AS820">
        <v>0</v>
      </c>
      <c r="AT820">
        <v>0</v>
      </c>
      <c r="AU820">
        <v>0</v>
      </c>
      <c r="AV820">
        <v>0</v>
      </c>
      <c r="AW820" s="146">
        <v>3</v>
      </c>
      <c r="AX820" s="141">
        <v>2.4156979995497291E-4</v>
      </c>
      <c r="AY820" s="141">
        <v>1E-8</v>
      </c>
      <c r="AZ820" s="209">
        <v>761.38207704732372</v>
      </c>
      <c r="BA820">
        <v>2.4156979995497291E-4</v>
      </c>
      <c r="BB820" s="249">
        <v>44.810076425500036</v>
      </c>
      <c r="BC820" s="243">
        <v>190.98107072635517</v>
      </c>
      <c r="BD820" s="209">
        <v>92876.104595713623</v>
      </c>
      <c r="BE820" s="244">
        <v>63.255358980858105</v>
      </c>
      <c r="BF820" s="209">
        <v>397898.38734720467</v>
      </c>
      <c r="BG820" t="s">
        <v>388</v>
      </c>
      <c r="BH820">
        <v>8.6370007920549546E-6</v>
      </c>
      <c r="BI820">
        <v>2128761.045957136</v>
      </c>
      <c r="BJ820">
        <f t="shared" si="50"/>
        <v>0.1869154774806118</v>
      </c>
    </row>
    <row r="821" spans="1:62" x14ac:dyDescent="0.3">
      <c r="A821">
        <v>-0.1</v>
      </c>
      <c r="B821" s="146">
        <v>1000</v>
      </c>
      <c r="C821" s="146">
        <v>25</v>
      </c>
      <c r="D821" s="146">
        <v>1000</v>
      </c>
      <c r="E821" s="249">
        <v>22.949300279968192</v>
      </c>
      <c r="F821">
        <v>2.6040999007664074</v>
      </c>
      <c r="G821">
        <v>24.879460366772371</v>
      </c>
      <c r="H821">
        <v>0</v>
      </c>
      <c r="J821">
        <v>2.6153766629593065E-4</v>
      </c>
      <c r="K821">
        <v>1E-8</v>
      </c>
      <c r="L821">
        <v>102.19339969320043</v>
      </c>
      <c r="M821">
        <v>61.316039339017728</v>
      </c>
      <c r="N821">
        <v>-6.1553752576681137E-3</v>
      </c>
      <c r="Z821" t="s">
        <v>35</v>
      </c>
      <c r="AL821">
        <v>855.28099825525919</v>
      </c>
      <c r="AM821">
        <v>0.10466866492989932</v>
      </c>
      <c r="AN821">
        <v>0.27147603388431935</v>
      </c>
      <c r="AO821">
        <v>915.46472831650658</v>
      </c>
      <c r="AP821">
        <v>858.35868588409335</v>
      </c>
      <c r="AQ821" t="s">
        <v>302</v>
      </c>
      <c r="AR821">
        <v>0</v>
      </c>
      <c r="AS821">
        <v>0</v>
      </c>
      <c r="AT821">
        <v>0</v>
      </c>
      <c r="AU821">
        <v>0</v>
      </c>
      <c r="AV821">
        <v>0</v>
      </c>
      <c r="AW821" s="146">
        <v>3</v>
      </c>
      <c r="AX821" s="141">
        <v>2.617104748059179E-4</v>
      </c>
      <c r="AY821" s="141">
        <v>1E-8</v>
      </c>
      <c r="AZ821" s="209">
        <v>858.35868588409335</v>
      </c>
      <c r="BA821">
        <v>2.617104748059179E-4</v>
      </c>
      <c r="BB821" s="249">
        <v>43.008533388910202</v>
      </c>
      <c r="BC821" s="243">
        <v>190.21222724034723</v>
      </c>
      <c r="BD821" s="209">
        <v>91112.179050090301</v>
      </c>
      <c r="BE821" s="244">
        <v>61.031827328042574</v>
      </c>
      <c r="BF821" s="209">
        <v>401843.90519402933</v>
      </c>
      <c r="BG821" t="s">
        <v>388</v>
      </c>
      <c r="BH821">
        <v>8.8577333240979501E-6</v>
      </c>
      <c r="BI821">
        <v>2111121.790500903</v>
      </c>
      <c r="BJ821">
        <f t="shared" si="50"/>
        <v>0.19034615009050918</v>
      </c>
    </row>
    <row r="822" spans="1:62" s="140" customFormat="1" x14ac:dyDescent="0.3">
      <c r="A822" s="140">
        <v>-0.1</v>
      </c>
      <c r="B822" s="140">
        <v>1000</v>
      </c>
      <c r="C822" s="140">
        <v>25</v>
      </c>
      <c r="D822" s="140">
        <v>1100</v>
      </c>
      <c r="E822" s="253">
        <v>23.30169788086701</v>
      </c>
      <c r="F822" s="140">
        <v>2.3594470042022277</v>
      </c>
      <c r="G822" s="140">
        <v>25.103240449680012</v>
      </c>
      <c r="H822" s="140">
        <v>0</v>
      </c>
      <c r="J822" s="140">
        <v>2.8143129073301059E-4</v>
      </c>
      <c r="K822" s="140">
        <v>1E-8</v>
      </c>
      <c r="L822" s="140">
        <v>101.95329120716468</v>
      </c>
      <c r="M822" s="140">
        <v>61.17197424851679</v>
      </c>
      <c r="N822" s="140">
        <v>-6.7217833440534752E-3</v>
      </c>
      <c r="Z822" s="140" t="s">
        <v>35</v>
      </c>
      <c r="AL822" s="140">
        <v>952.52285809098601</v>
      </c>
      <c r="AM822" s="140">
        <v>9.3989738453559027E-2</v>
      </c>
      <c r="AN822" s="140">
        <v>0.27053064035863544</v>
      </c>
      <c r="AO822" s="140">
        <v>1013.8666960238717</v>
      </c>
      <c r="AP822" s="140">
        <v>955.88374976301282</v>
      </c>
      <c r="AQ822" s="140" t="s">
        <v>302</v>
      </c>
      <c r="AR822" s="140">
        <v>0</v>
      </c>
      <c r="AS822" s="140">
        <v>0</v>
      </c>
      <c r="AT822" s="140">
        <v>0</v>
      </c>
      <c r="AU822" s="140">
        <v>0</v>
      </c>
      <c r="AV822" s="140">
        <v>0</v>
      </c>
      <c r="AW822" s="140">
        <v>3</v>
      </c>
      <c r="AX822" s="141">
        <v>2.8160571891731276E-4</v>
      </c>
      <c r="AY822" s="205">
        <v>1E-8</v>
      </c>
      <c r="AZ822" s="209">
        <v>955.88374976301282</v>
      </c>
      <c r="BA822" s="140">
        <v>2.8160571891731276E-4</v>
      </c>
      <c r="BB822" s="253">
        <v>41.529102860924276</v>
      </c>
      <c r="BC822" s="245">
        <v>189.527066844849</v>
      </c>
      <c r="BD822" s="210">
        <v>89644.044400924977</v>
      </c>
      <c r="BE822" s="245">
        <v>59.20055983990477</v>
      </c>
      <c r="BF822" s="210">
        <v>404694.5297829294</v>
      </c>
      <c r="BG822" t="s">
        <v>388</v>
      </c>
      <c r="BH822" s="140">
        <v>9.040940883167003E-6</v>
      </c>
      <c r="BI822" s="140">
        <v>2096440.4440092498</v>
      </c>
      <c r="BJ822">
        <f t="shared" si="50"/>
        <v>0.19303888690917845</v>
      </c>
    </row>
    <row r="823" spans="1:62" x14ac:dyDescent="0.3">
      <c r="A823">
        <v>-0.1</v>
      </c>
      <c r="B823" s="146">
        <v>1000</v>
      </c>
      <c r="C823" s="146">
        <v>25</v>
      </c>
      <c r="D823" s="146">
        <v>400</v>
      </c>
      <c r="E823" s="249">
        <v>17.484493958374784</v>
      </c>
      <c r="F823">
        <v>6.556874418778361</v>
      </c>
      <c r="G823">
        <v>21.496369129538813</v>
      </c>
      <c r="H823">
        <v>0</v>
      </c>
      <c r="J823">
        <v>1.4159096822097763E-4</v>
      </c>
      <c r="K823">
        <v>1E-8</v>
      </c>
      <c r="L823">
        <v>106.42934112119124</v>
      </c>
      <c r="M823">
        <v>63.857604176044489</v>
      </c>
      <c r="N823">
        <v>-2.5696522474064382E-3</v>
      </c>
      <c r="Z823" t="s">
        <v>35</v>
      </c>
      <c r="AL823">
        <v>293.26147217468929</v>
      </c>
      <c r="AM823">
        <v>0.30502241468157343</v>
      </c>
      <c r="AN823">
        <v>0.28225359418886026</v>
      </c>
      <c r="AO823">
        <v>338.05395460553234</v>
      </c>
      <c r="AP823">
        <v>294.54629829839251</v>
      </c>
      <c r="AQ823" t="s">
        <v>302</v>
      </c>
      <c r="AR823">
        <v>0</v>
      </c>
      <c r="AS823">
        <v>0</v>
      </c>
      <c r="AT823">
        <v>0</v>
      </c>
      <c r="AU823">
        <v>0</v>
      </c>
      <c r="AV823">
        <v>0</v>
      </c>
      <c r="AW823" s="146">
        <v>3</v>
      </c>
      <c r="AX823" s="141">
        <v>1.4174103062886758E-4</v>
      </c>
      <c r="AY823" s="141">
        <v>1E-8</v>
      </c>
      <c r="AZ823" s="209">
        <v>294.54629829839251</v>
      </c>
      <c r="BA823" s="198">
        <v>1.4174103062886758E-4</v>
      </c>
      <c r="BB823" s="249">
        <v>67.143642289836194</v>
      </c>
      <c r="BC823" s="243">
        <v>202.67382793157807</v>
      </c>
      <c r="BD823" s="209">
        <v>115895.83674739198</v>
      </c>
      <c r="BE823" s="244">
        <v>90.701356778360449</v>
      </c>
      <c r="BF823" s="209">
        <v>339265.73155180516</v>
      </c>
      <c r="BG823" t="s">
        <v>389</v>
      </c>
      <c r="BH823">
        <v>6.2213235500244065E-6</v>
      </c>
      <c r="BI823">
        <v>2358958.3674739199</v>
      </c>
      <c r="BJ823">
        <f t="shared" si="50"/>
        <v>0.14382014376756735</v>
      </c>
    </row>
    <row r="824" spans="1:62" x14ac:dyDescent="0.3">
      <c r="A824">
        <v>-0.1</v>
      </c>
      <c r="B824" s="146">
        <v>1000</v>
      </c>
      <c r="C824" s="146">
        <v>25</v>
      </c>
      <c r="D824" s="146">
        <v>400</v>
      </c>
      <c r="E824" s="249">
        <v>16.914194497801351</v>
      </c>
      <c r="F824">
        <v>6.2451530063509102</v>
      </c>
      <c r="G824">
        <v>20.730996554842569</v>
      </c>
      <c r="H824">
        <v>0</v>
      </c>
      <c r="J824">
        <v>1.3718498812574761E-4</v>
      </c>
      <c r="K824">
        <v>1E-8</v>
      </c>
      <c r="L824">
        <v>102.60785302406913</v>
      </c>
      <c r="M824">
        <v>61.564711335604827</v>
      </c>
      <c r="N824">
        <v>-2.4071358949912303E-3</v>
      </c>
      <c r="Z824" t="s">
        <v>35</v>
      </c>
      <c r="AL824">
        <v>297.0340292586784</v>
      </c>
      <c r="AM824">
        <v>0.30124711997465942</v>
      </c>
      <c r="AN824">
        <v>0.28344487845713873</v>
      </c>
      <c r="AO824">
        <v>340.32633579456598</v>
      </c>
      <c r="AP824">
        <v>298.23759720617409</v>
      </c>
      <c r="AQ824" t="s">
        <v>302</v>
      </c>
      <c r="AR824">
        <v>0</v>
      </c>
      <c r="AS824">
        <v>0</v>
      </c>
      <c r="AT824">
        <v>0</v>
      </c>
      <c r="AU824">
        <v>0</v>
      </c>
      <c r="AV824">
        <v>0</v>
      </c>
      <c r="AW824" s="146">
        <v>2.5</v>
      </c>
      <c r="AX824" s="141">
        <v>1.3731627201743165E-4</v>
      </c>
      <c r="AY824" s="141">
        <v>1E-8</v>
      </c>
      <c r="AZ824" s="209">
        <v>298.23759720617409</v>
      </c>
      <c r="BA824">
        <v>1.3731627201743165E-4</v>
      </c>
      <c r="BB824" s="249">
        <v>64.208145465184231</v>
      </c>
      <c r="BC824" s="243">
        <v>191.40005139767325</v>
      </c>
      <c r="BD824" s="209">
        <v>108519.05314830311</v>
      </c>
      <c r="BE824" s="244">
        <v>86.290170148632498</v>
      </c>
      <c r="BF824" s="209">
        <v>387813.1671617495</v>
      </c>
      <c r="BG824" t="s">
        <v>389</v>
      </c>
      <c r="BH824">
        <v>6.0600792614975843E-6</v>
      </c>
      <c r="BI824">
        <v>2285190.5314830309</v>
      </c>
      <c r="BJ824">
        <f t="shared" si="50"/>
        <v>0.1697071477493251</v>
      </c>
    </row>
    <row r="825" spans="1:62" x14ac:dyDescent="0.3">
      <c r="A825">
        <v>-0.1</v>
      </c>
      <c r="B825" s="146">
        <v>1000</v>
      </c>
      <c r="C825" s="146">
        <v>25</v>
      </c>
      <c r="D825" s="146">
        <v>400</v>
      </c>
      <c r="E825" s="249">
        <v>14.761627359713211</v>
      </c>
      <c r="F825">
        <v>5.1542264754594624</v>
      </c>
      <c r="G825">
        <v>17.902406510728422</v>
      </c>
      <c r="H825">
        <v>0</v>
      </c>
      <c r="J825">
        <v>1.2518080655104797E-4</v>
      </c>
      <c r="K825">
        <v>1E-8</v>
      </c>
      <c r="L825">
        <v>88.661088134099529</v>
      </c>
      <c r="M825">
        <v>53.196652466707967</v>
      </c>
      <c r="N825">
        <v>-1.9134320653461853E-3</v>
      </c>
      <c r="Z825" t="s">
        <v>35</v>
      </c>
      <c r="AL825">
        <v>311.09971446878325</v>
      </c>
      <c r="AM825">
        <v>0.28790690639108635</v>
      </c>
      <c r="AN825">
        <v>0.28824896783648496</v>
      </c>
      <c r="AO825">
        <v>348.78862023163583</v>
      </c>
      <c r="AP825">
        <v>312.0564305014563</v>
      </c>
      <c r="AQ825" t="s">
        <v>302</v>
      </c>
      <c r="AR825">
        <v>0</v>
      </c>
      <c r="AS825">
        <v>0</v>
      </c>
      <c r="AT825">
        <v>0</v>
      </c>
      <c r="AU825">
        <v>0</v>
      </c>
      <c r="AV825">
        <v>0</v>
      </c>
      <c r="AW825" s="146">
        <v>1.5</v>
      </c>
      <c r="AX825" s="141">
        <v>1.2526341610124355E-4</v>
      </c>
      <c r="AY825" s="141">
        <v>1E-8</v>
      </c>
      <c r="AZ825" s="209">
        <v>312.0564305014563</v>
      </c>
      <c r="BA825">
        <v>1.2526341610124355E-4</v>
      </c>
      <c r="BB825" s="249">
        <v>53.784805606969897</v>
      </c>
      <c r="BC825" s="243">
        <v>154.62691974024813</v>
      </c>
      <c r="BD825" s="209">
        <v>84277.381914008321</v>
      </c>
      <c r="BE825" s="244">
        <v>70.839445573943465</v>
      </c>
      <c r="BF825" s="209">
        <v>508483.5682066881</v>
      </c>
      <c r="BG825" t="s">
        <v>389</v>
      </c>
      <c r="BH825">
        <v>5.4930104739405707E-6</v>
      </c>
      <c r="BI825">
        <v>2042773.8191400832</v>
      </c>
      <c r="BJ825">
        <f t="shared" si="50"/>
        <v>0.24891819321472264</v>
      </c>
    </row>
    <row r="826" spans="1:62" x14ac:dyDescent="0.3">
      <c r="A826">
        <v>-0.1</v>
      </c>
      <c r="B826" s="146">
        <v>1000</v>
      </c>
      <c r="C826" s="146">
        <v>25</v>
      </c>
      <c r="D826" s="146">
        <v>400</v>
      </c>
      <c r="E826" s="249">
        <v>12.773867309454866</v>
      </c>
      <c r="F826">
        <v>4.2546012366480381</v>
      </c>
      <c r="G826">
        <v>15.362130944000423</v>
      </c>
      <c r="H826">
        <v>0</v>
      </c>
      <c r="J826">
        <v>1.1661055127082423E-4</v>
      </c>
      <c r="K826">
        <v>1E-8</v>
      </c>
      <c r="L826">
        <v>76.037703793537645</v>
      </c>
      <c r="M826">
        <v>45.622621921279972</v>
      </c>
      <c r="N826">
        <v>-1.5402647325750338E-3</v>
      </c>
      <c r="Z826" t="s">
        <v>35</v>
      </c>
      <c r="AL826">
        <v>323.62757201587652</v>
      </c>
      <c r="AM826">
        <v>0.27695384528079708</v>
      </c>
      <c r="AN826">
        <v>0.29153285857492467</v>
      </c>
      <c r="AO826">
        <v>356.18378191776981</v>
      </c>
      <c r="AP826">
        <v>324.39770438216402</v>
      </c>
      <c r="AQ826" t="s">
        <v>302</v>
      </c>
      <c r="AR826">
        <v>0</v>
      </c>
      <c r="AS826">
        <v>0</v>
      </c>
      <c r="AT826">
        <v>0</v>
      </c>
      <c r="AU826">
        <v>0</v>
      </c>
      <c r="AV826">
        <v>0</v>
      </c>
      <c r="AW826" s="146">
        <v>1</v>
      </c>
      <c r="AX826" s="141">
        <v>1.1666613826943817E-4</v>
      </c>
      <c r="AY826" s="141">
        <v>1E-8</v>
      </c>
      <c r="AZ826" s="209">
        <v>324.39770438216402</v>
      </c>
      <c r="BA826">
        <v>1.1666613826943817E-4</v>
      </c>
      <c r="BB826" s="249">
        <v>44.981570556417402</v>
      </c>
      <c r="BC826" s="243">
        <v>125.91726242339196</v>
      </c>
      <c r="BD826" s="209">
        <v>65930.663221125404</v>
      </c>
      <c r="BE826" s="244">
        <v>58.467944065223314</v>
      </c>
      <c r="BF826" s="209">
        <v>575757.92319111875</v>
      </c>
      <c r="BG826" t="s">
        <v>389</v>
      </c>
      <c r="BH826">
        <v>4.9354615017859242E-6</v>
      </c>
      <c r="BI826">
        <v>1859306.632211254</v>
      </c>
      <c r="BJ826">
        <f t="shared" si="50"/>
        <v>0.3096627060951081</v>
      </c>
    </row>
    <row r="827" spans="1:62" x14ac:dyDescent="0.3">
      <c r="A827">
        <v>-0.1</v>
      </c>
      <c r="B827" s="146">
        <v>1000</v>
      </c>
      <c r="C827" s="146">
        <v>25</v>
      </c>
      <c r="D827" s="146">
        <v>400</v>
      </c>
      <c r="E827" s="249">
        <v>11.678270632037213</v>
      </c>
      <c r="F827">
        <v>3.7950687555331579</v>
      </c>
      <c r="G827">
        <v>13.985637751158075</v>
      </c>
      <c r="H827">
        <v>0</v>
      </c>
      <c r="J827">
        <v>1.1271716622898781E-4</v>
      </c>
      <c r="K827">
        <v>1E-8</v>
      </c>
      <c r="L827">
        <v>69.1880347418182</v>
      </c>
      <c r="M827">
        <v>41.512820522213417</v>
      </c>
      <c r="N827">
        <v>-1.3602255321979286E-3</v>
      </c>
      <c r="Z827" t="s">
        <v>35</v>
      </c>
      <c r="AL827">
        <v>330.41119408558012</v>
      </c>
      <c r="AM827">
        <v>0.27135471567743907</v>
      </c>
      <c r="AN827">
        <v>0.2930636225479164</v>
      </c>
      <c r="AO827">
        <v>360.15107391867514</v>
      </c>
      <c r="AP827">
        <v>331.09130685167906</v>
      </c>
      <c r="AQ827" t="s">
        <v>302</v>
      </c>
      <c r="AR827">
        <v>0</v>
      </c>
      <c r="AS827">
        <v>0</v>
      </c>
      <c r="AT827">
        <v>0</v>
      </c>
      <c r="AU827">
        <v>0</v>
      </c>
      <c r="AV827">
        <v>0</v>
      </c>
      <c r="AW827" s="146">
        <v>0.8</v>
      </c>
      <c r="AX827" s="141">
        <v>1.1276212985539003E-4</v>
      </c>
      <c r="AY827" s="141">
        <v>1E-8</v>
      </c>
      <c r="AZ827" s="209">
        <v>331.09130685167906</v>
      </c>
      <c r="BA827">
        <v>1.1276212985539003E-4</v>
      </c>
      <c r="BB827" s="249">
        <v>40.405930432970237</v>
      </c>
      <c r="BC827" s="243">
        <v>111.72622087967159</v>
      </c>
      <c r="BD827" s="209">
        <v>57107.973056322022</v>
      </c>
      <c r="BE827" s="244">
        <v>52.206875662041675</v>
      </c>
      <c r="BF827" s="209">
        <v>601282.29967061605</v>
      </c>
      <c r="BG827" t="s">
        <v>389</v>
      </c>
      <c r="BH827">
        <v>4.604356198704136E-6</v>
      </c>
      <c r="BI827">
        <v>1771079.7305632201</v>
      </c>
      <c r="BJ827">
        <f t="shared" si="50"/>
        <v>0.33950041282410398</v>
      </c>
    </row>
    <row r="828" spans="1:62" x14ac:dyDescent="0.3">
      <c r="A828">
        <v>-0.1</v>
      </c>
      <c r="B828" s="146">
        <v>1000</v>
      </c>
      <c r="C828" s="146">
        <v>25</v>
      </c>
      <c r="D828" s="146">
        <v>400</v>
      </c>
      <c r="E828" s="249">
        <v>10.318288296247152</v>
      </c>
      <c r="F828">
        <v>3.2558928837218364</v>
      </c>
      <c r="G828">
        <v>12.296955574777551</v>
      </c>
      <c r="H828">
        <v>0</v>
      </c>
      <c r="J828">
        <v>1.0863881034346567E-4</v>
      </c>
      <c r="K828">
        <v>1E-8</v>
      </c>
      <c r="L828">
        <v>60.790878609443233</v>
      </c>
      <c r="M828">
        <v>36.474526881975166</v>
      </c>
      <c r="N828">
        <v>-1.1574556708343585E-3</v>
      </c>
      <c r="Z828" t="s">
        <v>35</v>
      </c>
      <c r="AL828">
        <v>338.74374723601363</v>
      </c>
      <c r="AM828">
        <v>0.26477227342351645</v>
      </c>
      <c r="AN828">
        <v>0.29479261229835224</v>
      </c>
      <c r="AO828">
        <v>364.99814491346797</v>
      </c>
      <c r="AP828">
        <v>339.3224750714308</v>
      </c>
      <c r="AQ828" t="s">
        <v>302</v>
      </c>
      <c r="AR828">
        <v>0</v>
      </c>
      <c r="AS828">
        <v>0</v>
      </c>
      <c r="AT828">
        <v>0</v>
      </c>
      <c r="AU828">
        <v>0</v>
      </c>
      <c r="AV828">
        <v>0</v>
      </c>
      <c r="AW828" s="146">
        <v>0.6</v>
      </c>
      <c r="AX828" s="141">
        <v>1.0867343656247898E-4</v>
      </c>
      <c r="AY828" s="141">
        <v>1E-8</v>
      </c>
      <c r="AZ828" s="209">
        <v>339.3224750714308</v>
      </c>
      <c r="BA828">
        <v>1.0867343656247898E-4</v>
      </c>
      <c r="BB828" s="249">
        <v>34.963644517656313</v>
      </c>
      <c r="BC828" s="243">
        <v>95.412021750304319</v>
      </c>
      <c r="BD828" s="209">
        <v>47226.876141682435</v>
      </c>
      <c r="BE828" s="244">
        <v>44.876312917487738</v>
      </c>
      <c r="BF828" s="209">
        <v>623491.18776609562</v>
      </c>
      <c r="BG828" t="s">
        <v>389</v>
      </c>
      <c r="BH828">
        <v>4.1677588092453288E-6</v>
      </c>
      <c r="BI828">
        <v>1672268.7614168243</v>
      </c>
      <c r="BJ828">
        <f t="shared" si="50"/>
        <v>0.37284149662512667</v>
      </c>
    </row>
    <row r="829" spans="1:62" x14ac:dyDescent="0.3">
      <c r="A829">
        <v>-0.1</v>
      </c>
      <c r="B829" s="146">
        <v>1000</v>
      </c>
      <c r="C829" s="146">
        <v>25</v>
      </c>
      <c r="D829" s="146">
        <v>400</v>
      </c>
      <c r="E829" s="249">
        <v>8.5677728319564519</v>
      </c>
      <c r="F829">
        <v>2.607497787489621</v>
      </c>
      <c r="G829">
        <v>10.152012513946611</v>
      </c>
      <c r="H829">
        <v>0</v>
      </c>
      <c r="J829">
        <v>1.0415487304361392E-4</v>
      </c>
      <c r="K829">
        <v>1E-8</v>
      </c>
      <c r="L829">
        <v>50.115287354890484</v>
      </c>
      <c r="M829">
        <v>30.069172179062946</v>
      </c>
      <c r="N829">
        <v>-9.2061508532417574E-4</v>
      </c>
      <c r="Z829" t="s">
        <v>35</v>
      </c>
      <c r="AL829">
        <v>349.33445684094858</v>
      </c>
      <c r="AM829">
        <v>0.25684540714538107</v>
      </c>
      <c r="AN829">
        <v>0.29661113189328464</v>
      </c>
      <c r="AO829">
        <v>371.11445960484389</v>
      </c>
      <c r="AP829">
        <v>349.79476438361064</v>
      </c>
      <c r="AQ829" t="s">
        <v>302</v>
      </c>
      <c r="AR829">
        <v>0</v>
      </c>
      <c r="AS829">
        <v>0</v>
      </c>
      <c r="AT829">
        <v>0</v>
      </c>
      <c r="AU829">
        <v>0</v>
      </c>
      <c r="AV829">
        <v>0</v>
      </c>
      <c r="AW829" s="146">
        <v>0.4</v>
      </c>
      <c r="AX829" s="141">
        <v>1.0417942797058918E-4</v>
      </c>
      <c r="AY829" s="141">
        <v>1E-8</v>
      </c>
      <c r="AZ829" s="209">
        <v>349.79476438361064</v>
      </c>
      <c r="BA829">
        <v>1.0417942797058918E-4</v>
      </c>
      <c r="BB829" s="249">
        <v>28.304741559730225</v>
      </c>
      <c r="BC829" s="243">
        <v>76.114198150913282</v>
      </c>
      <c r="BD829" s="209">
        <v>36030.377665143533</v>
      </c>
      <c r="BE829" s="244">
        <v>36.082117147226171</v>
      </c>
      <c r="BF829" s="209">
        <v>639888.05151914188</v>
      </c>
      <c r="BG829" t="s">
        <v>389</v>
      </c>
      <c r="BH829">
        <v>3.5583806566493128E-6</v>
      </c>
      <c r="BI829">
        <v>1560303.7766514353</v>
      </c>
      <c r="BJ829">
        <f t="shared" si="50"/>
        <v>0.41010478926892319</v>
      </c>
    </row>
    <row r="830" spans="1:62" x14ac:dyDescent="0.3">
      <c r="A830">
        <v>-0.1</v>
      </c>
      <c r="B830" s="146">
        <v>1000</v>
      </c>
      <c r="C830" s="146">
        <v>25</v>
      </c>
      <c r="D830" s="146">
        <v>400</v>
      </c>
      <c r="E830" s="249">
        <v>7.4078983003280312</v>
      </c>
      <c r="F830">
        <v>2.2024587395686273</v>
      </c>
      <c r="G830">
        <v>8.7463898196504779</v>
      </c>
      <c r="H830">
        <v>0</v>
      </c>
      <c r="J830">
        <v>1.1965422599484838E-4</v>
      </c>
      <c r="K830">
        <v>1E-8</v>
      </c>
      <c r="L830">
        <v>43.276039978221171</v>
      </c>
      <c r="M830">
        <v>25.965623784977847</v>
      </c>
      <c r="N830">
        <v>-9.1384332072696681E-4</v>
      </c>
      <c r="Z830" t="s">
        <v>35</v>
      </c>
      <c r="AL830">
        <v>356.32773108540783</v>
      </c>
      <c r="AM830">
        <v>0.25181346646823038</v>
      </c>
      <c r="AN830">
        <v>0.29892429326919995</v>
      </c>
      <c r="AO830">
        <v>375.21814564045235</v>
      </c>
      <c r="AP830">
        <v>356.78465274577144</v>
      </c>
      <c r="AQ830" t="s">
        <v>302</v>
      </c>
      <c r="AR830">
        <v>0</v>
      </c>
      <c r="AS830">
        <v>0</v>
      </c>
      <c r="AT830">
        <v>0</v>
      </c>
      <c r="AU830">
        <v>0</v>
      </c>
      <c r="AV830">
        <v>0</v>
      </c>
      <c r="AW830" s="146">
        <v>0.3</v>
      </c>
      <c r="AX830" s="141">
        <v>1.196804224543265E-4</v>
      </c>
      <c r="AY830" s="141">
        <v>1E-8</v>
      </c>
      <c r="AZ830" s="209">
        <v>356.78465274577144</v>
      </c>
      <c r="BA830">
        <v>1.196804224543265E-4</v>
      </c>
      <c r="BB830" s="249">
        <v>24.079341168592816</v>
      </c>
      <c r="BC830" s="243">
        <v>64.468158373312818</v>
      </c>
      <c r="BD830" s="209">
        <v>29440.476314371852</v>
      </c>
      <c r="BE830" s="244">
        <v>30.436701441940627</v>
      </c>
      <c r="BF830" s="209">
        <v>631690.56357253401</v>
      </c>
      <c r="BG830" t="s">
        <v>389</v>
      </c>
      <c r="BH830">
        <v>3.1456210929389626E-6</v>
      </c>
      <c r="BI830">
        <v>1494404.7631437185</v>
      </c>
      <c r="BJ830">
        <f t="shared" si="50"/>
        <v>0.42270379428105698</v>
      </c>
    </row>
    <row r="831" spans="1:62" x14ac:dyDescent="0.3">
      <c r="A831">
        <v>-0.1</v>
      </c>
      <c r="B831" s="146">
        <v>1000</v>
      </c>
      <c r="C831" s="146">
        <v>25</v>
      </c>
      <c r="D831" s="146">
        <v>400</v>
      </c>
      <c r="E831" s="249">
        <v>6.0517087383109045</v>
      </c>
      <c r="F831">
        <v>1.762793101566303</v>
      </c>
      <c r="G831">
        <v>7.12254971159369</v>
      </c>
      <c r="H831">
        <v>0</v>
      </c>
      <c r="J831">
        <v>2.4093654874305218E-2</v>
      </c>
      <c r="K831">
        <v>1E-8</v>
      </c>
      <c r="L831">
        <v>35.164229183050878</v>
      </c>
      <c r="M831">
        <v>21.098537345730787</v>
      </c>
      <c r="N831">
        <v>-0.12856341562169848</v>
      </c>
      <c r="Z831" t="s">
        <v>35</v>
      </c>
      <c r="AL831">
        <v>300.4400840506861</v>
      </c>
      <c r="AM831">
        <v>0.24749467156360122</v>
      </c>
      <c r="AN831">
        <v>0.29930226886390127</v>
      </c>
      <c r="AO831">
        <v>379.78061188349113</v>
      </c>
      <c r="AP831">
        <v>364.72179186153534</v>
      </c>
      <c r="AQ831" t="s">
        <v>302</v>
      </c>
      <c r="AR831">
        <v>0</v>
      </c>
      <c r="AS831">
        <v>0</v>
      </c>
      <c r="AT831">
        <v>0</v>
      </c>
      <c r="AU831">
        <v>0</v>
      </c>
      <c r="AV831">
        <v>0</v>
      </c>
      <c r="AW831" s="146">
        <v>0.2</v>
      </c>
      <c r="AX831" s="141">
        <v>2.5000010000000003E-2</v>
      </c>
      <c r="AY831" s="141">
        <v>1E-8</v>
      </c>
      <c r="AZ831" s="209">
        <v>364.72179186153534</v>
      </c>
      <c r="BA831">
        <v>2.5000010000000003E-2</v>
      </c>
      <c r="BB831" s="249">
        <v>19.393469023292365</v>
      </c>
      <c r="BC831" s="243">
        <v>51.274678330990355</v>
      </c>
      <c r="BD831" s="209">
        <v>22585.044508372557</v>
      </c>
      <c r="BE831" s="244">
        <v>24.503090668863369</v>
      </c>
      <c r="BF831" s="209">
        <v>631582.76507823449</v>
      </c>
      <c r="BG831" t="s">
        <v>389</v>
      </c>
      <c r="BH831">
        <v>2.5981321999534281E-6</v>
      </c>
      <c r="BI831">
        <v>1425850.4450837255</v>
      </c>
      <c r="BJ831">
        <f t="shared" si="50"/>
        <v>0.44295162038620967</v>
      </c>
    </row>
    <row r="832" spans="1:62" s="140" customFormat="1" x14ac:dyDescent="0.3">
      <c r="A832" s="140">
        <v>-0.1</v>
      </c>
      <c r="B832" s="140">
        <v>1000</v>
      </c>
      <c r="C832" s="140">
        <v>25</v>
      </c>
      <c r="D832" s="140">
        <v>400</v>
      </c>
      <c r="E832" s="253">
        <v>4.1811245312597096</v>
      </c>
      <c r="F832" s="140">
        <v>1.1700394077136027</v>
      </c>
      <c r="G832" s="140">
        <v>4.8925292902507396</v>
      </c>
      <c r="H832" s="140">
        <v>0</v>
      </c>
      <c r="J832" s="140">
        <v>6.8660577264251533E-5</v>
      </c>
      <c r="K832" s="140">
        <v>1E-8</v>
      </c>
      <c r="L832" s="140">
        <v>24.068204235681321</v>
      </c>
      <c r="M832" s="140">
        <v>14.440922429090504</v>
      </c>
      <c r="N832" s="140">
        <v>-2.9566581170990564E-4</v>
      </c>
      <c r="Z832" s="140" t="s">
        <v>35</v>
      </c>
      <c r="AL832" s="140">
        <v>375.53210592399222</v>
      </c>
      <c r="AM832" s="140">
        <v>0.23914816617350057</v>
      </c>
      <c r="AN832" s="140">
        <v>0.30045593098118023</v>
      </c>
      <c r="AO832" s="140">
        <v>386.08406724538378</v>
      </c>
      <c r="AP832" s="140">
        <v>375.67993882984717</v>
      </c>
      <c r="AQ832" s="140" t="s">
        <v>302</v>
      </c>
      <c r="AR832" s="140">
        <v>0</v>
      </c>
      <c r="AS832" s="140">
        <v>0</v>
      </c>
      <c r="AT832" s="140">
        <v>0</v>
      </c>
      <c r="AU832" s="140">
        <v>0</v>
      </c>
      <c r="AV832" s="140">
        <v>0</v>
      </c>
      <c r="AW832" s="140">
        <v>0.1</v>
      </c>
      <c r="AX832" s="141">
        <v>6.8664988677537265E-5</v>
      </c>
      <c r="AY832" s="205">
        <v>1E-8</v>
      </c>
      <c r="AZ832" s="209">
        <v>375.67993882984717</v>
      </c>
      <c r="BA832" s="140">
        <v>6.8664988677537265E-5</v>
      </c>
      <c r="BB832" s="253">
        <v>13.038042774605703</v>
      </c>
      <c r="BC832" s="245">
        <v>34.163693672063602</v>
      </c>
      <c r="BD832" s="210">
        <v>14146.431397201302</v>
      </c>
      <c r="BE832" s="245">
        <v>16.390328381627729</v>
      </c>
      <c r="BF832" s="210">
        <v>600265.7147311758</v>
      </c>
      <c r="BG832" t="s">
        <v>389</v>
      </c>
      <c r="BH832" s="140">
        <v>1.8090334255463743E-6</v>
      </c>
      <c r="BI832" s="140">
        <v>1341464.3139720131</v>
      </c>
      <c r="BJ832">
        <f t="shared" si="50"/>
        <v>0.44747050553571349</v>
      </c>
    </row>
    <row r="833" spans="1:62" x14ac:dyDescent="0.3">
      <c r="A833">
        <v>-0.1</v>
      </c>
      <c r="B833" s="146">
        <v>1000</v>
      </c>
      <c r="C833" s="146">
        <v>25</v>
      </c>
      <c r="D833" s="146">
        <v>400</v>
      </c>
      <c r="E833" s="249">
        <v>17.483593708781971</v>
      </c>
      <c r="F833">
        <v>6.5562662527722146</v>
      </c>
      <c r="G833">
        <v>21.49510733157139</v>
      </c>
      <c r="H833">
        <v>0</v>
      </c>
      <c r="J833">
        <v>1.4158167869399605E-4</v>
      </c>
      <c r="K833">
        <v>1E-8</v>
      </c>
      <c r="L833">
        <v>106.42693674249958</v>
      </c>
      <c r="M833">
        <v>63.85616154884071</v>
      </c>
      <c r="N833">
        <v>-2.5693502361308984E-3</v>
      </c>
      <c r="Z833" t="s">
        <v>35</v>
      </c>
      <c r="AL833">
        <v>293.27165461908197</v>
      </c>
      <c r="AM833">
        <v>0.30501202676678713</v>
      </c>
      <c r="AN833">
        <v>0.28227458180777776</v>
      </c>
      <c r="AO833">
        <v>338.06174967362847</v>
      </c>
      <c r="AP833">
        <v>294.55632973714739</v>
      </c>
      <c r="AQ833" t="s">
        <v>302</v>
      </c>
      <c r="AR833">
        <v>0</v>
      </c>
      <c r="AS833">
        <v>0</v>
      </c>
      <c r="AT833">
        <v>0</v>
      </c>
      <c r="AU833">
        <v>0</v>
      </c>
      <c r="AV833">
        <v>0</v>
      </c>
      <c r="AW833" s="146">
        <v>3</v>
      </c>
      <c r="AX833" s="141">
        <v>1.4173165401338739E-4</v>
      </c>
      <c r="AY833" s="141">
        <v>1E-8</v>
      </c>
      <c r="AZ833" s="209">
        <v>294.55632973714739</v>
      </c>
      <c r="BA833" s="198">
        <v>1.4173165401338739E-4</v>
      </c>
      <c r="BB833" s="249">
        <v>67.138146596654735</v>
      </c>
      <c r="BC833" s="243">
        <v>202.66654501261826</v>
      </c>
      <c r="BD833" s="209">
        <v>115882.24276495221</v>
      </c>
      <c r="BE833" s="244">
        <v>90.685653548705403</v>
      </c>
      <c r="BF833" s="209">
        <v>339219.53366210632</v>
      </c>
      <c r="BG833" t="s">
        <v>390</v>
      </c>
      <c r="BH833">
        <v>6.2214313595468049E-6</v>
      </c>
      <c r="BI833">
        <v>2358822.4276495222</v>
      </c>
      <c r="BJ833">
        <f t="shared" si="50"/>
        <v>0.14380884702716931</v>
      </c>
    </row>
    <row r="834" spans="1:62" x14ac:dyDescent="0.3">
      <c r="A834">
        <v>-0.2</v>
      </c>
      <c r="B834" s="146">
        <v>1000</v>
      </c>
      <c r="C834" s="146">
        <v>25</v>
      </c>
      <c r="D834" s="146">
        <v>400</v>
      </c>
      <c r="E834" s="249">
        <v>17.326316347779798</v>
      </c>
      <c r="F834">
        <v>6.6795936581628457</v>
      </c>
      <c r="G834">
        <v>21.40311088549138</v>
      </c>
      <c r="H834">
        <v>0</v>
      </c>
      <c r="J834">
        <v>1.4010516198855504E-4</v>
      </c>
      <c r="K834">
        <v>1E-8</v>
      </c>
      <c r="L834">
        <v>106.58867788658982</v>
      </c>
      <c r="M834">
        <v>63.953206234540062</v>
      </c>
      <c r="N834">
        <v>-2.5209622527742606E-3</v>
      </c>
      <c r="Z834" t="s">
        <v>35</v>
      </c>
      <c r="AL834">
        <v>286.61997336442511</v>
      </c>
      <c r="AM834">
        <v>0.31208517742580921</v>
      </c>
      <c r="AN834">
        <v>0.25108706901328059</v>
      </c>
      <c r="AO834">
        <v>330.99478831837666</v>
      </c>
      <c r="AP834">
        <v>287.88045449081221</v>
      </c>
      <c r="AQ834" t="s">
        <v>302</v>
      </c>
      <c r="AR834">
        <v>0</v>
      </c>
      <c r="AS834">
        <v>0</v>
      </c>
      <c r="AT834">
        <v>0</v>
      </c>
      <c r="AU834">
        <v>0</v>
      </c>
      <c r="AV834">
        <v>0</v>
      </c>
      <c r="AW834" s="146">
        <v>3</v>
      </c>
      <c r="AX834" s="141">
        <v>1.4025469986737505E-4</v>
      </c>
      <c r="AY834" s="141">
        <v>1E-8</v>
      </c>
      <c r="AZ834" s="209">
        <v>287.88045449081221</v>
      </c>
      <c r="BA834">
        <v>1.4025469986737505E-4</v>
      </c>
      <c r="BB834" s="249">
        <v>67.904723839439754</v>
      </c>
      <c r="BC834" s="243">
        <v>203.157015768794</v>
      </c>
      <c r="BD834" s="209">
        <v>116728.80927887559</v>
      </c>
      <c r="BE834" s="244">
        <v>91.642067683270056</v>
      </c>
      <c r="BF834" s="209">
        <v>337074.60581218929</v>
      </c>
      <c r="BG834" t="s">
        <v>390</v>
      </c>
      <c r="BH834">
        <v>6.1486361773698223E-6</v>
      </c>
      <c r="BI834">
        <v>2367288.0927887559</v>
      </c>
      <c r="BJ834">
        <f t="shared" si="50"/>
        <v>0.14238850220173352</v>
      </c>
    </row>
    <row r="835" spans="1:62" x14ac:dyDescent="0.3">
      <c r="A835">
        <v>-0.3</v>
      </c>
      <c r="B835" s="146">
        <v>1000</v>
      </c>
      <c r="C835" s="146">
        <v>25</v>
      </c>
      <c r="D835" s="146">
        <v>400</v>
      </c>
      <c r="E835" s="249">
        <v>17.118137211371469</v>
      </c>
      <c r="F835">
        <v>6.8391896774219978</v>
      </c>
      <c r="G835">
        <v>21.279192963041417</v>
      </c>
      <c r="H835">
        <v>0</v>
      </c>
      <c r="J835">
        <v>1.3819995482627852E-4</v>
      </c>
      <c r="K835">
        <v>1E-8</v>
      </c>
      <c r="L835">
        <v>106.76010668744635</v>
      </c>
      <c r="M835">
        <v>64.056063514253978</v>
      </c>
      <c r="N835">
        <v>-2.458456962759854E-3</v>
      </c>
      <c r="Z835" t="s">
        <v>35</v>
      </c>
      <c r="AL835">
        <v>278.30553374916616</v>
      </c>
      <c r="AM835">
        <v>0.32140268145040018</v>
      </c>
      <c r="AN835">
        <v>0.21983242136216868</v>
      </c>
      <c r="AO835">
        <v>322.13097092184711</v>
      </c>
      <c r="AP835">
        <v>279.53476223054605</v>
      </c>
      <c r="AQ835" t="s">
        <v>302</v>
      </c>
      <c r="AR835">
        <v>0</v>
      </c>
      <c r="AS835">
        <v>0</v>
      </c>
      <c r="AT835">
        <v>0</v>
      </c>
      <c r="AU835">
        <v>0</v>
      </c>
      <c r="AV835">
        <v>0</v>
      </c>
      <c r="AW835" s="146">
        <v>3</v>
      </c>
      <c r="AX835" s="141">
        <v>1.3834898209834503E-4</v>
      </c>
      <c r="AY835" s="141">
        <v>1E-8</v>
      </c>
      <c r="AZ835" s="209">
        <v>279.53476223054605</v>
      </c>
      <c r="BA835">
        <v>1.3834898209834503E-4</v>
      </c>
      <c r="BB835" s="249">
        <v>68.891872371406222</v>
      </c>
      <c r="BC835" s="243">
        <v>203.67809344217576</v>
      </c>
      <c r="BD835" s="209">
        <v>117799.39288859554</v>
      </c>
      <c r="BE835" s="244">
        <v>92.906271741404382</v>
      </c>
      <c r="BF835" s="209">
        <v>334092.38807569986</v>
      </c>
      <c r="BG835" t="s">
        <v>390</v>
      </c>
      <c r="BH835">
        <v>6.0543095786391563E-6</v>
      </c>
      <c r="BI835">
        <v>2377993.9288859554</v>
      </c>
      <c r="BJ835">
        <f t="shared" si="50"/>
        <v>0.14049337301387296</v>
      </c>
    </row>
    <row r="836" spans="1:62" x14ac:dyDescent="0.3">
      <c r="A836">
        <v>-0.4</v>
      </c>
      <c r="B836" s="146">
        <v>1000</v>
      </c>
      <c r="C836" s="146">
        <v>25</v>
      </c>
      <c r="D836" s="146">
        <v>400</v>
      </c>
      <c r="E836" s="249">
        <v>16.833320031013233</v>
      </c>
      <c r="F836">
        <v>7.0519303556525523</v>
      </c>
      <c r="G836">
        <v>21.106578708949549</v>
      </c>
      <c r="H836">
        <v>0</v>
      </c>
      <c r="J836">
        <v>1.3585674973517803E-4</v>
      </c>
      <c r="K836">
        <v>1E-8</v>
      </c>
      <c r="L836">
        <v>107.00002767336015</v>
      </c>
      <c r="M836">
        <v>64.200016104682618</v>
      </c>
      <c r="N836">
        <v>-2.3787849408752346E-3</v>
      </c>
      <c r="Z836" t="s">
        <v>35</v>
      </c>
      <c r="AL836">
        <v>267.71329507187141</v>
      </c>
      <c r="AM836">
        <v>0.3341105374251116</v>
      </c>
      <c r="AN836">
        <v>0.18869321312609022</v>
      </c>
      <c r="AO836">
        <v>310.7900080128228</v>
      </c>
      <c r="AP836">
        <v>268.90268754230902</v>
      </c>
      <c r="AQ836" t="s">
        <v>302</v>
      </c>
      <c r="AR836">
        <v>0</v>
      </c>
      <c r="AS836">
        <v>0</v>
      </c>
      <c r="AT836">
        <v>0</v>
      </c>
      <c r="AU836">
        <v>0</v>
      </c>
      <c r="AV836">
        <v>0</v>
      </c>
      <c r="AW836" s="146">
        <v>3</v>
      </c>
      <c r="AX836" s="141">
        <v>1.3600479142683101E-4</v>
      </c>
      <c r="AY836" s="141">
        <v>1E-8</v>
      </c>
      <c r="AZ836" s="209">
        <v>268.90268754230902</v>
      </c>
      <c r="BA836">
        <v>1.3600479142683101E-4</v>
      </c>
      <c r="BB836" s="249">
        <v>70.200304023594455</v>
      </c>
      <c r="BC836" s="243">
        <v>204.40949763089458</v>
      </c>
      <c r="BD836" s="209">
        <v>119185.2312270512</v>
      </c>
      <c r="BE836" s="244">
        <v>94.507902413121442</v>
      </c>
      <c r="BF836" s="209">
        <v>329785.28939295595</v>
      </c>
      <c r="BG836" t="s">
        <v>390</v>
      </c>
      <c r="BH836">
        <v>5.9284500989779234E-6</v>
      </c>
      <c r="BI836">
        <v>2391852.3122705119</v>
      </c>
      <c r="BJ836">
        <f t="shared" ref="BJ836:BJ899" si="51">BF836/BI836</f>
        <v>0.13787861721274125</v>
      </c>
    </row>
    <row r="837" spans="1:62" x14ac:dyDescent="0.3">
      <c r="A837">
        <v>-0.5</v>
      </c>
      <c r="B837" s="146">
        <v>1000</v>
      </c>
      <c r="C837" s="146">
        <v>25</v>
      </c>
      <c r="D837" s="146">
        <v>400</v>
      </c>
      <c r="E837" s="249">
        <v>16.431199408881604</v>
      </c>
      <c r="F837">
        <v>7.3576383303169486</v>
      </c>
      <c r="G837">
        <v>20.865857026687014</v>
      </c>
      <c r="H837">
        <v>0</v>
      </c>
      <c r="J837">
        <v>1.3280965643940406E-4</v>
      </c>
      <c r="K837">
        <v>1E-8</v>
      </c>
      <c r="L837">
        <v>107.35016560081607</v>
      </c>
      <c r="M837">
        <v>64.410098859522193</v>
      </c>
      <c r="N837">
        <v>-2.2730453308165972E-3</v>
      </c>
      <c r="Z837" t="s">
        <v>35</v>
      </c>
      <c r="AL837">
        <v>253.65390211567075</v>
      </c>
      <c r="AM837">
        <v>0.35261615762566934</v>
      </c>
      <c r="AN837">
        <v>0.15750383415777039</v>
      </c>
      <c r="AO837">
        <v>295.67746400114555</v>
      </c>
      <c r="AP837">
        <v>254.79042478107905</v>
      </c>
      <c r="AQ837" t="s">
        <v>302</v>
      </c>
      <c r="AR837">
        <v>0</v>
      </c>
      <c r="AS837">
        <v>0</v>
      </c>
      <c r="AT837">
        <v>0</v>
      </c>
      <c r="AU837">
        <v>0</v>
      </c>
      <c r="AV837">
        <v>0</v>
      </c>
      <c r="AW837" s="146">
        <v>3</v>
      </c>
      <c r="AX837" s="141">
        <v>1.329566855373166E-4</v>
      </c>
      <c r="AY837" s="141">
        <v>1E-8</v>
      </c>
      <c r="AZ837" s="209">
        <v>254.79042478107905</v>
      </c>
      <c r="BA837">
        <v>1.329566855373166E-4</v>
      </c>
      <c r="BB837" s="249">
        <v>72.087842662219344</v>
      </c>
      <c r="BC837" s="243">
        <v>205.48140644857173</v>
      </c>
      <c r="BD837" s="209">
        <v>121218.9079552629</v>
      </c>
      <c r="BE837" s="244">
        <v>96.853974610201163</v>
      </c>
      <c r="BF837" s="209">
        <v>323670.18787066976</v>
      </c>
      <c r="BG837" t="s">
        <v>390</v>
      </c>
      <c r="BH837">
        <v>5.7506545219855859E-6</v>
      </c>
      <c r="BI837">
        <v>2412189.079552629</v>
      </c>
      <c r="BJ837">
        <f t="shared" si="51"/>
        <v>0.13418110156219532</v>
      </c>
    </row>
    <row r="838" spans="1:62" x14ac:dyDescent="0.3">
      <c r="A838">
        <v>-0.6</v>
      </c>
      <c r="B838" s="146">
        <v>1000</v>
      </c>
      <c r="C838" s="146">
        <v>25</v>
      </c>
      <c r="D838" s="146">
        <v>400</v>
      </c>
      <c r="E838" s="249">
        <v>15.809456668146826</v>
      </c>
      <c r="F838">
        <v>7.8094456240416124</v>
      </c>
      <c r="G838">
        <v>20.481960534377055</v>
      </c>
      <c r="H838">
        <v>0</v>
      </c>
      <c r="J838">
        <v>1.2886728599602971E-4</v>
      </c>
      <c r="K838">
        <v>1E-8</v>
      </c>
      <c r="L838">
        <v>107.83610018242719</v>
      </c>
      <c r="M838">
        <v>64.701659606221185</v>
      </c>
      <c r="N838">
        <v>-2.1268555203533828E-3</v>
      </c>
      <c r="Z838" t="s">
        <v>35</v>
      </c>
      <c r="AL838">
        <v>234.56985074781929</v>
      </c>
      <c r="AM838">
        <v>0.38128408708405565</v>
      </c>
      <c r="AN838">
        <v>0.12644818858836546</v>
      </c>
      <c r="AO838">
        <v>274.97284979216016</v>
      </c>
      <c r="AP838">
        <v>235.63327850799601</v>
      </c>
      <c r="AQ838" t="s">
        <v>302</v>
      </c>
      <c r="AR838">
        <v>0</v>
      </c>
      <c r="AS838">
        <v>0</v>
      </c>
      <c r="AT838">
        <v>0</v>
      </c>
      <c r="AU838">
        <v>0</v>
      </c>
      <c r="AV838">
        <v>0</v>
      </c>
      <c r="AW838" s="146">
        <v>3</v>
      </c>
      <c r="AX838" s="141">
        <v>1.2901223527694882E-4</v>
      </c>
      <c r="AY838" s="141">
        <v>1E-8</v>
      </c>
      <c r="AZ838" s="209">
        <v>235.63327850799601</v>
      </c>
      <c r="BA838">
        <v>1.2901223527694882E-4</v>
      </c>
      <c r="BB838" s="249">
        <v>74.849312386396036</v>
      </c>
      <c r="BC838" s="243">
        <v>206.97799596068711</v>
      </c>
      <c r="BD838" s="209">
        <v>124068.35757778745</v>
      </c>
      <c r="BE838" s="244">
        <v>100.13442572308146</v>
      </c>
      <c r="BF838" s="209">
        <v>313391.87430732662</v>
      </c>
      <c r="BG838" t="s">
        <v>390</v>
      </c>
      <c r="BH838">
        <v>5.4872832319531567E-6</v>
      </c>
      <c r="BI838">
        <v>2440683.5757778743</v>
      </c>
      <c r="BJ838">
        <f t="shared" si="51"/>
        <v>0.12840332004424004</v>
      </c>
    </row>
    <row r="839" spans="1:62" x14ac:dyDescent="0.3">
      <c r="A839">
        <v>-0.7</v>
      </c>
      <c r="B839" s="146">
        <v>1000</v>
      </c>
      <c r="C839" s="146">
        <v>25</v>
      </c>
      <c r="D839" s="146">
        <v>400</v>
      </c>
      <c r="E839" s="249">
        <v>14.795383185242033</v>
      </c>
      <c r="F839">
        <v>8.5982780856185332</v>
      </c>
      <c r="G839">
        <v>19.885109006011177</v>
      </c>
      <c r="H839">
        <v>0</v>
      </c>
      <c r="J839">
        <v>1.2286168506891768E-4</v>
      </c>
      <c r="K839">
        <v>1E-8</v>
      </c>
      <c r="L839">
        <v>108.82326259593921</v>
      </c>
      <c r="M839">
        <v>65.293957049721641</v>
      </c>
      <c r="N839">
        <v>-1.9057859326581383E-3</v>
      </c>
      <c r="Z839" t="s">
        <v>35</v>
      </c>
      <c r="AL839">
        <v>206.8261715079108</v>
      </c>
      <c r="AM839">
        <v>0.43239783513478919</v>
      </c>
      <c r="AN839">
        <v>9.5205496194789449E-2</v>
      </c>
      <c r="AO839">
        <v>244.59528308144277</v>
      </c>
      <c r="AP839">
        <v>207.77906447423985</v>
      </c>
      <c r="AQ839" t="s">
        <v>302</v>
      </c>
      <c r="AR839">
        <v>0</v>
      </c>
      <c r="AS839">
        <v>0</v>
      </c>
      <c r="AT839">
        <v>0</v>
      </c>
      <c r="AU839">
        <v>0</v>
      </c>
      <c r="AV839">
        <v>0</v>
      </c>
      <c r="AW839" s="146">
        <v>3</v>
      </c>
      <c r="AX839" s="141">
        <v>1.2300391524968626E-4</v>
      </c>
      <c r="AY839" s="141">
        <v>1E-8</v>
      </c>
      <c r="AZ839" s="209">
        <v>207.77906447423985</v>
      </c>
      <c r="BA839">
        <v>1.2300391524968626E-4</v>
      </c>
      <c r="BB839" s="249">
        <v>79.744109639036324</v>
      </c>
      <c r="BC839" s="243">
        <v>210.05090253131388</v>
      </c>
      <c r="BD839" s="209">
        <v>129465.4869506856</v>
      </c>
      <c r="BE839" s="244">
        <v>106.18380865263804</v>
      </c>
      <c r="BF839" s="209">
        <v>296871.00100385625</v>
      </c>
      <c r="BG839" t="s">
        <v>390</v>
      </c>
      <c r="BH839">
        <v>5.0504773606458044E-6</v>
      </c>
      <c r="BI839">
        <v>2494654.869506856</v>
      </c>
      <c r="BJ839">
        <f t="shared" si="51"/>
        <v>0.11900283467369648</v>
      </c>
    </row>
    <row r="840" spans="1:62" x14ac:dyDescent="0.3">
      <c r="A840">
        <v>-0.8</v>
      </c>
      <c r="B840" s="146">
        <v>1000</v>
      </c>
      <c r="C840" s="146">
        <v>25</v>
      </c>
      <c r="D840" s="146">
        <v>400</v>
      </c>
      <c r="E840" s="249">
        <v>12.814835520358541</v>
      </c>
      <c r="F840">
        <v>9.9711613383816218</v>
      </c>
      <c r="G840">
        <v>18.623546891777867</v>
      </c>
      <c r="H840">
        <v>0</v>
      </c>
      <c r="J840">
        <v>1.1426705878174879E-4</v>
      </c>
      <c r="K840">
        <v>1E-8</v>
      </c>
      <c r="L840">
        <v>109.79659663111521</v>
      </c>
      <c r="M840">
        <v>65.877957466285011</v>
      </c>
      <c r="N840">
        <v>-1.5499723586315873E-3</v>
      </c>
      <c r="Z840" t="s">
        <v>35</v>
      </c>
      <c r="AL840">
        <v>167.02886890700927</v>
      </c>
      <c r="AM840">
        <v>0.5354061391379642</v>
      </c>
      <c r="AN840">
        <v>6.39755721193601E-2</v>
      </c>
      <c r="AO840">
        <v>199.69174020906408</v>
      </c>
      <c r="AP840">
        <v>167.80385508632503</v>
      </c>
      <c r="AQ840" t="s">
        <v>302</v>
      </c>
      <c r="AR840">
        <v>0</v>
      </c>
      <c r="AS840">
        <v>0</v>
      </c>
      <c r="AT840">
        <v>0</v>
      </c>
      <c r="AU840">
        <v>0</v>
      </c>
      <c r="AV840">
        <v>0</v>
      </c>
      <c r="AW840" s="146">
        <v>3</v>
      </c>
      <c r="AX840" s="141">
        <v>1.1440137475091376E-4</v>
      </c>
      <c r="AY840" s="141">
        <v>1E-8</v>
      </c>
      <c r="AZ840" s="209">
        <v>167.80385508632503</v>
      </c>
      <c r="BA840">
        <v>1.1440137475091376E-4</v>
      </c>
      <c r="BB840" s="249">
        <v>88.040207754232711</v>
      </c>
      <c r="BC840" s="243">
        <v>213.12462258853327</v>
      </c>
      <c r="BD840" s="209">
        <v>137604.17325022287</v>
      </c>
      <c r="BE840" s="244">
        <v>116.1276583028732</v>
      </c>
      <c r="BF840" s="209">
        <v>265731.86111078283</v>
      </c>
      <c r="BG840" t="s">
        <v>390</v>
      </c>
      <c r="BH840">
        <v>4.2658122473338249E-6</v>
      </c>
      <c r="BI840">
        <v>2576041.7325022286</v>
      </c>
      <c r="BJ840">
        <f t="shared" si="51"/>
        <v>0.10315510721663083</v>
      </c>
    </row>
    <row r="841" spans="1:62" x14ac:dyDescent="0.3">
      <c r="A841">
        <v>-0.85</v>
      </c>
      <c r="B841" s="146">
        <v>1000</v>
      </c>
      <c r="C841" s="146">
        <v>25</v>
      </c>
      <c r="D841" s="146">
        <v>400</v>
      </c>
      <c r="E841" s="249">
        <v>8.8218739642949568</v>
      </c>
      <c r="F841">
        <v>5.5303929600764601</v>
      </c>
      <c r="G841">
        <v>12.024499115241914</v>
      </c>
      <c r="H841">
        <v>0</v>
      </c>
      <c r="J841">
        <v>1.1625308005637296E-4</v>
      </c>
      <c r="K841">
        <v>1E-8</v>
      </c>
      <c r="L841">
        <v>67.73234642234209</v>
      </c>
      <c r="M841">
        <v>40.639407537320977</v>
      </c>
      <c r="N841">
        <v>-1.0732482654549718E-3</v>
      </c>
      <c r="Z841" t="s">
        <v>35</v>
      </c>
      <c r="AL841">
        <v>194.8056289342035</v>
      </c>
      <c r="AM841">
        <v>0.45992709609552807</v>
      </c>
      <c r="AN841">
        <v>4.8284652238727716E-2</v>
      </c>
      <c r="AO841">
        <v>217.29444957627368</v>
      </c>
      <c r="AP841">
        <v>195.34225306693097</v>
      </c>
      <c r="AQ841" t="s">
        <v>302</v>
      </c>
      <c r="AR841">
        <v>0</v>
      </c>
      <c r="AS841">
        <v>0</v>
      </c>
      <c r="AT841">
        <v>0</v>
      </c>
      <c r="AU841">
        <v>0</v>
      </c>
      <c r="AV841">
        <v>0</v>
      </c>
      <c r="AW841" s="146">
        <v>3</v>
      </c>
      <c r="AX841" s="141">
        <v>1.1632920585250422E-4</v>
      </c>
      <c r="AY841" s="141">
        <v>1E-8</v>
      </c>
      <c r="AZ841" s="209">
        <v>195.34225306693097</v>
      </c>
      <c r="BA841">
        <v>1.1632920585250422E-4</v>
      </c>
      <c r="BB841" s="249">
        <v>50.525672660677031</v>
      </c>
      <c r="BC841" s="243">
        <v>108.81759680210494</v>
      </c>
      <c r="BD841" s="209">
        <v>64671.651498973362</v>
      </c>
      <c r="BE841" s="244">
        <v>66.153871561386097</v>
      </c>
      <c r="BF841" s="209">
        <v>664632.49676874559</v>
      </c>
      <c r="BG841" t="s">
        <v>390</v>
      </c>
      <c r="BH841">
        <v>3.1892987763216272E-6</v>
      </c>
      <c r="BI841">
        <v>1846716.5149897337</v>
      </c>
      <c r="BJ841">
        <f t="shared" si="51"/>
        <v>0.35989957926619853</v>
      </c>
    </row>
    <row r="842" spans="1:62" s="140" customFormat="1" x14ac:dyDescent="0.3">
      <c r="A842" s="140">
        <v>-0.87</v>
      </c>
      <c r="B842" s="140">
        <v>1000</v>
      </c>
      <c r="C842" s="140">
        <v>25</v>
      </c>
      <c r="D842" s="140">
        <v>400</v>
      </c>
      <c r="E842" s="253">
        <v>3.2865003841095421</v>
      </c>
      <c r="F842" s="140">
        <v>1.1223208837331662</v>
      </c>
      <c r="G842" s="140">
        <v>3.9557443561637617</v>
      </c>
      <c r="H842" s="140">
        <v>0</v>
      </c>
      <c r="J842" s="140">
        <v>8.676996520583203E-5</v>
      </c>
      <c r="K842" s="140">
        <v>1E-8</v>
      </c>
      <c r="L842" s="140">
        <v>20.290388627413321</v>
      </c>
      <c r="M842" s="140">
        <v>12.174233081759512</v>
      </c>
      <c r="N842" s="140">
        <v>-2.9443242709896775E-4</v>
      </c>
      <c r="Z842" s="140" t="s">
        <v>35</v>
      </c>
      <c r="AL842" s="140">
        <v>316.5149937429187</v>
      </c>
      <c r="AM842" s="140">
        <v>0.28371926562554234</v>
      </c>
      <c r="AN842" s="140">
        <v>4.3726834491999628E-2</v>
      </c>
      <c r="AO842" s="140">
        <v>324.84019430423558</v>
      </c>
      <c r="AP842" s="140">
        <v>316.66220995646813</v>
      </c>
      <c r="AQ842" s="140" t="s">
        <v>302</v>
      </c>
      <c r="AR842" s="140">
        <v>0</v>
      </c>
      <c r="AS842" s="140">
        <v>0</v>
      </c>
      <c r="AT842" s="140">
        <v>0</v>
      </c>
      <c r="AU842" s="140">
        <v>0</v>
      </c>
      <c r="AV842" s="140">
        <v>0</v>
      </c>
      <c r="AW842" s="146">
        <v>3</v>
      </c>
      <c r="AX842" s="141">
        <v>8.6776678312171701E-5</v>
      </c>
      <c r="AY842" s="205">
        <v>1E-8</v>
      </c>
      <c r="AZ842" s="209">
        <v>316.66220995646813</v>
      </c>
      <c r="BA842" s="140">
        <v>8.6776678312171701E-5</v>
      </c>
      <c r="BB842" s="253">
        <v>11.769053746035445</v>
      </c>
      <c r="BC842" s="245">
        <v>28.554903953960128</v>
      </c>
      <c r="BD842" s="210">
        <v>11976.571355814756</v>
      </c>
      <c r="BE842" s="245">
        <v>14.678508121094492</v>
      </c>
      <c r="BF842" s="210">
        <v>804997.2473949031</v>
      </c>
      <c r="BG842" t="s">
        <v>390</v>
      </c>
      <c r="BH842" s="140">
        <v>1.1699575225493774E-6</v>
      </c>
      <c r="BI842" s="140">
        <v>1319765.7135581477</v>
      </c>
      <c r="BJ842">
        <f t="shared" si="51"/>
        <v>0.6099546602287419</v>
      </c>
    </row>
    <row r="843" spans="1:62" x14ac:dyDescent="0.3">
      <c r="A843">
        <v>-0.1</v>
      </c>
      <c r="B843" s="146">
        <v>100</v>
      </c>
      <c r="C843" s="146">
        <v>25</v>
      </c>
      <c r="D843" s="146">
        <v>400</v>
      </c>
      <c r="E843" s="249">
        <v>3.3611515884279357</v>
      </c>
      <c r="F843">
        <v>0.95814462703449255</v>
      </c>
      <c r="G843">
        <v>4.0690278152194468</v>
      </c>
      <c r="H843">
        <v>0</v>
      </c>
      <c r="J843">
        <v>5.9339264311478172E-2</v>
      </c>
      <c r="K843">
        <v>1E-8</v>
      </c>
      <c r="L843">
        <v>17.467505890414493</v>
      </c>
      <c r="M843">
        <v>10.480503452733668</v>
      </c>
      <c r="N843">
        <v>0.22360989428883143</v>
      </c>
      <c r="Z843" t="s">
        <v>35</v>
      </c>
      <c r="AL843">
        <v>487.59826805957374</v>
      </c>
      <c r="AM843">
        <v>0.23547261669009231</v>
      </c>
      <c r="AN843">
        <v>0.21215458877897972</v>
      </c>
      <c r="AO843">
        <v>384.15706392318697</v>
      </c>
      <c r="AP843">
        <v>375.79332091515812</v>
      </c>
      <c r="AQ843" t="s">
        <v>308</v>
      </c>
      <c r="AR843">
        <v>0</v>
      </c>
      <c r="AS843">
        <v>0</v>
      </c>
      <c r="AT843">
        <v>0</v>
      </c>
      <c r="AU843">
        <v>1</v>
      </c>
      <c r="AV843">
        <v>0.1</v>
      </c>
      <c r="AW843">
        <v>3</v>
      </c>
      <c r="AX843" s="141">
        <v>5.4284313617061257E-2</v>
      </c>
      <c r="AY843" s="141">
        <v>1E-8</v>
      </c>
      <c r="AZ843" s="209">
        <v>375.79332091515812</v>
      </c>
      <c r="BA843">
        <v>5.4284313617061257E-2</v>
      </c>
      <c r="BB843" s="249">
        <v>10.736970755379936</v>
      </c>
      <c r="BC843" s="243">
        <v>70.200663156562811</v>
      </c>
      <c r="BD843" s="209">
        <v>26396.797461222974</v>
      </c>
      <c r="BE843" s="243">
        <v>21.320902153143138</v>
      </c>
      <c r="BF843">
        <v>19515.594892490102</v>
      </c>
      <c r="BG843" t="s">
        <v>387</v>
      </c>
      <c r="BH843">
        <v>2.059576297114341E-6</v>
      </c>
      <c r="BI843">
        <v>1463967.9746122297</v>
      </c>
      <c r="BJ843">
        <f t="shared" si="51"/>
        <v>1.3330615990871876E-2</v>
      </c>
    </row>
    <row r="844" spans="1:62" x14ac:dyDescent="0.3">
      <c r="A844">
        <v>-0.1</v>
      </c>
      <c r="B844" s="146">
        <v>200</v>
      </c>
      <c r="C844" s="146">
        <v>25</v>
      </c>
      <c r="D844" s="146">
        <v>400</v>
      </c>
      <c r="E844" s="249">
        <v>6.0990897293290178</v>
      </c>
      <c r="F844">
        <v>1.7900311210308575</v>
      </c>
      <c r="G844">
        <v>7.3335517362243792</v>
      </c>
      <c r="H844">
        <v>0</v>
      </c>
      <c r="J844">
        <v>5.9930240036225463E-2</v>
      </c>
      <c r="K844">
        <v>1E-8</v>
      </c>
      <c r="L844">
        <v>32.326886094269149</v>
      </c>
      <c r="M844">
        <v>19.396131505702687</v>
      </c>
      <c r="N844">
        <v>0.37810976357680603</v>
      </c>
      <c r="Z844" t="s">
        <v>35</v>
      </c>
      <c r="AL844">
        <v>548.02608804095451</v>
      </c>
      <c r="AM844">
        <v>0.24408788339065304</v>
      </c>
      <c r="AN844">
        <v>0.23592266040086746</v>
      </c>
      <c r="AO844">
        <v>374.14792746501854</v>
      </c>
      <c r="AP844">
        <v>358.9712062525515</v>
      </c>
      <c r="AQ844" t="s">
        <v>308</v>
      </c>
      <c r="AR844">
        <v>0</v>
      </c>
      <c r="AS844">
        <v>0</v>
      </c>
      <c r="AT844">
        <v>0</v>
      </c>
      <c r="AU844">
        <v>1</v>
      </c>
      <c r="AV844">
        <v>0.1</v>
      </c>
      <c r="AW844">
        <v>3</v>
      </c>
      <c r="AX844" s="141">
        <v>5.4777432672482716E-2</v>
      </c>
      <c r="AY844" s="141">
        <v>1E-8</v>
      </c>
      <c r="AZ844" s="209">
        <v>358.9712062525515</v>
      </c>
      <c r="BA844">
        <v>5.4777432672482716E-2</v>
      </c>
      <c r="BB844" s="249">
        <v>19.786572959326982</v>
      </c>
      <c r="BC844" s="243">
        <v>101.94763431945115</v>
      </c>
      <c r="BD844" s="209">
        <v>42989.767414842478</v>
      </c>
      <c r="BE844" s="243">
        <v>33.830944232521865</v>
      </c>
      <c r="BF844">
        <v>53672.789900051488</v>
      </c>
      <c r="BG844" t="s">
        <v>387</v>
      </c>
      <c r="BH844">
        <v>3.4078338014848699E-6</v>
      </c>
      <c r="BI844">
        <v>1629897.6741484248</v>
      </c>
      <c r="BJ844">
        <f t="shared" si="51"/>
        <v>3.2930159206524416E-2</v>
      </c>
    </row>
    <row r="845" spans="1:62" x14ac:dyDescent="0.3">
      <c r="A845">
        <v>-0.1</v>
      </c>
      <c r="B845" s="146">
        <v>300</v>
      </c>
      <c r="C845" s="146">
        <v>25</v>
      </c>
      <c r="D845" s="146">
        <v>400</v>
      </c>
      <c r="E845" s="252">
        <v>8.4066606599085478</v>
      </c>
      <c r="F845" s="146">
        <v>2.5434783739086972</v>
      </c>
      <c r="G845" s="146">
        <v>10.100480678899142</v>
      </c>
      <c r="H845" s="146">
        <v>0</v>
      </c>
      <c r="I845" s="146"/>
      <c r="J845" s="146">
        <v>6.0625541623616309E-2</v>
      </c>
      <c r="K845" s="146">
        <v>1E-8</v>
      </c>
      <c r="L845" s="146">
        <v>45.430843233610588</v>
      </c>
      <c r="M845" s="146">
        <v>27.25850572815575</v>
      </c>
      <c r="N845" s="146">
        <v>0.49900934963652999</v>
      </c>
      <c r="O845" s="146"/>
      <c r="P845" s="146"/>
      <c r="Q845" s="146"/>
      <c r="R845" s="146"/>
      <c r="S845" s="146"/>
      <c r="T845" s="146"/>
      <c r="U845" s="146"/>
      <c r="V845" s="146"/>
      <c r="W845" s="146"/>
      <c r="X845" s="146"/>
      <c r="Y845" s="146"/>
      <c r="Z845" s="146" t="s">
        <v>35</v>
      </c>
      <c r="AA845" s="146"/>
      <c r="AB845" s="146"/>
      <c r="AC845" s="146"/>
      <c r="AD845" s="146"/>
      <c r="AE845" s="146"/>
      <c r="AF845" s="146"/>
      <c r="AG845" s="146"/>
      <c r="AH845" s="146"/>
      <c r="AI845" s="146"/>
      <c r="AJ845" s="146"/>
      <c r="AK845" s="146"/>
      <c r="AL845" s="146">
        <v>594.8087837700109</v>
      </c>
      <c r="AM845" s="146">
        <v>0.25181755747746376</v>
      </c>
      <c r="AN845" s="146">
        <v>0.24888634553615657</v>
      </c>
      <c r="AO845" s="146">
        <v>366.2228932575681</v>
      </c>
      <c r="AP845" s="146">
        <v>345.30410895174589</v>
      </c>
      <c r="AQ845" t="s">
        <v>308</v>
      </c>
      <c r="AR845">
        <v>0</v>
      </c>
      <c r="AS845">
        <v>0</v>
      </c>
      <c r="AT845">
        <v>0</v>
      </c>
      <c r="AU845">
        <v>1</v>
      </c>
      <c r="AV845">
        <v>0.1</v>
      </c>
      <c r="AW845">
        <v>3</v>
      </c>
      <c r="AX845" s="141">
        <v>5.5628235104799438E-2</v>
      </c>
      <c r="AY845" s="141">
        <v>1E-8</v>
      </c>
      <c r="AZ845" s="209">
        <v>345.30410895174589</v>
      </c>
      <c r="BA845">
        <v>5.5628235104799438E-2</v>
      </c>
      <c r="BB845" s="249">
        <v>27.789629509542358</v>
      </c>
      <c r="BC845" s="243">
        <v>124.72956152776133</v>
      </c>
      <c r="BD845" s="209">
        <v>56668.253148831529</v>
      </c>
      <c r="BE845" s="243">
        <v>44.102771286736548</v>
      </c>
      <c r="BF845">
        <v>92428.796496038573</v>
      </c>
      <c r="BG845" t="s">
        <v>387</v>
      </c>
      <c r="BH845">
        <v>4.298669388783433E-6</v>
      </c>
      <c r="BI845">
        <v>1766682.5314883152</v>
      </c>
      <c r="BJ845">
        <f t="shared" si="51"/>
        <v>5.231771687818372E-2</v>
      </c>
    </row>
    <row r="846" spans="1:62" x14ac:dyDescent="0.3">
      <c r="A846">
        <v>-0.1</v>
      </c>
      <c r="B846" s="146">
        <v>400</v>
      </c>
      <c r="C846" s="146">
        <v>25</v>
      </c>
      <c r="D846" s="146">
        <v>400</v>
      </c>
      <c r="E846" s="252">
        <v>10.389870737363648</v>
      </c>
      <c r="F846" s="146">
        <v>3.2349731376938542</v>
      </c>
      <c r="G846" s="146">
        <v>12.496904779447135</v>
      </c>
      <c r="H846" s="146">
        <v>0</v>
      </c>
      <c r="I846" s="146"/>
      <c r="J846" s="146">
        <v>6.1283854608522689E-2</v>
      </c>
      <c r="K846" s="146">
        <v>1E-8</v>
      </c>
      <c r="L846" s="146">
        <v>57.152500408786132</v>
      </c>
      <c r="M846" s="146">
        <v>34.291499978560005</v>
      </c>
      <c r="N846" s="146">
        <v>0.59845693954792578</v>
      </c>
      <c r="O846" s="146"/>
      <c r="P846" s="146"/>
      <c r="Q846" s="146"/>
      <c r="R846" s="146"/>
      <c r="S846" s="146"/>
      <c r="T846" s="146"/>
      <c r="U846" s="146"/>
      <c r="V846" s="146"/>
      <c r="W846" s="146"/>
      <c r="X846" s="146"/>
      <c r="Y846" s="146"/>
      <c r="Z846" s="146" t="s">
        <v>35</v>
      </c>
      <c r="AA846" s="146"/>
      <c r="AB846" s="146"/>
      <c r="AC846" s="146"/>
      <c r="AD846" s="146"/>
      <c r="AE846" s="146"/>
      <c r="AF846" s="146"/>
      <c r="AG846" s="146"/>
      <c r="AH846" s="146"/>
      <c r="AI846" s="146"/>
      <c r="AJ846" s="146"/>
      <c r="AK846" s="146"/>
      <c r="AL846" s="146">
        <v>633.02225750480625</v>
      </c>
      <c r="AM846" s="146">
        <v>0.2588619498016988</v>
      </c>
      <c r="AN846" s="146">
        <v>0.25747775722336014</v>
      </c>
      <c r="AO846" s="146">
        <v>359.64750179041482</v>
      </c>
      <c r="AP846" s="146">
        <v>333.79378773084329</v>
      </c>
      <c r="AQ846" t="s">
        <v>308</v>
      </c>
      <c r="AR846">
        <v>0</v>
      </c>
      <c r="AS846">
        <v>0</v>
      </c>
      <c r="AT846">
        <v>0</v>
      </c>
      <c r="AU846">
        <v>1</v>
      </c>
      <c r="AV846">
        <v>0.1</v>
      </c>
      <c r="AW846">
        <v>3</v>
      </c>
      <c r="AX846" s="141">
        <v>5.6469161881523046E-2</v>
      </c>
      <c r="AY846" s="141">
        <v>1E-8</v>
      </c>
      <c r="AZ846" s="209">
        <v>333.79378773084329</v>
      </c>
      <c r="BA846">
        <v>5.6469161881523046E-2</v>
      </c>
      <c r="BB846" s="249">
        <v>34.988753093694797</v>
      </c>
      <c r="BC846" s="243">
        <v>142.81007932618519</v>
      </c>
      <c r="BD846" s="209">
        <v>68520.188496473085</v>
      </c>
      <c r="BE846" s="243">
        <v>53.008909968439525</v>
      </c>
      <c r="BF846">
        <v>132744.69591246423</v>
      </c>
      <c r="BG846" t="s">
        <v>387</v>
      </c>
      <c r="BH846">
        <v>4.9180359829520265E-6</v>
      </c>
      <c r="BI846">
        <v>1885201.8849647308</v>
      </c>
      <c r="BJ846">
        <f t="shared" si="51"/>
        <v>7.0414047944232602E-2</v>
      </c>
    </row>
    <row r="847" spans="1:62" x14ac:dyDescent="0.3">
      <c r="A847">
        <v>-0.1</v>
      </c>
      <c r="B847" s="146">
        <v>600</v>
      </c>
      <c r="C847" s="146">
        <v>25</v>
      </c>
      <c r="D847" s="146">
        <v>400</v>
      </c>
      <c r="E847" s="252">
        <v>13.618648748276652</v>
      </c>
      <c r="F847" s="146">
        <v>4.4596063222307718</v>
      </c>
      <c r="G847" s="146">
        <v>16.443948768307301</v>
      </c>
      <c r="H847" s="146">
        <v>0</v>
      </c>
      <c r="I847" s="146"/>
      <c r="J847" s="146">
        <v>6.244780637838758E-2</v>
      </c>
      <c r="K847" s="146">
        <v>1E-8</v>
      </c>
      <c r="L847" s="146">
        <v>77.23704620520364</v>
      </c>
      <c r="M847" s="146">
        <v>46.342227362682635</v>
      </c>
      <c r="N847" s="146">
        <v>0.75411116827675384</v>
      </c>
      <c r="O847" s="146"/>
      <c r="P847" s="146"/>
      <c r="Q847" s="146"/>
      <c r="R847" s="146"/>
      <c r="S847" s="146"/>
      <c r="T847" s="146"/>
      <c r="U847" s="146"/>
      <c r="V847" s="146"/>
      <c r="W847" s="146"/>
      <c r="X847" s="146"/>
      <c r="Y847" s="146"/>
      <c r="Z847" s="146" t="s">
        <v>35</v>
      </c>
      <c r="AA847" s="146"/>
      <c r="AB847" s="146"/>
      <c r="AC847" s="146"/>
      <c r="AD847" s="146"/>
      <c r="AE847" s="146"/>
      <c r="AF847" s="146"/>
      <c r="AG847" s="146"/>
      <c r="AH847" s="146"/>
      <c r="AI847" s="146"/>
      <c r="AJ847" s="146"/>
      <c r="AK847" s="146"/>
      <c r="AL847" s="146">
        <v>692.47125914843593</v>
      </c>
      <c r="AM847" s="146">
        <v>0.27120045100273277</v>
      </c>
      <c r="AN847" s="146">
        <v>0.2686325894015168</v>
      </c>
      <c r="AO847" s="146">
        <v>349.30381016459148</v>
      </c>
      <c r="AP847" s="146">
        <v>315.41567501005926</v>
      </c>
      <c r="AQ847" t="s">
        <v>308</v>
      </c>
      <c r="AR847">
        <v>0</v>
      </c>
      <c r="AS847">
        <v>0</v>
      </c>
      <c r="AT847">
        <v>0</v>
      </c>
      <c r="AU847">
        <v>1</v>
      </c>
      <c r="AV847">
        <v>0.1</v>
      </c>
      <c r="AW847">
        <v>3</v>
      </c>
      <c r="AX847" s="141">
        <v>5.7959108410105431E-2</v>
      </c>
      <c r="AY847" s="141">
        <v>1E-8</v>
      </c>
      <c r="AZ847" s="209">
        <v>315.41567501005926</v>
      </c>
      <c r="BA847">
        <v>5.7959108410105431E-2</v>
      </c>
      <c r="BB847" s="249">
        <v>47.434662262287347</v>
      </c>
      <c r="BC847" s="243">
        <v>170.27881620853174</v>
      </c>
      <c r="BD847" s="209">
        <v>88190.349030008816</v>
      </c>
      <c r="BE847" s="243">
        <v>67.919927357573556</v>
      </c>
      <c r="BF847">
        <v>212502.85711637983</v>
      </c>
      <c r="BG847" t="s">
        <v>387</v>
      </c>
      <c r="BH847">
        <v>5.6923654755018104E-6</v>
      </c>
      <c r="BI847">
        <v>2081903.4903000882</v>
      </c>
      <c r="BJ847">
        <f t="shared" si="51"/>
        <v>0.10207142555188733</v>
      </c>
    </row>
    <row r="848" spans="1:62" x14ac:dyDescent="0.3">
      <c r="A848">
        <v>-0.1</v>
      </c>
      <c r="B848" s="146">
        <v>800</v>
      </c>
      <c r="C848" s="146">
        <v>25</v>
      </c>
      <c r="D848" s="146">
        <v>400</v>
      </c>
      <c r="E848" s="252">
        <v>16.099878945592078</v>
      </c>
      <c r="F848" s="146">
        <v>5.4948933437081005</v>
      </c>
      <c r="G848" s="146">
        <v>19.521857731734364</v>
      </c>
      <c r="H848" s="146">
        <v>0</v>
      </c>
      <c r="I848" s="146"/>
      <c r="J848" s="146">
        <v>6.3436610259066897E-2</v>
      </c>
      <c r="K848" s="146">
        <v>1E-8</v>
      </c>
      <c r="L848" s="146">
        <v>93.618364003742784</v>
      </c>
      <c r="M848" s="146">
        <v>56.171017965359972</v>
      </c>
      <c r="N848" s="146">
        <v>0.86934076356821843</v>
      </c>
      <c r="O848" s="146"/>
      <c r="P848" s="146"/>
      <c r="Q848" s="146"/>
      <c r="R848" s="146"/>
      <c r="S848" s="146"/>
      <c r="T848" s="146"/>
      <c r="U848" s="146"/>
      <c r="V848" s="146"/>
      <c r="W848" s="146"/>
      <c r="X848" s="146"/>
      <c r="Y848" s="146"/>
      <c r="Z848" s="146" t="s">
        <v>35</v>
      </c>
      <c r="AA848" s="146"/>
      <c r="AB848" s="146"/>
      <c r="AC848" s="146"/>
      <c r="AD848" s="146"/>
      <c r="AE848" s="146"/>
      <c r="AF848" s="146"/>
      <c r="AG848" s="146"/>
      <c r="AH848" s="146"/>
      <c r="AI848" s="146"/>
      <c r="AJ848" s="146"/>
      <c r="AK848" s="146"/>
      <c r="AL848" s="146">
        <v>736.23216077413963</v>
      </c>
      <c r="AM848" s="146">
        <v>0.28147389552868757</v>
      </c>
      <c r="AN848" s="146">
        <v>0.27579791921872115</v>
      </c>
      <c r="AO848" s="146">
        <v>341.62436398650243</v>
      </c>
      <c r="AP848" s="146">
        <v>301.56177899003058</v>
      </c>
      <c r="AQ848" t="s">
        <v>308</v>
      </c>
      <c r="AR848">
        <v>0</v>
      </c>
      <c r="AS848">
        <v>0</v>
      </c>
      <c r="AT848">
        <v>0</v>
      </c>
      <c r="AU848">
        <v>1</v>
      </c>
      <c r="AV848">
        <v>0.1</v>
      </c>
      <c r="AW848">
        <v>3</v>
      </c>
      <c r="AX848" s="141">
        <v>5.920326735328045E-2</v>
      </c>
      <c r="AY848" s="141">
        <v>1E-8</v>
      </c>
      <c r="AZ848" s="209">
        <v>301.56177899003058</v>
      </c>
      <c r="BA848">
        <v>5.920326735328045E-2</v>
      </c>
      <c r="BB848" s="249">
        <v>57.690756914498969</v>
      </c>
      <c r="BC848" s="243">
        <v>189.95315237668018</v>
      </c>
      <c r="BD848" s="209">
        <v>103607.24507850103</v>
      </c>
      <c r="BE848" s="243">
        <v>79.85969333861469</v>
      </c>
      <c r="BF848">
        <v>286312.80390093464</v>
      </c>
      <c r="BG848" t="s">
        <v>387</v>
      </c>
      <c r="BH848">
        <v>6.1298285914534322E-6</v>
      </c>
      <c r="BI848">
        <v>2236072.4507850101</v>
      </c>
      <c r="BJ848">
        <f t="shared" si="51"/>
        <v>0.12804272231895697</v>
      </c>
    </row>
    <row r="849" spans="1:62" x14ac:dyDescent="0.3">
      <c r="A849">
        <v>-0.1</v>
      </c>
      <c r="B849" s="146">
        <v>1000</v>
      </c>
      <c r="C849" s="146">
        <v>25</v>
      </c>
      <c r="D849" s="146">
        <v>400</v>
      </c>
      <c r="E849" s="252">
        <v>18.012798437612094</v>
      </c>
      <c r="F849" s="146">
        <v>6.354896148924281</v>
      </c>
      <c r="G849" s="146">
        <v>21.923984683659931</v>
      </c>
      <c r="H849" s="146">
        <v>0</v>
      </c>
      <c r="I849" s="146"/>
      <c r="J849" s="146">
        <v>6.41491888537363E-2</v>
      </c>
      <c r="K849" s="146">
        <v>1E-8</v>
      </c>
      <c r="L849" s="146">
        <v>106.91972323415973</v>
      </c>
      <c r="M849" s="146">
        <v>64.151833441537136</v>
      </c>
      <c r="N849" s="146">
        <v>0.95791793323237817</v>
      </c>
      <c r="O849" s="146"/>
      <c r="P849" s="146"/>
      <c r="Q849" s="146"/>
      <c r="R849" s="146"/>
      <c r="S849" s="146"/>
      <c r="T849" s="146"/>
      <c r="U849" s="146"/>
      <c r="V849" s="146"/>
      <c r="W849" s="146"/>
      <c r="X849" s="146"/>
      <c r="Y849" s="146"/>
      <c r="Z849" s="146" t="s">
        <v>35</v>
      </c>
      <c r="AA849" s="146"/>
      <c r="AB849" s="146"/>
      <c r="AC849" s="146"/>
      <c r="AD849" s="146"/>
      <c r="AE849" s="146"/>
      <c r="AF849" s="146"/>
      <c r="AG849" s="146"/>
      <c r="AH849" s="146"/>
      <c r="AI849" s="146"/>
      <c r="AJ849" s="146"/>
      <c r="AK849" s="146"/>
      <c r="AL849" s="146">
        <v>770.03538161536073</v>
      </c>
      <c r="AM849" s="146">
        <v>0.2898604537732879</v>
      </c>
      <c r="AN849" s="146">
        <v>0.28100515560063599</v>
      </c>
      <c r="AO849" s="146">
        <v>335.89869054498115</v>
      </c>
      <c r="AP849" s="146">
        <v>291.07641499917179</v>
      </c>
      <c r="AQ849" t="s">
        <v>308</v>
      </c>
      <c r="AR849">
        <v>0</v>
      </c>
      <c r="AS849">
        <v>0</v>
      </c>
      <c r="AT849">
        <v>0</v>
      </c>
      <c r="AU849">
        <v>1</v>
      </c>
      <c r="AV849">
        <v>0.1</v>
      </c>
      <c r="AW849">
        <v>3</v>
      </c>
      <c r="AX849" s="141">
        <v>6.0126304059225873E-2</v>
      </c>
      <c r="AY849" s="141">
        <v>1E-8</v>
      </c>
      <c r="AZ849" s="209">
        <v>291.07641499917179</v>
      </c>
      <c r="BA849">
        <v>6.0126304059225873E-2</v>
      </c>
      <c r="BB849" s="249">
        <v>66.051498239772968</v>
      </c>
      <c r="BC849" s="243">
        <v>204.16440946393669</v>
      </c>
      <c r="BD849" s="209">
        <v>115536.39926796862</v>
      </c>
      <c r="BE849" s="243">
        <v>89.330859170341085</v>
      </c>
      <c r="BF849">
        <v>351032.24443248601</v>
      </c>
      <c r="BG849" t="s">
        <v>387</v>
      </c>
      <c r="BH849">
        <v>6.395110924797846E-6</v>
      </c>
      <c r="BI849">
        <v>2355363.9926796863</v>
      </c>
      <c r="BJ849">
        <f t="shared" si="51"/>
        <v>0.14903524275800714</v>
      </c>
    </row>
    <row r="850" spans="1:62" x14ac:dyDescent="0.3">
      <c r="A850">
        <v>-0.1</v>
      </c>
      <c r="B850" s="146">
        <v>1300</v>
      </c>
      <c r="C850" s="146">
        <v>25</v>
      </c>
      <c r="D850" s="146">
        <v>400</v>
      </c>
      <c r="E850" s="252">
        <v>20.114938887351105</v>
      </c>
      <c r="F850" s="146">
        <v>7.3695028827594449</v>
      </c>
      <c r="G850" s="146">
        <v>24.596418330262505</v>
      </c>
      <c r="H850" s="146">
        <v>0</v>
      </c>
      <c r="I850" s="146"/>
      <c r="J850" s="146">
        <v>6.509292603589914E-2</v>
      </c>
      <c r="K850" s="146">
        <v>1E-8</v>
      </c>
      <c r="L850" s="146">
        <v>122.26913065589821</v>
      </c>
      <c r="M850" s="146">
        <v>73.361477822949638</v>
      </c>
      <c r="N850" s="146">
        <v>1.0511841960404769</v>
      </c>
      <c r="O850" s="146"/>
      <c r="P850" s="146"/>
      <c r="Q850" s="146"/>
      <c r="R850" s="146"/>
      <c r="S850" s="146"/>
      <c r="T850" s="146"/>
      <c r="U850" s="146"/>
      <c r="V850" s="146"/>
      <c r="W850" s="146"/>
      <c r="X850" s="146"/>
      <c r="Y850" s="146"/>
      <c r="Z850" s="146" t="s">
        <v>35</v>
      </c>
      <c r="AA850" s="146"/>
      <c r="AB850" s="146"/>
      <c r="AC850" s="146"/>
      <c r="AD850" s="146"/>
      <c r="AE850" s="146"/>
      <c r="AF850" s="146"/>
      <c r="AG850" s="146"/>
      <c r="AH850" s="146"/>
      <c r="AI850" s="146"/>
      <c r="AJ850" s="146"/>
      <c r="AK850" s="146"/>
      <c r="AL850" s="146">
        <v>805.29715352412006</v>
      </c>
      <c r="AM850" s="146">
        <v>0.29961691103994137</v>
      </c>
      <c r="AN850" s="146">
        <v>0.2863679571606712</v>
      </c>
      <c r="AO850" s="146">
        <v>329.75841610636172</v>
      </c>
      <c r="AP850" s="146">
        <v>279.70505550388157</v>
      </c>
      <c r="AQ850" t="s">
        <v>308</v>
      </c>
      <c r="AR850">
        <v>0</v>
      </c>
      <c r="AS850">
        <v>0</v>
      </c>
      <c r="AT850">
        <v>0</v>
      </c>
      <c r="AU850">
        <v>1</v>
      </c>
      <c r="AV850">
        <v>0.1</v>
      </c>
      <c r="AW850" s="146">
        <v>3</v>
      </c>
      <c r="AX850" s="141">
        <v>6.1292418091781056E-2</v>
      </c>
      <c r="AY850" s="228">
        <v>1E-8</v>
      </c>
      <c r="AZ850" s="209">
        <v>279.70505550388157</v>
      </c>
      <c r="BA850">
        <v>6.1292418091781056E-2</v>
      </c>
      <c r="BB850" s="249">
        <v>75.748113973319946</v>
      </c>
      <c r="BC850" s="243">
        <v>218.55250066766459</v>
      </c>
      <c r="BD850" s="209">
        <v>128618.65113897655</v>
      </c>
      <c r="BE850" s="243">
        <v>100.13869994500672</v>
      </c>
      <c r="BF850">
        <v>430536.03703612695</v>
      </c>
      <c r="BG850" t="s">
        <v>387</v>
      </c>
      <c r="BH850">
        <v>6.6275338978727524E-6</v>
      </c>
      <c r="BI850">
        <v>2486186.5113897654</v>
      </c>
      <c r="BJ850">
        <f t="shared" si="51"/>
        <v>0.17317125447497481</v>
      </c>
    </row>
    <row r="851" spans="1:62" x14ac:dyDescent="0.3">
      <c r="A851">
        <v>-0.1</v>
      </c>
      <c r="B851" s="227">
        <v>1600</v>
      </c>
      <c r="C851" s="146">
        <v>25</v>
      </c>
      <c r="D851" s="146">
        <v>400</v>
      </c>
      <c r="E851" s="252">
        <v>21.540482343679596</v>
      </c>
      <c r="F851" s="146">
        <v>8.0975946126738467</v>
      </c>
      <c r="G851" s="146">
        <v>26.42599298551017</v>
      </c>
      <c r="H851" s="146">
        <v>0</v>
      </c>
      <c r="I851" s="146"/>
      <c r="J851" s="146">
        <v>6.5480314217213662E-2</v>
      </c>
      <c r="K851" s="146">
        <v>1E-8</v>
      </c>
      <c r="L851" s="146">
        <v>133.30631102193499</v>
      </c>
      <c r="M851" s="146">
        <v>79.983785991064863</v>
      </c>
      <c r="N851" s="146">
        <v>1.1195388442419869</v>
      </c>
      <c r="O851" s="146"/>
      <c r="P851" s="146"/>
      <c r="Q851" s="146"/>
      <c r="R851" s="146"/>
      <c r="S851" s="146"/>
      <c r="T851" s="146"/>
      <c r="U851" s="146"/>
      <c r="V851" s="146"/>
      <c r="W851" s="146"/>
      <c r="X851" s="146"/>
      <c r="Y851" s="146"/>
      <c r="Z851" s="146" t="s">
        <v>35</v>
      </c>
      <c r="AA851" s="146"/>
      <c r="AB851" s="146"/>
      <c r="AC851" s="146"/>
      <c r="AD851" s="146"/>
      <c r="AE851" s="146"/>
      <c r="AF851" s="146"/>
      <c r="AG851" s="146"/>
      <c r="AH851" s="146"/>
      <c r="AI851" s="146"/>
      <c r="AJ851" s="146"/>
      <c r="AK851" s="146"/>
      <c r="AL851" s="146">
        <v>831.99653609624318</v>
      </c>
      <c r="AM851" s="146">
        <v>0.30642536752030086</v>
      </c>
      <c r="AN851" s="146">
        <v>0.29041072996548989</v>
      </c>
      <c r="AO851" s="146">
        <v>325.82752591049478</v>
      </c>
      <c r="AP851" s="146">
        <v>272.22711397524961</v>
      </c>
      <c r="AQ851" t="s">
        <v>308</v>
      </c>
      <c r="AR851">
        <v>0</v>
      </c>
      <c r="AS851">
        <v>0</v>
      </c>
      <c r="AT851">
        <v>0</v>
      </c>
      <c r="AU851">
        <v>1</v>
      </c>
      <c r="AV851">
        <v>0.1</v>
      </c>
      <c r="AW851" s="146">
        <v>3</v>
      </c>
      <c r="AX851" s="141">
        <v>6.1867698552635471E-2</v>
      </c>
      <c r="AY851" s="228">
        <v>1E-8</v>
      </c>
      <c r="AZ851" s="209">
        <v>272.22711397524961</v>
      </c>
      <c r="BA851">
        <v>6.1867698552635471E-2</v>
      </c>
      <c r="BB851" s="249">
        <v>82.616315588281992</v>
      </c>
      <c r="BC851" s="243">
        <v>227.23476110612819</v>
      </c>
      <c r="BD851" s="209">
        <v>137136.64615799463</v>
      </c>
      <c r="BE851" s="243">
        <v>107.4505730913323</v>
      </c>
      <c r="BF851">
        <v>489072.61134869326</v>
      </c>
      <c r="BG851" t="s">
        <v>387</v>
      </c>
      <c r="BH851">
        <v>6.763787858710455E-6</v>
      </c>
      <c r="BI851">
        <v>2571366.4615799463</v>
      </c>
      <c r="BJ851">
        <f t="shared" si="51"/>
        <v>0.19019949845973658</v>
      </c>
    </row>
    <row r="852" spans="1:62" s="140" customFormat="1" x14ac:dyDescent="0.3">
      <c r="A852" s="140">
        <v>-0.1</v>
      </c>
      <c r="B852" s="140">
        <v>1900</v>
      </c>
      <c r="C852" s="140">
        <v>25</v>
      </c>
      <c r="D852" s="140">
        <v>400</v>
      </c>
      <c r="E852" s="253">
        <v>22.553350536769067</v>
      </c>
      <c r="F852" s="140">
        <v>8.6381883534305182</v>
      </c>
      <c r="G852" s="140">
        <v>27.736356619031255</v>
      </c>
      <c r="H852" s="140">
        <v>0</v>
      </c>
      <c r="J852" s="140">
        <v>6.5875911938007709E-2</v>
      </c>
      <c r="K852" s="140">
        <v>1E-8</v>
      </c>
      <c r="L852" s="140">
        <v>141.41802794422068</v>
      </c>
      <c r="M852" s="140">
        <v>84.850816106581604</v>
      </c>
      <c r="N852" s="140">
        <v>1.1653275973691315</v>
      </c>
      <c r="Z852" s="140" t="s">
        <v>35</v>
      </c>
      <c r="AL852" s="140">
        <v>849.61595441660711</v>
      </c>
      <c r="AM852" s="140">
        <v>0.31143918691553885</v>
      </c>
      <c r="AN852" s="140">
        <v>0.29317836133142872</v>
      </c>
      <c r="AO852" s="140">
        <v>323.07293609819578</v>
      </c>
      <c r="AP852" s="140">
        <v>266.95215573204132</v>
      </c>
      <c r="AQ852" s="140" t="s">
        <v>308</v>
      </c>
      <c r="AR852" s="140">
        <v>0</v>
      </c>
      <c r="AS852" s="140">
        <v>0</v>
      </c>
      <c r="AT852" s="140">
        <v>0</v>
      </c>
      <c r="AU852" s="140">
        <v>1</v>
      </c>
      <c r="AV852">
        <v>0.1</v>
      </c>
      <c r="AW852" s="140">
        <v>3</v>
      </c>
      <c r="AX852" s="141">
        <v>6.2387173627326903E-2</v>
      </c>
      <c r="AY852" s="205">
        <v>1E-8</v>
      </c>
      <c r="AZ852" s="209">
        <v>266.95215573204132</v>
      </c>
      <c r="BA852" s="140">
        <v>6.2387173627326903E-2</v>
      </c>
      <c r="BB852" s="253">
        <v>87.665479941588075</v>
      </c>
      <c r="BC852" s="245">
        <v>232.7673501537798</v>
      </c>
      <c r="BD852" s="210">
        <v>143073.497588559</v>
      </c>
      <c r="BE852" s="245">
        <v>112.79741206499078</v>
      </c>
      <c r="BF852" s="140">
        <v>533173.90178386227</v>
      </c>
      <c r="BG852" t="s">
        <v>387</v>
      </c>
      <c r="BH852" s="140">
        <v>6.8496771277747865E-6</v>
      </c>
      <c r="BI852" s="140">
        <v>2630734.9758855901</v>
      </c>
      <c r="BJ852">
        <f t="shared" si="51"/>
        <v>0.20267108115076427</v>
      </c>
    </row>
    <row r="853" spans="1:62" x14ac:dyDescent="0.3">
      <c r="A853">
        <v>-0.1</v>
      </c>
      <c r="B853" s="146">
        <v>1000</v>
      </c>
      <c r="C853" s="146">
        <v>25</v>
      </c>
      <c r="D853" s="146">
        <v>200</v>
      </c>
      <c r="E853" s="252">
        <v>12.40664848438405</v>
      </c>
      <c r="F853" s="146">
        <v>10.914635983661613</v>
      </c>
      <c r="G853" s="146">
        <v>18.735177691902742</v>
      </c>
      <c r="H853" s="146">
        <v>0</v>
      </c>
      <c r="I853" s="146"/>
      <c r="J853" s="146">
        <v>9.8031827208131611E-2</v>
      </c>
      <c r="K853" s="146">
        <v>1E-8</v>
      </c>
      <c r="L853" s="146">
        <v>113.26795120331259</v>
      </c>
      <c r="M853" s="146">
        <v>67.960770193403775</v>
      </c>
      <c r="N853" s="146">
        <v>1.0409926799916533</v>
      </c>
      <c r="O853" s="146"/>
      <c r="P853" s="146"/>
      <c r="Q853" s="146"/>
      <c r="R853" s="146"/>
      <c r="S853" s="146"/>
      <c r="T853" s="146"/>
      <c r="U853" s="146"/>
      <c r="V853" s="146"/>
      <c r="W853" s="146"/>
      <c r="X853" s="146"/>
      <c r="Y853" s="146"/>
      <c r="Z853" s="146" t="s">
        <v>35</v>
      </c>
      <c r="AA853" s="146"/>
      <c r="AB853" s="146"/>
      <c r="AC853" s="146"/>
      <c r="AD853" s="146"/>
      <c r="AE853" s="146"/>
      <c r="AF853" s="146"/>
      <c r="AG853" s="146"/>
      <c r="AH853" s="146"/>
      <c r="AI853" s="146"/>
      <c r="AJ853" s="146"/>
      <c r="AK853" s="146"/>
      <c r="AL853" s="146">
        <v>646.33834425355337</v>
      </c>
      <c r="AM853" s="146">
        <v>0.58257445769403449</v>
      </c>
      <c r="AN853" s="146">
        <v>0.28662165676247542</v>
      </c>
      <c r="AO853" s="146">
        <v>156.71419729924494</v>
      </c>
      <c r="AP853" s="146">
        <v>125.84200425772639</v>
      </c>
      <c r="AQ853" t="s">
        <v>308</v>
      </c>
      <c r="AR853">
        <v>0</v>
      </c>
      <c r="AS853">
        <v>0</v>
      </c>
      <c r="AT853">
        <v>0</v>
      </c>
      <c r="AU853">
        <v>1</v>
      </c>
      <c r="AV853">
        <v>0.1</v>
      </c>
      <c r="AW853" s="146">
        <v>3</v>
      </c>
      <c r="AX853" s="141">
        <v>9.1594160264681618E-2</v>
      </c>
      <c r="AY853" s="141">
        <v>1E-8</v>
      </c>
      <c r="AZ853" s="209">
        <v>125.84200425772639</v>
      </c>
      <c r="BA853">
        <v>9.1594160264681618E-2</v>
      </c>
      <c r="BB853" s="249">
        <v>94.201613817880727</v>
      </c>
      <c r="BC853" s="243">
        <v>224.46145828768863</v>
      </c>
      <c r="BD853" s="209">
        <v>147643.89098697534</v>
      </c>
      <c r="BE853" s="243">
        <v>124.02302798746541</v>
      </c>
      <c r="BF853">
        <v>259079.70356077229</v>
      </c>
      <c r="BG853" t="s">
        <v>388</v>
      </c>
      <c r="BH853">
        <v>3.9852041293531115E-6</v>
      </c>
      <c r="BI853">
        <v>2676438.9098697533</v>
      </c>
      <c r="BJ853">
        <f t="shared" si="51"/>
        <v>9.6800155835942536E-2</v>
      </c>
    </row>
    <row r="854" spans="1:62" x14ac:dyDescent="0.3">
      <c r="A854">
        <v>-0.1</v>
      </c>
      <c r="B854" s="146">
        <v>1000</v>
      </c>
      <c r="C854" s="146">
        <v>25</v>
      </c>
      <c r="D854" s="146">
        <v>300</v>
      </c>
      <c r="E854" s="252">
        <v>15.799449485774408</v>
      </c>
      <c r="F854" s="146">
        <v>8.1291253899799916</v>
      </c>
      <c r="G854" s="146">
        <v>20.650473595236299</v>
      </c>
      <c r="H854" s="146">
        <v>0</v>
      </c>
      <c r="I854" s="146"/>
      <c r="J854" s="146">
        <v>7.8181365917461693E-2</v>
      </c>
      <c r="K854" s="146">
        <v>1E-8</v>
      </c>
      <c r="L854" s="146">
        <v>109.39022584972292</v>
      </c>
      <c r="M854" s="146">
        <v>65.634134999346031</v>
      </c>
      <c r="N854" s="146">
        <v>1.0193475131113918</v>
      </c>
      <c r="O854" s="146"/>
      <c r="P854" s="146"/>
      <c r="Q854" s="146"/>
      <c r="R854" s="146"/>
      <c r="S854" s="146"/>
      <c r="T854" s="146"/>
      <c r="U854" s="146"/>
      <c r="V854" s="146"/>
      <c r="W854" s="146"/>
      <c r="X854" s="146"/>
      <c r="Y854" s="146"/>
      <c r="Z854" s="146" t="s">
        <v>35</v>
      </c>
      <c r="AA854" s="146"/>
      <c r="AB854" s="146"/>
      <c r="AC854" s="146"/>
      <c r="AD854" s="146"/>
      <c r="AE854" s="146"/>
      <c r="AF854" s="146"/>
      <c r="AG854" s="146"/>
      <c r="AH854" s="146"/>
      <c r="AI854" s="146"/>
      <c r="AJ854" s="146"/>
      <c r="AK854" s="146"/>
      <c r="AL854" s="146">
        <v>714.69740107289056</v>
      </c>
      <c r="AM854" s="146">
        <v>0.39365321829012373</v>
      </c>
      <c r="AN854" s="146">
        <v>0.28384782645392431</v>
      </c>
      <c r="AO854" s="146">
        <v>244.33831083663748</v>
      </c>
      <c r="AP854" s="146">
        <v>205.02364451719515</v>
      </c>
      <c r="AQ854" t="s">
        <v>308</v>
      </c>
      <c r="AR854">
        <v>0</v>
      </c>
      <c r="AS854">
        <v>0</v>
      </c>
      <c r="AT854">
        <v>0</v>
      </c>
      <c r="AU854">
        <v>1</v>
      </c>
      <c r="AV854">
        <v>0.1</v>
      </c>
      <c r="AW854" s="146">
        <v>3</v>
      </c>
      <c r="AX854" s="141">
        <v>7.3016610829183023E-2</v>
      </c>
      <c r="AY854" s="141">
        <v>1E-8</v>
      </c>
      <c r="AZ854" s="209">
        <v>205.02364451719515</v>
      </c>
      <c r="BA854">
        <v>7.3016610829183023E-2</v>
      </c>
      <c r="BB854" s="249">
        <v>77.016229917573725</v>
      </c>
      <c r="BC854" s="243">
        <v>211.83595503166109</v>
      </c>
      <c r="BD854" s="209">
        <v>127785.35839866821</v>
      </c>
      <c r="BE854" s="243">
        <v>102.74861075709761</v>
      </c>
      <c r="BF854">
        <v>318748.59761960286</v>
      </c>
      <c r="BG854" t="s">
        <v>388</v>
      </c>
      <c r="BH854">
        <v>5.3963269438734751E-6</v>
      </c>
      <c r="BI854">
        <v>2477853.5839866819</v>
      </c>
      <c r="BJ854">
        <f t="shared" si="51"/>
        <v>0.12863899613743929</v>
      </c>
    </row>
    <row r="855" spans="1:62" x14ac:dyDescent="0.3">
      <c r="A855">
        <v>-0.1</v>
      </c>
      <c r="B855" s="146">
        <v>1000</v>
      </c>
      <c r="C855" s="146">
        <v>25</v>
      </c>
      <c r="D855" s="146">
        <v>400</v>
      </c>
      <c r="E855" s="252">
        <v>18.010607025137389</v>
      </c>
      <c r="F855" s="146">
        <v>6.3535691115137203</v>
      </c>
      <c r="G855" s="146">
        <v>21.920997764631206</v>
      </c>
      <c r="H855" s="146">
        <v>0</v>
      </c>
      <c r="I855" s="146"/>
      <c r="J855" s="146">
        <v>6.4110064798147945E-2</v>
      </c>
      <c r="K855" s="146">
        <v>1E-8</v>
      </c>
      <c r="L855" s="146">
        <v>106.91358019834213</v>
      </c>
      <c r="M855" s="146">
        <v>64.148147620075235</v>
      </c>
      <c r="N855" s="146">
        <v>0.95856144931100928</v>
      </c>
      <c r="O855" s="146"/>
      <c r="P855" s="146"/>
      <c r="Q855" s="146"/>
      <c r="R855" s="146"/>
      <c r="S855" s="146"/>
      <c r="T855" s="146"/>
      <c r="U855" s="146"/>
      <c r="V855" s="146"/>
      <c r="W855" s="146"/>
      <c r="X855" s="146"/>
      <c r="Y855" s="146"/>
      <c r="Z855" s="146" t="s">
        <v>35</v>
      </c>
      <c r="AA855" s="146"/>
      <c r="AB855" s="146"/>
      <c r="AC855" s="146"/>
      <c r="AD855" s="146"/>
      <c r="AE855" s="146"/>
      <c r="AF855" s="146"/>
      <c r="AG855" s="146"/>
      <c r="AH855" s="146"/>
      <c r="AI855" s="146"/>
      <c r="AJ855" s="146"/>
      <c r="AK855" s="146"/>
      <c r="AL855" s="146">
        <v>770.38089162251538</v>
      </c>
      <c r="AM855" s="146">
        <v>0.28983941240872668</v>
      </c>
      <c r="AN855" s="146">
        <v>0.28105140800809181</v>
      </c>
      <c r="AO855" s="146">
        <v>335.91703684110757</v>
      </c>
      <c r="AP855" s="146">
        <v>291.10016696701115</v>
      </c>
      <c r="AQ855" t="s">
        <v>308</v>
      </c>
      <c r="AR855">
        <v>0</v>
      </c>
      <c r="AS855">
        <v>0</v>
      </c>
      <c r="AT855">
        <v>0</v>
      </c>
      <c r="AU855">
        <v>1</v>
      </c>
      <c r="AV855">
        <v>0.1</v>
      </c>
      <c r="AW855" s="146">
        <v>3</v>
      </c>
      <c r="AX855" s="141">
        <v>6.0091378860576347E-2</v>
      </c>
      <c r="AY855" s="141">
        <v>1E-8</v>
      </c>
      <c r="AZ855" s="209">
        <v>291.10016696701115</v>
      </c>
      <c r="BA855">
        <v>6.0091378860576347E-2</v>
      </c>
      <c r="BB855" s="249">
        <v>66.039452098365871</v>
      </c>
      <c r="BC855" s="243">
        <v>204.14567254462244</v>
      </c>
      <c r="BD855" s="209">
        <v>115505.78399954192</v>
      </c>
      <c r="BE855" s="243">
        <v>89.29680095016046</v>
      </c>
      <c r="BF855">
        <v>350921.32412781601</v>
      </c>
      <c r="BG855" t="s">
        <v>388</v>
      </c>
      <c r="BH855">
        <v>6.3953367184654454E-6</v>
      </c>
      <c r="BI855">
        <v>2355057.8399954191</v>
      </c>
      <c r="BJ855">
        <f t="shared" si="51"/>
        <v>0.14900751827330858</v>
      </c>
    </row>
    <row r="856" spans="1:62" x14ac:dyDescent="0.3">
      <c r="A856">
        <v>-0.1</v>
      </c>
      <c r="B856" s="146">
        <v>1000</v>
      </c>
      <c r="C856" s="146">
        <v>25</v>
      </c>
      <c r="D856" s="146">
        <v>500</v>
      </c>
      <c r="E856" s="252">
        <v>19.529945308210277</v>
      </c>
      <c r="F856" s="146">
        <v>5.1668845246485509</v>
      </c>
      <c r="G856" s="146">
        <v>22.81264957974965</v>
      </c>
      <c r="H856" s="146">
        <v>0</v>
      </c>
      <c r="I856" s="146"/>
      <c r="J856" s="146">
        <v>5.3575116347462752E-2</v>
      </c>
      <c r="K856" s="146">
        <v>1E-8</v>
      </c>
      <c r="L856" s="146">
        <v>105.32229867546303</v>
      </c>
      <c r="M856" s="146">
        <v>63.193378713773747</v>
      </c>
      <c r="N856" s="146">
        <v>0.88893505799391215</v>
      </c>
      <c r="O856" s="146"/>
      <c r="P856" s="146"/>
      <c r="Q856" s="146"/>
      <c r="R856" s="146"/>
      <c r="S856" s="146"/>
      <c r="T856" s="146"/>
      <c r="U856" s="146"/>
      <c r="V856" s="146"/>
      <c r="W856" s="146"/>
      <c r="X856" s="146"/>
      <c r="Y856" s="146"/>
      <c r="Z856" s="146" t="s">
        <v>35</v>
      </c>
      <c r="AA856" s="146"/>
      <c r="AB856" s="146"/>
      <c r="AC856" s="146"/>
      <c r="AD856" s="146"/>
      <c r="AE856" s="146"/>
      <c r="AF856" s="146"/>
      <c r="AG856" s="146"/>
      <c r="AH856" s="146"/>
      <c r="AI856" s="146"/>
      <c r="AJ856" s="146"/>
      <c r="AK856" s="146"/>
      <c r="AL856" s="146">
        <v>825.76795141610535</v>
      </c>
      <c r="AM856" s="146">
        <v>0.22649208311318186</v>
      </c>
      <c r="AN856" s="146">
        <v>0.27859306382139287</v>
      </c>
      <c r="AO856" s="146">
        <v>429.89794849763018</v>
      </c>
      <c r="AP856" s="146">
        <v>381.30042241914936</v>
      </c>
      <c r="AQ856" t="s">
        <v>308</v>
      </c>
      <c r="AR856">
        <v>0</v>
      </c>
      <c r="AS856">
        <v>0</v>
      </c>
      <c r="AT856">
        <v>0</v>
      </c>
      <c r="AU856">
        <v>1</v>
      </c>
      <c r="AV856">
        <v>0.1</v>
      </c>
      <c r="AW856" s="146">
        <v>3</v>
      </c>
      <c r="AX856" s="141">
        <v>5.0507458806481512E-2</v>
      </c>
      <c r="AY856" s="141">
        <v>1E-8</v>
      </c>
      <c r="AZ856" s="209">
        <v>381.30042241914936</v>
      </c>
      <c r="BA856">
        <v>5.0507458806481512E-2</v>
      </c>
      <c r="BB856" s="249">
        <v>58.72055584846138</v>
      </c>
      <c r="BC856" s="243">
        <v>199.34649700731416</v>
      </c>
      <c r="BD856" s="209">
        <v>107553.25310772019</v>
      </c>
      <c r="BE856" s="243">
        <v>80.358306678725185</v>
      </c>
      <c r="BF856">
        <v>369754.02335817291</v>
      </c>
      <c r="BG856" t="s">
        <v>388</v>
      </c>
      <c r="BH856">
        <v>7.1176924436358018E-6</v>
      </c>
      <c r="BI856">
        <v>2275532.5310772019</v>
      </c>
      <c r="BJ856">
        <f t="shared" si="51"/>
        <v>0.16249120516116597</v>
      </c>
    </row>
    <row r="857" spans="1:62" x14ac:dyDescent="0.3">
      <c r="A857">
        <v>-0.1</v>
      </c>
      <c r="B857" s="146">
        <v>1000</v>
      </c>
      <c r="C857" s="146">
        <v>25</v>
      </c>
      <c r="D857" s="146">
        <v>600</v>
      </c>
      <c r="E857" s="252">
        <v>20.618450066430189</v>
      </c>
      <c r="F857" s="146">
        <v>4.3299633851792612</v>
      </c>
      <c r="G857" s="146">
        <v>23.458841392165144</v>
      </c>
      <c r="H857" s="146">
        <v>0</v>
      </c>
      <c r="I857" s="146"/>
      <c r="J857" s="146">
        <v>4.539081059537721E-2</v>
      </c>
      <c r="K857" s="146">
        <v>1E-8</v>
      </c>
      <c r="L857" s="146">
        <v>104.24333318014436</v>
      </c>
      <c r="M857" s="146">
        <v>62.545999421617729</v>
      </c>
      <c r="N857" s="146">
        <v>0.82311393131000887</v>
      </c>
      <c r="O857" s="146"/>
      <c r="P857" s="146"/>
      <c r="Q857" s="146"/>
      <c r="R857" s="146"/>
      <c r="S857" s="146"/>
      <c r="T857" s="146"/>
      <c r="U857" s="146"/>
      <c r="V857" s="146"/>
      <c r="W857" s="146"/>
      <c r="X857" s="146"/>
      <c r="Y857" s="146"/>
      <c r="Z857" s="146" t="s">
        <v>35</v>
      </c>
      <c r="AA857" s="146"/>
      <c r="AB857" s="146"/>
      <c r="AC857" s="146"/>
      <c r="AD857" s="146"/>
      <c r="AE857" s="146"/>
      <c r="AF857" s="146"/>
      <c r="AG857" s="146"/>
      <c r="AH857" s="146"/>
      <c r="AI857" s="146"/>
      <c r="AJ857" s="146"/>
      <c r="AK857" s="146"/>
      <c r="AL857" s="146">
        <v>885.724026682729</v>
      </c>
      <c r="AM857" s="146">
        <v>0.18457703484987095</v>
      </c>
      <c r="AN857" s="146">
        <v>0.27665884665665874</v>
      </c>
      <c r="AO857" s="146">
        <v>525.47337518536597</v>
      </c>
      <c r="AP857" s="146">
        <v>474.16706102772451</v>
      </c>
      <c r="AQ857" t="s">
        <v>308</v>
      </c>
      <c r="AR857">
        <v>0</v>
      </c>
      <c r="AS857">
        <v>0</v>
      </c>
      <c r="AT857">
        <v>0</v>
      </c>
      <c r="AU857">
        <v>1</v>
      </c>
      <c r="AV857">
        <v>0.1</v>
      </c>
      <c r="AW857" s="146">
        <v>3</v>
      </c>
      <c r="AX857" s="141">
        <v>4.3078763235512227E-2</v>
      </c>
      <c r="AY857" s="141">
        <v>1E-8</v>
      </c>
      <c r="AZ857" s="209">
        <v>474.16706102772451</v>
      </c>
      <c r="BA857">
        <v>4.3078763235512227E-2</v>
      </c>
      <c r="BB857" s="249">
        <v>53.565828723638461</v>
      </c>
      <c r="BC857" s="243">
        <v>196.15252719188382</v>
      </c>
      <c r="BD857" s="209">
        <v>102035.74689007124</v>
      </c>
      <c r="BE857" s="243">
        <v>74.011326066245644</v>
      </c>
      <c r="BF857">
        <v>381367.36688301369</v>
      </c>
      <c r="BG857" t="s">
        <v>388</v>
      </c>
      <c r="BH857">
        <v>7.656510553082412E-6</v>
      </c>
      <c r="BI857">
        <v>2220357.4689007122</v>
      </c>
      <c r="BJ857">
        <f t="shared" si="51"/>
        <v>0.17175944514548225</v>
      </c>
    </row>
    <row r="858" spans="1:62" x14ac:dyDescent="0.3">
      <c r="A858">
        <v>-0.1</v>
      </c>
      <c r="B858" s="146">
        <v>1000</v>
      </c>
      <c r="C858" s="146">
        <v>25</v>
      </c>
      <c r="D858" s="146">
        <v>700</v>
      </c>
      <c r="E858" s="252">
        <v>21.437671349638197</v>
      </c>
      <c r="F858" s="146">
        <v>3.7164661695338461</v>
      </c>
      <c r="G858" s="146">
        <v>23.954289601450824</v>
      </c>
      <c r="H858" s="146">
        <v>0</v>
      </c>
      <c r="I858" s="146"/>
      <c r="J858" s="146">
        <v>3.905647146981276E-2</v>
      </c>
      <c r="K858" s="146">
        <v>1E-8</v>
      </c>
      <c r="L858" s="146">
        <v>103.49447633635288</v>
      </c>
      <c r="M858" s="146">
        <v>62.096685318837494</v>
      </c>
      <c r="N858" s="146">
        <v>0.7615684444677806</v>
      </c>
      <c r="O858" s="146"/>
      <c r="P858" s="146"/>
      <c r="Q858" s="146"/>
      <c r="R858" s="146"/>
      <c r="S858" s="146"/>
      <c r="T858" s="146"/>
      <c r="U858" s="146"/>
      <c r="V858" s="146"/>
      <c r="W858" s="146"/>
      <c r="X858" s="146"/>
      <c r="Y858" s="146"/>
      <c r="Z858" s="146" t="s">
        <v>35</v>
      </c>
      <c r="AA858" s="146"/>
      <c r="AB858" s="146"/>
      <c r="AC858" s="146"/>
      <c r="AD858" s="146"/>
      <c r="AE858" s="146"/>
      <c r="AF858" s="146"/>
      <c r="AG858" s="146"/>
      <c r="AH858" s="146"/>
      <c r="AI858" s="146"/>
      <c r="AJ858" s="146"/>
      <c r="AK858" s="146"/>
      <c r="AL858" s="146">
        <v>949.47895346418818</v>
      </c>
      <c r="AM858" s="146">
        <v>0.15514825241608304</v>
      </c>
      <c r="AN858" s="146">
        <v>0.27498059168012329</v>
      </c>
      <c r="AO858" s="146">
        <v>622.03932932628209</v>
      </c>
      <c r="AP858" s="146">
        <v>568.69473123029798</v>
      </c>
      <c r="AQ858" t="s">
        <v>308</v>
      </c>
      <c r="AR858">
        <v>0</v>
      </c>
      <c r="AS858">
        <v>0</v>
      </c>
      <c r="AT858">
        <v>0</v>
      </c>
      <c r="AU858">
        <v>1</v>
      </c>
      <c r="AV858">
        <v>0.1</v>
      </c>
      <c r="AW858" s="146">
        <v>3</v>
      </c>
      <c r="AX858" s="141">
        <v>3.7314633920532893E-2</v>
      </c>
      <c r="AY858" s="141">
        <v>1E-8</v>
      </c>
      <c r="AZ858" s="209">
        <v>568.69473123029798</v>
      </c>
      <c r="BA858">
        <v>3.7314633920532893E-2</v>
      </c>
      <c r="BB858" s="249">
        <v>49.803942696726523</v>
      </c>
      <c r="BC858" s="243">
        <v>193.96338715415493</v>
      </c>
      <c r="BD858" s="209">
        <v>98097.341902333676</v>
      </c>
      <c r="BE858" s="243">
        <v>69.390679664127049</v>
      </c>
      <c r="BF858">
        <v>389340.73090046295</v>
      </c>
      <c r="BG858" t="s">
        <v>388</v>
      </c>
      <c r="BH858">
        <v>8.0697980747534204E-6</v>
      </c>
      <c r="BI858">
        <v>2180973.4190233368</v>
      </c>
      <c r="BJ858">
        <f t="shared" si="51"/>
        <v>0.17851695371638865</v>
      </c>
    </row>
    <row r="859" spans="1:62" x14ac:dyDescent="0.3">
      <c r="A859">
        <v>-0.1</v>
      </c>
      <c r="B859" s="146">
        <v>1000</v>
      </c>
      <c r="C859" s="146">
        <v>25</v>
      </c>
      <c r="D859" s="146">
        <v>800</v>
      </c>
      <c r="E859" s="252">
        <v>22.073303007917705</v>
      </c>
      <c r="F859" s="146">
        <v>3.2496681518385695</v>
      </c>
      <c r="G859" s="146">
        <v>24.343820204615557</v>
      </c>
      <c r="H859" s="146">
        <v>0</v>
      </c>
      <c r="I859" s="146"/>
      <c r="J859" s="146">
        <v>3.4059726113059928E-2</v>
      </c>
      <c r="K859" s="146">
        <v>1E-8</v>
      </c>
      <c r="L859" s="146">
        <v>102.95122056600844</v>
      </c>
      <c r="M859" s="146">
        <v>61.770731859166034</v>
      </c>
      <c r="N859" s="146">
        <v>0.70600852568143702</v>
      </c>
      <c r="O859" s="146"/>
      <c r="P859" s="146"/>
      <c r="Q859" s="146"/>
      <c r="R859" s="146"/>
      <c r="S859" s="146"/>
      <c r="T859" s="146"/>
      <c r="U859" s="146"/>
      <c r="V859" s="146"/>
      <c r="W859" s="146"/>
      <c r="X859" s="146"/>
      <c r="Y859" s="146"/>
      <c r="Z859" s="146" t="s">
        <v>35</v>
      </c>
      <c r="AA859" s="146"/>
      <c r="AB859" s="146"/>
      <c r="AC859" s="146"/>
      <c r="AD859" s="146"/>
      <c r="AE859" s="146"/>
      <c r="AF859" s="146"/>
      <c r="AG859" s="146"/>
      <c r="AH859" s="146"/>
      <c r="AI859" s="146"/>
      <c r="AJ859" s="146"/>
      <c r="AK859" s="146"/>
      <c r="AL859" s="146">
        <v>1017.3870350652892</v>
      </c>
      <c r="AM859" s="146">
        <v>0.13349047620810298</v>
      </c>
      <c r="AN859" s="146">
        <v>0.27355356007729009</v>
      </c>
      <c r="AO859" s="146">
        <v>719.30902671608044</v>
      </c>
      <c r="AP859" s="146">
        <v>664.38277222457066</v>
      </c>
      <c r="AQ859" t="s">
        <v>308</v>
      </c>
      <c r="AR859">
        <v>0</v>
      </c>
      <c r="AS859">
        <v>0</v>
      </c>
      <c r="AT859">
        <v>0</v>
      </c>
      <c r="AU859">
        <v>1</v>
      </c>
      <c r="AV859">
        <v>0.1</v>
      </c>
      <c r="AW859" s="146">
        <v>3</v>
      </c>
      <c r="AX859" s="141">
        <v>3.274322951922027E-2</v>
      </c>
      <c r="AY859" s="141">
        <v>1E-8</v>
      </c>
      <c r="AZ859" s="209">
        <v>664.38277222457066</v>
      </c>
      <c r="BA859">
        <v>3.274322951922027E-2</v>
      </c>
      <c r="BB859" s="249">
        <v>46.951621176593179</v>
      </c>
      <c r="BC859" s="243">
        <v>192.38914181937352</v>
      </c>
      <c r="BD859" s="209">
        <v>95157.103700829524</v>
      </c>
      <c r="BE859" s="243">
        <v>65.884106492053036</v>
      </c>
      <c r="BF859">
        <v>395068.63507543539</v>
      </c>
      <c r="BG859" t="s">
        <v>388</v>
      </c>
      <c r="BH859">
        <v>8.3952236921575842E-6</v>
      </c>
      <c r="BI859">
        <v>2151571.0370082953</v>
      </c>
      <c r="BJ859">
        <f t="shared" si="51"/>
        <v>0.18361868061989173</v>
      </c>
    </row>
    <row r="860" spans="1:62" x14ac:dyDescent="0.3">
      <c r="A860">
        <v>-0.1</v>
      </c>
      <c r="B860" s="146">
        <v>1000</v>
      </c>
      <c r="C860" s="146">
        <v>25</v>
      </c>
      <c r="D860" s="146">
        <v>900</v>
      </c>
      <c r="E860" s="252">
        <v>22.57946902705504</v>
      </c>
      <c r="F860" s="146">
        <v>2.8838350431387023</v>
      </c>
      <c r="G860" s="146">
        <v>24.657272864025416</v>
      </c>
      <c r="H860" s="146">
        <v>0</v>
      </c>
      <c r="I860" s="146"/>
      <c r="J860" s="146">
        <v>3.0059716774931924E-2</v>
      </c>
      <c r="K860" s="146">
        <v>1E-8</v>
      </c>
      <c r="L860" s="146">
        <v>102.5432659248992</v>
      </c>
      <c r="M860" s="146">
        <v>61.525959076404277</v>
      </c>
      <c r="N860" s="146">
        <v>0.65647004354064531</v>
      </c>
      <c r="O860" s="146"/>
      <c r="P860" s="146"/>
      <c r="Q860" s="146"/>
      <c r="R860" s="146"/>
      <c r="S860" s="146"/>
      <c r="T860" s="146"/>
      <c r="U860" s="146"/>
      <c r="V860" s="146"/>
      <c r="W860" s="146"/>
      <c r="X860" s="146"/>
      <c r="Y860" s="146"/>
      <c r="Z860" s="146" t="s">
        <v>35</v>
      </c>
      <c r="AA860" s="146"/>
      <c r="AB860" s="146"/>
      <c r="AC860" s="146"/>
      <c r="AD860" s="146"/>
      <c r="AE860" s="146"/>
      <c r="AF860" s="146"/>
      <c r="AG860" s="146"/>
      <c r="AH860" s="146"/>
      <c r="AI860" s="146"/>
      <c r="AJ860" s="146"/>
      <c r="AK860" s="146"/>
      <c r="AL860" s="146">
        <v>1089.1388627676081</v>
      </c>
      <c r="AM860" s="146">
        <v>0.11695677210703109</v>
      </c>
      <c r="AN860" s="146">
        <v>0.27233587233565298</v>
      </c>
      <c r="AO860" s="146">
        <v>817.0896260070142</v>
      </c>
      <c r="AP860" s="146">
        <v>760.90384099728533</v>
      </c>
      <c r="AQ860" t="s">
        <v>308</v>
      </c>
      <c r="AR860">
        <v>0</v>
      </c>
      <c r="AS860">
        <v>0</v>
      </c>
      <c r="AT860">
        <v>0</v>
      </c>
      <c r="AU860">
        <v>1</v>
      </c>
      <c r="AV860">
        <v>0.1</v>
      </c>
      <c r="AW860" s="146">
        <v>3</v>
      </c>
      <c r="AX860" s="141">
        <v>2.9058572042387817E-2</v>
      </c>
      <c r="AY860" s="141">
        <v>1E-8</v>
      </c>
      <c r="AZ860" s="209">
        <v>760.90384099728533</v>
      </c>
      <c r="BA860">
        <v>2.9058572042387817E-2</v>
      </c>
      <c r="BB860" s="249">
        <v>44.723033586447876</v>
      </c>
      <c r="BC860" s="243">
        <v>191.21451222350186</v>
      </c>
      <c r="BD860" s="209">
        <v>92887.48439853928</v>
      </c>
      <c r="BE860" s="243">
        <v>63.140013936907302</v>
      </c>
      <c r="BF860">
        <v>399354.17994901043</v>
      </c>
      <c r="BG860" t="s">
        <v>388</v>
      </c>
      <c r="BH860">
        <v>8.6572291240573315E-6</v>
      </c>
      <c r="BI860">
        <v>2128874.8439853927</v>
      </c>
      <c r="BJ860">
        <f t="shared" si="51"/>
        <v>0.18758931793350206</v>
      </c>
    </row>
    <row r="861" spans="1:62" x14ac:dyDescent="0.3">
      <c r="A861">
        <v>-0.1</v>
      </c>
      <c r="B861" s="146">
        <v>1000</v>
      </c>
      <c r="C861" s="146">
        <v>25</v>
      </c>
      <c r="D861" s="146">
        <v>1000</v>
      </c>
      <c r="E861" s="252">
        <v>22.990657912123183</v>
      </c>
      <c r="F861" s="146">
        <v>2.590003931603821</v>
      </c>
      <c r="G861" s="146">
        <v>24.913763678958894</v>
      </c>
      <c r="H861" s="146">
        <v>0</v>
      </c>
      <c r="I861" s="146"/>
      <c r="J861" s="146">
        <v>2.6806244621858634E-2</v>
      </c>
      <c r="K861" s="146">
        <v>1E-8</v>
      </c>
      <c r="L861" s="146">
        <v>102.2269681666678</v>
      </c>
      <c r="M861" s="146">
        <v>61.336180422941489</v>
      </c>
      <c r="N861" s="146">
        <v>0.61265007565036689</v>
      </c>
      <c r="O861" s="146"/>
      <c r="P861" s="146"/>
      <c r="Q861" s="146"/>
      <c r="R861" s="146"/>
      <c r="S861" s="146"/>
      <c r="T861" s="146"/>
      <c r="U861" s="146"/>
      <c r="V861" s="146"/>
      <c r="W861" s="146"/>
      <c r="X861" s="146"/>
      <c r="Y861" s="146"/>
      <c r="Z861" s="146" t="s">
        <v>35</v>
      </c>
      <c r="AA861" s="146"/>
      <c r="AB861" s="146"/>
      <c r="AC861" s="146"/>
      <c r="AD861" s="146"/>
      <c r="AE861" s="146"/>
      <c r="AF861" s="146"/>
      <c r="AG861" s="146"/>
      <c r="AH861" s="146"/>
      <c r="AI861" s="146"/>
      <c r="AJ861" s="146"/>
      <c r="AK861" s="146"/>
      <c r="AL861" s="146">
        <v>1164.3738670390821</v>
      </c>
      <c r="AM861" s="146">
        <v>0.10395875809768672</v>
      </c>
      <c r="AN861" s="146">
        <v>0.27130110411887726</v>
      </c>
      <c r="AO861" s="146">
        <v>915.25777977649045</v>
      </c>
      <c r="AP861" s="146">
        <v>858.04882921389867</v>
      </c>
      <c r="AQ861" t="s">
        <v>308</v>
      </c>
      <c r="AR861">
        <v>0</v>
      </c>
      <c r="AS861">
        <v>0</v>
      </c>
      <c r="AT861">
        <v>0</v>
      </c>
      <c r="AU861">
        <v>1</v>
      </c>
      <c r="AV861">
        <v>0.1</v>
      </c>
      <c r="AW861" s="146">
        <v>3</v>
      </c>
      <c r="AX861" s="141">
        <v>2.6039022864757198E-2</v>
      </c>
      <c r="AY861" s="141">
        <v>1E-8</v>
      </c>
      <c r="AZ861" s="209">
        <v>858.04882921389867</v>
      </c>
      <c r="BA861">
        <v>2.6039022864757198E-2</v>
      </c>
      <c r="BB861" s="249">
        <v>42.937010895107235</v>
      </c>
      <c r="BC861" s="243">
        <v>190.30819061364951</v>
      </c>
      <c r="BD861" s="209">
        <v>91083.019864299436</v>
      </c>
      <c r="BE861" s="243">
        <v>60.933329799871956</v>
      </c>
      <c r="BF861">
        <v>402639.13836729142</v>
      </c>
      <c r="BG861" t="s">
        <v>388</v>
      </c>
      <c r="BH861">
        <v>8.872225116012412E-6</v>
      </c>
      <c r="BI861">
        <v>2110830.1986429943</v>
      </c>
      <c r="BJ861">
        <f t="shared" si="51"/>
        <v>0.19074918419593351</v>
      </c>
    </row>
    <row r="862" spans="1:62" s="140" customFormat="1" x14ac:dyDescent="0.3">
      <c r="A862" s="140">
        <v>-0.1</v>
      </c>
      <c r="B862" s="140">
        <v>1000</v>
      </c>
      <c r="C862" s="140">
        <v>25</v>
      </c>
      <c r="D862" s="140">
        <v>1100</v>
      </c>
      <c r="E862" s="253">
        <v>23.33131452329761</v>
      </c>
      <c r="F862" s="140">
        <v>2.3493102298998232</v>
      </c>
      <c r="G862" s="140">
        <v>25.127769730550753</v>
      </c>
      <c r="H862" s="140">
        <v>0</v>
      </c>
      <c r="J862" s="140">
        <v>2.4132511122235436E-2</v>
      </c>
      <c r="K862" s="140">
        <v>1E-8</v>
      </c>
      <c r="L862" s="140">
        <v>101.97635596746701</v>
      </c>
      <c r="M862" s="140">
        <v>61.185813104590544</v>
      </c>
      <c r="N862" s="140">
        <v>0.57374559172967166</v>
      </c>
      <c r="Z862" s="140" t="s">
        <v>35</v>
      </c>
      <c r="AL862" s="140">
        <v>1242.5327116440958</v>
      </c>
      <c r="AM862" s="140">
        <v>9.349457811385041E-2</v>
      </c>
      <c r="AN862" s="140">
        <v>0.27040318209626768</v>
      </c>
      <c r="AO862" s="140">
        <v>1013.7165681911565</v>
      </c>
      <c r="AP862" s="140">
        <v>955.6599157792599</v>
      </c>
      <c r="AQ862" s="140" t="s">
        <v>308</v>
      </c>
      <c r="AR862" s="140">
        <v>0</v>
      </c>
      <c r="AS862" s="140">
        <v>0</v>
      </c>
      <c r="AT862" s="140">
        <v>0</v>
      </c>
      <c r="AU862" s="140">
        <v>1</v>
      </c>
      <c r="AV862">
        <v>0.1</v>
      </c>
      <c r="AW862" s="140">
        <v>3</v>
      </c>
      <c r="AX862" s="141">
        <v>2.353920634186514E-2</v>
      </c>
      <c r="AY862" s="205">
        <v>1E-8</v>
      </c>
      <c r="AZ862" s="209">
        <v>955.6599157792599</v>
      </c>
      <c r="BA862" s="140">
        <v>2.353920634186514E-2</v>
      </c>
      <c r="BB862" s="253">
        <v>41.477398630050665</v>
      </c>
      <c r="BC862" s="245">
        <v>189.59278846438994</v>
      </c>
      <c r="BD862" s="210">
        <v>89620.260254232009</v>
      </c>
      <c r="BE862" s="245">
        <v>59.127248456902812</v>
      </c>
      <c r="BF862" s="140">
        <v>405247.71517115203</v>
      </c>
      <c r="BG862" t="s">
        <v>388</v>
      </c>
      <c r="BH862" s="140">
        <v>9.0515125161623243E-6</v>
      </c>
      <c r="BI862" s="140">
        <v>2096202.60254232</v>
      </c>
      <c r="BJ862">
        <f t="shared" si="51"/>
        <v>0.19332468850084375</v>
      </c>
    </row>
    <row r="863" spans="1:62" x14ac:dyDescent="0.3">
      <c r="A863">
        <v>-0.1</v>
      </c>
      <c r="B863" s="146">
        <v>1000</v>
      </c>
      <c r="C863" s="146">
        <v>25</v>
      </c>
      <c r="D863" s="146">
        <v>400</v>
      </c>
      <c r="E863" s="252">
        <v>18.013908038961212</v>
      </c>
      <c r="F863" s="146">
        <v>6.3555686181732529</v>
      </c>
      <c r="G863" s="146">
        <v>21.925497420456754</v>
      </c>
      <c r="H863" s="146">
        <v>0</v>
      </c>
      <c r="I863" s="146"/>
      <c r="J863" s="146">
        <v>6.4169014219238096E-2</v>
      </c>
      <c r="K863" s="146">
        <v>1E-8</v>
      </c>
      <c r="L863" s="146">
        <v>106.92283793105716</v>
      </c>
      <c r="M863" s="146">
        <v>64.153702259661046</v>
      </c>
      <c r="N863" s="146">
        <v>0.95759198286810632</v>
      </c>
      <c r="O863" s="146"/>
      <c r="P863" s="146"/>
      <c r="Q863" s="146"/>
      <c r="R863" s="146"/>
      <c r="S863" s="146"/>
      <c r="T863" s="146"/>
      <c r="U863" s="146"/>
      <c r="V863" s="146"/>
      <c r="W863" s="146"/>
      <c r="X863" s="146"/>
      <c r="Y863" s="146"/>
      <c r="Z863" s="146" t="s">
        <v>35</v>
      </c>
      <c r="AA863" s="146"/>
      <c r="AB863" s="146"/>
      <c r="AC863" s="146"/>
      <c r="AD863" s="146"/>
      <c r="AE863" s="146"/>
      <c r="AF863" s="146"/>
      <c r="AG863" s="146"/>
      <c r="AH863" s="146"/>
      <c r="AI863" s="146"/>
      <c r="AJ863" s="146"/>
      <c r="AK863" s="146"/>
      <c r="AL863" s="146">
        <v>769.86036581443591</v>
      </c>
      <c r="AM863" s="146">
        <v>0.2898711256714035</v>
      </c>
      <c r="AN863" s="146">
        <v>0.28098172991805487</v>
      </c>
      <c r="AO863" s="146">
        <v>335.88939734902067</v>
      </c>
      <c r="AP863" s="146">
        <v>291.06437438038267</v>
      </c>
      <c r="AQ863" t="s">
        <v>308</v>
      </c>
      <c r="AR863">
        <v>0</v>
      </c>
      <c r="AS863">
        <v>0</v>
      </c>
      <c r="AT863">
        <v>0</v>
      </c>
      <c r="AU863">
        <v>1</v>
      </c>
      <c r="AV863">
        <v>0.1</v>
      </c>
      <c r="AW863" s="146">
        <v>3</v>
      </c>
      <c r="AX863" s="141">
        <v>6.0144002020277684E-2</v>
      </c>
      <c r="AY863" s="141">
        <v>1E-8</v>
      </c>
      <c r="AZ863" s="209">
        <v>291.06437438038267</v>
      </c>
      <c r="BA863">
        <v>6.0144002020277684E-2</v>
      </c>
      <c r="BB863" s="249">
        <v>66.057601628407724</v>
      </c>
      <c r="BC863" s="243">
        <v>204.17391025087255</v>
      </c>
      <c r="BD863" s="209">
        <v>115551.91658783183</v>
      </c>
      <c r="BE863" s="243">
        <v>89.34811871269342</v>
      </c>
      <c r="BF863">
        <v>351088.44286777079</v>
      </c>
      <c r="BG863" t="s">
        <v>389</v>
      </c>
      <c r="BH863">
        <v>6.3949961523578428E-6</v>
      </c>
      <c r="BI863">
        <v>2355519.1658783183</v>
      </c>
      <c r="BJ863">
        <f t="shared" si="51"/>
        <v>0.14904928304281409</v>
      </c>
    </row>
    <row r="864" spans="1:62" x14ac:dyDescent="0.3">
      <c r="A864">
        <v>-0.1</v>
      </c>
      <c r="B864" s="146">
        <v>1000</v>
      </c>
      <c r="C864" s="146">
        <v>25</v>
      </c>
      <c r="D864" s="146">
        <v>400</v>
      </c>
      <c r="E864" s="252">
        <v>17.382016114956475</v>
      </c>
      <c r="F864" s="146">
        <v>6.0431441776598467</v>
      </c>
      <c r="G864" s="146">
        <v>21.096355848536763</v>
      </c>
      <c r="H864" s="146">
        <v>0</v>
      </c>
      <c r="I864" s="146"/>
      <c r="J864" s="146">
        <v>6.3802904329742699E-2</v>
      </c>
      <c r="K864" s="146">
        <v>1E-8</v>
      </c>
      <c r="L864" s="146">
        <v>102.94620979781811</v>
      </c>
      <c r="M864" s="146">
        <v>61.767725398275225</v>
      </c>
      <c r="N864" s="146">
        <v>0.9263125446885252</v>
      </c>
      <c r="O864" s="146"/>
      <c r="P864" s="146"/>
      <c r="Q864" s="146"/>
      <c r="R864" s="146"/>
      <c r="S864" s="146"/>
      <c r="T864" s="146"/>
      <c r="U864" s="146"/>
      <c r="V864" s="146"/>
      <c r="W864" s="146"/>
      <c r="X864" s="146"/>
      <c r="Y864" s="146"/>
      <c r="Z864" s="146" t="s">
        <v>35</v>
      </c>
      <c r="AA864" s="146"/>
      <c r="AB864" s="146"/>
      <c r="AC864" s="146"/>
      <c r="AD864" s="146"/>
      <c r="AE864" s="146"/>
      <c r="AF864" s="146"/>
      <c r="AG864" s="146"/>
      <c r="AH864" s="146"/>
      <c r="AI864" s="146"/>
      <c r="AJ864" s="146"/>
      <c r="AK864" s="146"/>
      <c r="AL864" s="146">
        <v>758.38225521837455</v>
      </c>
      <c r="AM864" s="146">
        <v>0.28645441047009063</v>
      </c>
      <c r="AN864" s="146">
        <v>0.28253625945291783</v>
      </c>
      <c r="AO864" s="146">
        <v>338.47863580903311</v>
      </c>
      <c r="AP864" s="146">
        <v>295.22598287411216</v>
      </c>
      <c r="AQ864" t="s">
        <v>308</v>
      </c>
      <c r="AR864">
        <v>0</v>
      </c>
      <c r="AS864">
        <v>0</v>
      </c>
      <c r="AT864">
        <v>0</v>
      </c>
      <c r="AU864">
        <v>1</v>
      </c>
      <c r="AV864">
        <v>0.1</v>
      </c>
      <c r="AW864" s="146">
        <v>2.5</v>
      </c>
      <c r="AX864" s="141">
        <v>5.9891951877402323E-2</v>
      </c>
      <c r="AY864" s="141">
        <v>1E-8</v>
      </c>
      <c r="AZ864" s="209">
        <v>295.22598287411216</v>
      </c>
      <c r="BA864">
        <v>5.9891951877402323E-2</v>
      </c>
      <c r="BB864" s="249">
        <v>63.064417394224442</v>
      </c>
      <c r="BC864" s="243">
        <v>192.37467521076783</v>
      </c>
      <c r="BD864" s="209">
        <v>107836.6761298246</v>
      </c>
      <c r="BE864" s="243">
        <v>84.732382689378014</v>
      </c>
      <c r="BF864">
        <v>399380.32648664078</v>
      </c>
      <c r="BG864" t="s">
        <v>389</v>
      </c>
      <c r="BH864">
        <v>6.2216813857082608E-6</v>
      </c>
      <c r="BI864">
        <v>2278366.7612982458</v>
      </c>
      <c r="BJ864">
        <f t="shared" si="51"/>
        <v>0.17529237753585739</v>
      </c>
    </row>
    <row r="865" spans="1:62" x14ac:dyDescent="0.3">
      <c r="A865">
        <v>-0.1</v>
      </c>
      <c r="B865" s="146">
        <v>1000</v>
      </c>
      <c r="C865" s="146">
        <v>25</v>
      </c>
      <c r="D865" s="146">
        <v>400</v>
      </c>
      <c r="E865" s="252">
        <v>15.101311274415753</v>
      </c>
      <c r="F865" s="146">
        <v>4.9968545556691515</v>
      </c>
      <c r="G865" s="146">
        <v>18.161155190769083</v>
      </c>
      <c r="H865" s="146">
        <v>0</v>
      </c>
      <c r="I865" s="146"/>
      <c r="J865" s="146">
        <v>6.2651006259696843E-2</v>
      </c>
      <c r="K865" s="146">
        <v>1E-8</v>
      </c>
      <c r="L865" s="146">
        <v>88.768051241361789</v>
      </c>
      <c r="M865" s="146">
        <v>53.260830330566158</v>
      </c>
      <c r="N865" s="146">
        <v>0.81296679976328301</v>
      </c>
      <c r="O865" s="146"/>
      <c r="P865" s="146"/>
      <c r="Q865" s="146"/>
      <c r="R865" s="146"/>
      <c r="S865" s="146"/>
      <c r="T865" s="146"/>
      <c r="U865" s="146"/>
      <c r="V865" s="146"/>
      <c r="W865" s="146"/>
      <c r="X865" s="146"/>
      <c r="Y865" s="146"/>
      <c r="Z865" s="146" t="s">
        <v>35</v>
      </c>
      <c r="AA865" s="146"/>
      <c r="AB865" s="146"/>
      <c r="AC865" s="146"/>
      <c r="AD865" s="146"/>
      <c r="AE865" s="146"/>
      <c r="AF865" s="146"/>
      <c r="AG865" s="146"/>
      <c r="AH865" s="146"/>
      <c r="AI865" s="146"/>
      <c r="AJ865" s="146"/>
      <c r="AK865" s="146"/>
      <c r="AL865" s="146">
        <v>716.3262937945799</v>
      </c>
      <c r="AM865" s="146">
        <v>0.27513968705079639</v>
      </c>
      <c r="AN865" s="146">
        <v>0.28720822540463398</v>
      </c>
      <c r="AO865" s="146">
        <v>347.42033849086238</v>
      </c>
      <c r="AP865" s="146">
        <v>309.84289391293839</v>
      </c>
      <c r="AQ865" t="s">
        <v>308</v>
      </c>
      <c r="AR865">
        <v>0</v>
      </c>
      <c r="AS865">
        <v>0</v>
      </c>
      <c r="AT865">
        <v>0</v>
      </c>
      <c r="AU865">
        <v>1</v>
      </c>
      <c r="AV865">
        <v>0.1</v>
      </c>
      <c r="AW865" s="146">
        <v>1.5</v>
      </c>
      <c r="AX865" s="141">
        <v>5.9104168700829046E-2</v>
      </c>
      <c r="AY865" s="141">
        <v>1E-8</v>
      </c>
      <c r="AZ865" s="209">
        <v>309.84289391293839</v>
      </c>
      <c r="BA865">
        <v>5.9104168700829046E-2</v>
      </c>
      <c r="BB865" s="249">
        <v>52.877763949132273</v>
      </c>
      <c r="BC865" s="243">
        <v>154.88663858013661</v>
      </c>
      <c r="BD865" s="209">
        <v>83616.255049151252</v>
      </c>
      <c r="BE865" s="243">
        <v>69.680016827364952</v>
      </c>
      <c r="BF865">
        <v>520319.4436697301</v>
      </c>
      <c r="BG865" t="s">
        <v>389</v>
      </c>
      <c r="BH865">
        <v>5.6120869100474442E-6</v>
      </c>
      <c r="BI865">
        <v>2036162.5504915125</v>
      </c>
      <c r="BJ865">
        <f t="shared" si="51"/>
        <v>0.25553924638488679</v>
      </c>
    </row>
    <row r="866" spans="1:62" x14ac:dyDescent="0.3">
      <c r="A866">
        <v>-0.1</v>
      </c>
      <c r="B866" s="146">
        <v>1000</v>
      </c>
      <c r="C866" s="146">
        <v>25</v>
      </c>
      <c r="D866" s="146">
        <v>400</v>
      </c>
      <c r="E866" s="252">
        <v>13.05945841954777</v>
      </c>
      <c r="F866" s="146">
        <v>4.1512569915629367</v>
      </c>
      <c r="G866" s="146">
        <v>15.595519948156946</v>
      </c>
      <c r="H866" s="146">
        <v>0</v>
      </c>
      <c r="I866" s="146"/>
      <c r="J866" s="146">
        <v>6.2265196711038841E-2</v>
      </c>
      <c r="K866" s="146">
        <v>1E-8</v>
      </c>
      <c r="L866" s="146">
        <v>76.183429251963105</v>
      </c>
      <c r="M866" s="146">
        <v>45.710057195655196</v>
      </c>
      <c r="N866" s="146">
        <v>0.70411711049740799</v>
      </c>
      <c r="O866" s="146"/>
      <c r="P866" s="146"/>
      <c r="Q866" s="146"/>
      <c r="R866" s="146"/>
      <c r="S866" s="146"/>
      <c r="T866" s="146"/>
      <c r="U866" s="146"/>
      <c r="V866" s="146"/>
      <c r="W866" s="146"/>
      <c r="X866" s="146"/>
      <c r="Y866" s="146"/>
      <c r="Z866" s="146" t="s">
        <v>35</v>
      </c>
      <c r="AA866" s="146"/>
      <c r="AB866" s="146"/>
      <c r="AC866" s="146"/>
      <c r="AD866" s="146"/>
      <c r="AE866" s="146"/>
      <c r="AF866" s="146"/>
      <c r="AG866" s="146"/>
      <c r="AH866" s="146"/>
      <c r="AI866" s="146"/>
      <c r="AJ866" s="146"/>
      <c r="AK866" s="146"/>
      <c r="AL866" s="146">
        <v>674.51453156640162</v>
      </c>
      <c r="AM866" s="146">
        <v>0.2661826604924144</v>
      </c>
      <c r="AN866" s="146">
        <v>0.28990462054884225</v>
      </c>
      <c r="AO866" s="146">
        <v>354.95256890068242</v>
      </c>
      <c r="AP866" s="146">
        <v>322.45597631769778</v>
      </c>
      <c r="AQ866" t="s">
        <v>308</v>
      </c>
      <c r="AR866">
        <v>0</v>
      </c>
      <c r="AS866">
        <v>0</v>
      </c>
      <c r="AT866">
        <v>0</v>
      </c>
      <c r="AU866">
        <v>1</v>
      </c>
      <c r="AV866">
        <v>0.1</v>
      </c>
      <c r="AW866" s="146">
        <v>1</v>
      </c>
      <c r="AX866" s="141">
        <v>5.89701674664996E-2</v>
      </c>
      <c r="AY866" s="141">
        <v>1E-8</v>
      </c>
      <c r="AZ866" s="209">
        <v>322.45597631769778</v>
      </c>
      <c r="BA866">
        <v>5.89701674664996E-2</v>
      </c>
      <c r="BB866" s="249">
        <v>44.446297092919018</v>
      </c>
      <c r="BC866" s="243">
        <v>126.22878839341917</v>
      </c>
      <c r="BD866" s="209">
        <v>65714.025939808576</v>
      </c>
      <c r="BE866" s="243">
        <v>57.944424737663915</v>
      </c>
      <c r="BF866">
        <v>590889.66143822169</v>
      </c>
      <c r="BG866" t="s">
        <v>389</v>
      </c>
      <c r="BH866">
        <v>5.0220398950472669E-6</v>
      </c>
      <c r="BI866">
        <v>1857140.2593980858</v>
      </c>
      <c r="BJ866">
        <f t="shared" si="51"/>
        <v>0.318171801213191</v>
      </c>
    </row>
    <row r="867" spans="1:62" x14ac:dyDescent="0.3">
      <c r="A867">
        <v>-0.1</v>
      </c>
      <c r="B867" s="146">
        <v>1000</v>
      </c>
      <c r="C867" s="146">
        <v>25</v>
      </c>
      <c r="D867" s="146">
        <v>400</v>
      </c>
      <c r="E867" s="252">
        <v>11.879025245473095</v>
      </c>
      <c r="F867" s="146">
        <v>3.6922892137147163</v>
      </c>
      <c r="G867" s="146">
        <v>14.13294534559661</v>
      </c>
      <c r="H867" s="146">
        <v>0</v>
      </c>
      <c r="I867" s="146"/>
      <c r="J867" s="146">
        <v>6.1075542570662368E-2</v>
      </c>
      <c r="K867" s="146">
        <v>1E-8</v>
      </c>
      <c r="L867" s="146">
        <v>69.172230678364585</v>
      </c>
      <c r="M867" s="146">
        <v>41.503338084215002</v>
      </c>
      <c r="N867" s="146">
        <v>0.6552752944050666</v>
      </c>
      <c r="O867" s="146"/>
      <c r="P867" s="146"/>
      <c r="Q867" s="146"/>
      <c r="R867" s="146"/>
      <c r="S867" s="146"/>
      <c r="T867" s="146"/>
      <c r="U867" s="146"/>
      <c r="V867" s="146"/>
      <c r="W867" s="146"/>
      <c r="X867" s="146"/>
      <c r="Y867" s="146"/>
      <c r="Z867" s="146" t="s">
        <v>35</v>
      </c>
      <c r="AA867" s="146"/>
      <c r="AB867" s="146"/>
      <c r="AC867" s="146"/>
      <c r="AD867" s="146"/>
      <c r="AE867" s="146"/>
      <c r="AF867" s="146"/>
      <c r="AG867" s="146"/>
      <c r="AH867" s="146"/>
      <c r="AI867" s="146"/>
      <c r="AJ867" s="146"/>
      <c r="AK867" s="146"/>
      <c r="AL867" s="146">
        <v>657.43346231245675</v>
      </c>
      <c r="AM867" s="146">
        <v>0.26125405026526333</v>
      </c>
      <c r="AN867" s="146">
        <v>0.29226335539566428</v>
      </c>
      <c r="AO867" s="146">
        <v>359.35506444387681</v>
      </c>
      <c r="AP867" s="146">
        <v>329.79581510992364</v>
      </c>
      <c r="AQ867" t="s">
        <v>308</v>
      </c>
      <c r="AR867">
        <v>0</v>
      </c>
      <c r="AS867">
        <v>0</v>
      </c>
      <c r="AT867">
        <v>0</v>
      </c>
      <c r="AU867">
        <v>1</v>
      </c>
      <c r="AV867">
        <v>0.1</v>
      </c>
      <c r="AW867" s="146">
        <v>0.8</v>
      </c>
      <c r="AX867" s="141">
        <v>5.8000782537319433E-2</v>
      </c>
      <c r="AY867" s="141">
        <v>1E-8</v>
      </c>
      <c r="AZ867" s="209">
        <v>329.79581510992364</v>
      </c>
      <c r="BA867">
        <v>5.8000782537319433E-2</v>
      </c>
      <c r="BB867" s="249">
        <v>39.799682052123401</v>
      </c>
      <c r="BC867" s="243">
        <v>111.69445061169887</v>
      </c>
      <c r="BD867" s="209">
        <v>56617.031984836496</v>
      </c>
      <c r="BE867" s="243">
        <v>51.415746694764557</v>
      </c>
      <c r="BF867">
        <v>610377.55791992194</v>
      </c>
      <c r="BG867" t="s">
        <v>389</v>
      </c>
      <c r="BH867">
        <v>4.6785814473041709E-6</v>
      </c>
      <c r="BI867">
        <v>1766170.3198483649</v>
      </c>
      <c r="BJ867">
        <f t="shared" si="51"/>
        <v>0.34559382583913317</v>
      </c>
    </row>
    <row r="868" spans="1:62" x14ac:dyDescent="0.3">
      <c r="A868">
        <v>-0.1</v>
      </c>
      <c r="B868" s="146">
        <v>1000</v>
      </c>
      <c r="C868" s="146">
        <v>25</v>
      </c>
      <c r="D868" s="146">
        <v>400</v>
      </c>
      <c r="E868" s="252">
        <v>10.475982016267176</v>
      </c>
      <c r="F868" s="146">
        <v>3.1756498442010956</v>
      </c>
      <c r="G868" s="146">
        <v>12.412890039184674</v>
      </c>
      <c r="H868" s="146">
        <v>0</v>
      </c>
      <c r="I868" s="146"/>
      <c r="J868" s="146">
        <v>6.0447598587249005E-2</v>
      </c>
      <c r="K868" s="146">
        <v>1E-8</v>
      </c>
      <c r="L868" s="146">
        <v>60.764903522799656</v>
      </c>
      <c r="M868" s="146">
        <v>36.458941830110241</v>
      </c>
      <c r="N868" s="146">
        <v>0.58565288440049956</v>
      </c>
      <c r="O868" s="146"/>
      <c r="P868" s="146"/>
      <c r="Q868" s="146"/>
      <c r="R868" s="146"/>
      <c r="S868" s="146"/>
      <c r="T868" s="146"/>
      <c r="U868" s="146"/>
      <c r="V868" s="146"/>
      <c r="W868" s="146"/>
      <c r="X868" s="146"/>
      <c r="Y868" s="146"/>
      <c r="Z868" s="146" t="s">
        <v>35</v>
      </c>
      <c r="AA868" s="146"/>
      <c r="AB868" s="146"/>
      <c r="AC868" s="146"/>
      <c r="AD868" s="146"/>
      <c r="AE868" s="146"/>
      <c r="AF868" s="146"/>
      <c r="AG868" s="146"/>
      <c r="AH868" s="146"/>
      <c r="AI868" s="146"/>
      <c r="AJ868" s="146"/>
      <c r="AK868" s="146"/>
      <c r="AL868" s="146">
        <v>631.12659043001486</v>
      </c>
      <c r="AM868" s="146">
        <v>0.25583484862721656</v>
      </c>
      <c r="AN868" s="146">
        <v>0.29400596951241986</v>
      </c>
      <c r="AO868" s="146">
        <v>364.36813159392455</v>
      </c>
      <c r="AP868" s="146">
        <v>338.300148229765</v>
      </c>
      <c r="AQ868" t="s">
        <v>308</v>
      </c>
      <c r="AR868">
        <v>0</v>
      </c>
      <c r="AS868">
        <v>0</v>
      </c>
      <c r="AT868">
        <v>0</v>
      </c>
      <c r="AU868">
        <v>1</v>
      </c>
      <c r="AV868">
        <v>0.1</v>
      </c>
      <c r="AW868" s="146">
        <v>0.6</v>
      </c>
      <c r="AX868" s="141">
        <v>5.7576605311311563E-2</v>
      </c>
      <c r="AY868" s="141">
        <v>1E-8</v>
      </c>
      <c r="AZ868" s="209">
        <v>338.300148229765</v>
      </c>
      <c r="BA868">
        <v>5.7576605311311563E-2</v>
      </c>
      <c r="BB868" s="249">
        <v>34.492950778946089</v>
      </c>
      <c r="BC868" s="243">
        <v>95.363217913211372</v>
      </c>
      <c r="BD868" s="209">
        <v>46857.328669851617</v>
      </c>
      <c r="BE868" s="243">
        <v>44.270022413568597</v>
      </c>
      <c r="BF868">
        <v>631794.22332132759</v>
      </c>
      <c r="BG868" t="s">
        <v>389</v>
      </c>
      <c r="BH868">
        <v>4.2258774598858458E-6</v>
      </c>
      <c r="BI868">
        <v>1668573.2866985162</v>
      </c>
      <c r="BJ868">
        <f t="shared" si="51"/>
        <v>0.37864337656478519</v>
      </c>
    </row>
    <row r="869" spans="1:62" x14ac:dyDescent="0.3">
      <c r="A869">
        <v>-0.1</v>
      </c>
      <c r="B869" s="146">
        <v>1000</v>
      </c>
      <c r="C869" s="146">
        <v>25</v>
      </c>
      <c r="D869" s="146">
        <v>400</v>
      </c>
      <c r="E869" s="252">
        <v>8.6705636290445138</v>
      </c>
      <c r="F869" s="146">
        <v>2.549212829123177</v>
      </c>
      <c r="G869" s="146">
        <v>10.224254516492824</v>
      </c>
      <c r="H869" s="146">
        <v>0</v>
      </c>
      <c r="I869" s="146"/>
      <c r="J869" s="146">
        <v>5.9580258345920067E-2</v>
      </c>
      <c r="K869" s="146">
        <v>1E-8</v>
      </c>
      <c r="L869" s="146">
        <v>50.062491984967892</v>
      </c>
      <c r="M869" s="146">
        <v>30.037494957355769</v>
      </c>
      <c r="N869" s="146">
        <v>0.49551516413681007</v>
      </c>
      <c r="O869" s="146"/>
      <c r="P869" s="146"/>
      <c r="Q869" s="146"/>
      <c r="R869" s="146"/>
      <c r="S869" s="146"/>
      <c r="T869" s="146"/>
      <c r="U869" s="146"/>
      <c r="V869" s="146"/>
      <c r="W869" s="146"/>
      <c r="X869" s="146"/>
      <c r="Y869" s="146"/>
      <c r="Z869" s="146" t="s">
        <v>35</v>
      </c>
      <c r="AA869" s="146"/>
      <c r="AB869" s="146"/>
      <c r="AC869" s="146"/>
      <c r="AD869" s="146"/>
      <c r="AE869" s="146"/>
      <c r="AF869" s="146"/>
      <c r="AG869" s="146"/>
      <c r="AH869" s="146"/>
      <c r="AI869" s="146"/>
      <c r="AJ869" s="146"/>
      <c r="AK869" s="146"/>
      <c r="AL869" s="146">
        <v>596.89414104164132</v>
      </c>
      <c r="AM869" s="146">
        <v>0.24932994625779534</v>
      </c>
      <c r="AN869" s="146">
        <v>0.29604515573736861</v>
      </c>
      <c r="AO869" s="146">
        <v>370.71202328087929</v>
      </c>
      <c r="AP869" s="146">
        <v>349.13655897323622</v>
      </c>
      <c r="AQ869" t="s">
        <v>308</v>
      </c>
      <c r="AR869">
        <v>0</v>
      </c>
      <c r="AS869">
        <v>0</v>
      </c>
      <c r="AT869">
        <v>0</v>
      </c>
      <c r="AU869">
        <v>1</v>
      </c>
      <c r="AV869">
        <v>0.1</v>
      </c>
      <c r="AW869" s="146">
        <v>0.4</v>
      </c>
      <c r="AX869" s="141">
        <v>5.699211736192767E-2</v>
      </c>
      <c r="AY869" s="141">
        <v>1E-8</v>
      </c>
      <c r="AZ869" s="209">
        <v>349.13655897323622</v>
      </c>
      <c r="BA869">
        <v>5.699211736192767E-2</v>
      </c>
      <c r="BB869" s="249">
        <v>27.953382509201997</v>
      </c>
      <c r="BC869" s="243">
        <v>76.022296202692829</v>
      </c>
      <c r="BD869" s="209">
        <v>35743.290595274098</v>
      </c>
      <c r="BE869" s="243">
        <v>35.611492951995864</v>
      </c>
      <c r="BF869">
        <v>645618.7866718896</v>
      </c>
      <c r="BG869" t="s">
        <v>389</v>
      </c>
      <c r="BH869">
        <v>3.5989462026468092E-6</v>
      </c>
      <c r="BI869">
        <v>1557432.9059527409</v>
      </c>
      <c r="BJ869">
        <f t="shared" si="51"/>
        <v>0.41454035304136588</v>
      </c>
    </row>
    <row r="870" spans="1:62" x14ac:dyDescent="0.3">
      <c r="A870">
        <v>-0.1</v>
      </c>
      <c r="B870" s="146">
        <v>1000</v>
      </c>
      <c r="C870" s="146">
        <v>25</v>
      </c>
      <c r="D870" s="146">
        <v>400</v>
      </c>
      <c r="E870" s="252">
        <v>7.5304124209331578</v>
      </c>
      <c r="F870" s="146">
        <v>2.1736546166526409</v>
      </c>
      <c r="G870" s="146">
        <v>8.8548046380645733</v>
      </c>
      <c r="H870" s="146">
        <v>0</v>
      </c>
      <c r="I870" s="146"/>
      <c r="J870" s="146">
        <v>5.9037624088322874E-2</v>
      </c>
      <c r="K870" s="146">
        <v>1E-8</v>
      </c>
      <c r="L870" s="146">
        <v>43.359672391882974</v>
      </c>
      <c r="M870" s="146">
        <v>26.015803232784645</v>
      </c>
      <c r="N870" s="146">
        <v>0.43732328732121095</v>
      </c>
      <c r="O870" s="146"/>
      <c r="P870" s="146"/>
      <c r="Q870" s="146"/>
      <c r="R870" s="146"/>
      <c r="S870" s="146"/>
      <c r="T870" s="146"/>
      <c r="U870" s="146"/>
      <c r="V870" s="146"/>
      <c r="W870" s="146"/>
      <c r="X870" s="146"/>
      <c r="Y870" s="146"/>
      <c r="Z870" s="146" t="s">
        <v>35</v>
      </c>
      <c r="AA870" s="146"/>
      <c r="AB870" s="146"/>
      <c r="AC870" s="146"/>
      <c r="AD870" s="146"/>
      <c r="AE870" s="146"/>
      <c r="AF870" s="146"/>
      <c r="AG870" s="146"/>
      <c r="AH870" s="146"/>
      <c r="AI870" s="146"/>
      <c r="AJ870" s="146"/>
      <c r="AK870" s="146"/>
      <c r="AL870" s="146">
        <v>574.58506812486155</v>
      </c>
      <c r="AM870" s="146">
        <v>0.24547742220180077</v>
      </c>
      <c r="AN870" s="146">
        <v>0.29719583695366569</v>
      </c>
      <c r="AO870" s="146">
        <v>374.66178363020884</v>
      </c>
      <c r="AP870" s="146">
        <v>355.92342446425619</v>
      </c>
      <c r="AQ870" t="s">
        <v>308</v>
      </c>
      <c r="AR870">
        <v>0</v>
      </c>
      <c r="AS870">
        <v>0</v>
      </c>
      <c r="AT870">
        <v>0</v>
      </c>
      <c r="AU870">
        <v>1</v>
      </c>
      <c r="AV870">
        <v>0.1</v>
      </c>
      <c r="AW870" s="146">
        <v>0.3</v>
      </c>
      <c r="AX870" s="141">
        <v>5.664416599351646E-2</v>
      </c>
      <c r="AY870" s="141">
        <v>1E-8</v>
      </c>
      <c r="AZ870" s="209">
        <v>355.92342446425619</v>
      </c>
      <c r="BA870">
        <v>5.664416599351646E-2</v>
      </c>
      <c r="BB870" s="249">
        <v>23.974380098957941</v>
      </c>
      <c r="BC870" s="243">
        <v>64.607541760106741</v>
      </c>
      <c r="BD870" s="209">
        <v>29472.435750427583</v>
      </c>
      <c r="BE870" s="243">
        <v>30.41842176193115</v>
      </c>
      <c r="BF870">
        <v>646669.39828344551</v>
      </c>
      <c r="BG870" t="s">
        <v>389</v>
      </c>
      <c r="BH870">
        <v>3.1756675290863531E-6</v>
      </c>
      <c r="BI870">
        <v>1494724.3575042759</v>
      </c>
      <c r="BJ870">
        <f t="shared" si="51"/>
        <v>0.43263454899683446</v>
      </c>
    </row>
    <row r="871" spans="1:62" x14ac:dyDescent="0.3">
      <c r="A871">
        <v>-0.1</v>
      </c>
      <c r="B871" s="146">
        <v>1000</v>
      </c>
      <c r="C871" s="146">
        <v>25</v>
      </c>
      <c r="D871" s="146">
        <v>400</v>
      </c>
      <c r="E871" s="252">
        <v>6.1297394841641895</v>
      </c>
      <c r="F871" s="146">
        <v>1.7315329217009028</v>
      </c>
      <c r="G871" s="146">
        <v>7.1844484914897428</v>
      </c>
      <c r="H871" s="146">
        <v>0</v>
      </c>
      <c r="I871" s="146"/>
      <c r="J871" s="146">
        <v>5.8605211614164564E-2</v>
      </c>
      <c r="K871" s="146">
        <v>1E-8</v>
      </c>
      <c r="L871" s="146">
        <v>35.157250436298277</v>
      </c>
      <c r="M871" s="146">
        <v>21.094350097711793</v>
      </c>
      <c r="N871" s="146">
        <v>0.36240134360440879</v>
      </c>
      <c r="O871" s="146"/>
      <c r="P871" s="146"/>
      <c r="Q871" s="146"/>
      <c r="R871" s="146"/>
      <c r="S871" s="146"/>
      <c r="T871" s="146"/>
      <c r="U871" s="146"/>
      <c r="V871" s="146"/>
      <c r="W871" s="146"/>
      <c r="X871" s="146"/>
      <c r="Y871" s="146"/>
      <c r="Z871" s="146" t="s">
        <v>35</v>
      </c>
      <c r="AA871" s="146"/>
      <c r="AB871" s="146"/>
      <c r="AC871" s="146"/>
      <c r="AD871" s="146"/>
      <c r="AE871" s="146"/>
      <c r="AF871" s="146"/>
      <c r="AG871" s="146"/>
      <c r="AH871" s="146"/>
      <c r="AI871" s="146"/>
      <c r="AJ871" s="146"/>
      <c r="AK871" s="146"/>
      <c r="AL871" s="146">
        <v>545.39451235996262</v>
      </c>
      <c r="AM871" s="146">
        <v>0.24101125142061641</v>
      </c>
      <c r="AN871" s="146">
        <v>0.29823820471565871</v>
      </c>
      <c r="AO871" s="146">
        <v>379.44683347994163</v>
      </c>
      <c r="AP871" s="146">
        <v>364.19384055775828</v>
      </c>
      <c r="AQ871" t="s">
        <v>308</v>
      </c>
      <c r="AR871">
        <v>0</v>
      </c>
      <c r="AS871">
        <v>0</v>
      </c>
      <c r="AT871">
        <v>0</v>
      </c>
      <c r="AU871">
        <v>1</v>
      </c>
      <c r="AV871">
        <v>0.1</v>
      </c>
      <c r="AW871" s="146">
        <v>0.2</v>
      </c>
      <c r="AX871" s="141">
        <v>5.6467210322934502E-2</v>
      </c>
      <c r="AY871" s="141">
        <v>1E-8</v>
      </c>
      <c r="AZ871" s="209">
        <v>364.19384055775828</v>
      </c>
      <c r="BA871">
        <v>5.6467210322934502E-2</v>
      </c>
      <c r="BB871" s="249">
        <v>19.23083259572941</v>
      </c>
      <c r="BC871" s="243">
        <v>51.263592386425756</v>
      </c>
      <c r="BD871" s="209">
        <v>22487.973924026999</v>
      </c>
      <c r="BE871" s="243">
        <v>24.313426203614888</v>
      </c>
      <c r="BF871">
        <v>640574.38946998527</v>
      </c>
      <c r="BG871" t="s">
        <v>389</v>
      </c>
      <c r="BH871">
        <v>2.6230134419490408E-6</v>
      </c>
      <c r="BI871">
        <v>1424879.7392402701</v>
      </c>
      <c r="BJ871">
        <f t="shared" si="51"/>
        <v>0.44956382761925745</v>
      </c>
    </row>
    <row r="872" spans="1:62" s="140" customFormat="1" x14ac:dyDescent="0.3">
      <c r="A872" s="140">
        <v>-0.1</v>
      </c>
      <c r="B872" s="140">
        <v>1000</v>
      </c>
      <c r="C872" s="140">
        <v>25</v>
      </c>
      <c r="D872" s="140">
        <v>400</v>
      </c>
      <c r="E872" s="253">
        <v>4.2140836196057947</v>
      </c>
      <c r="F872" s="140">
        <v>1.1575702325104604</v>
      </c>
      <c r="G872" s="140">
        <v>4.9190674725936052</v>
      </c>
      <c r="H872" s="140">
        <v>0</v>
      </c>
      <c r="J872" s="140">
        <v>5.7808811032826507E-2</v>
      </c>
      <c r="K872" s="140">
        <v>1E-8</v>
      </c>
      <c r="L872" s="140">
        <v>24.062555916981331</v>
      </c>
      <c r="M872" s="140">
        <v>14.437533437896869</v>
      </c>
      <c r="N872" s="140">
        <v>0.25774247876313416</v>
      </c>
      <c r="Z872" s="140" t="s">
        <v>35</v>
      </c>
      <c r="AL872" s="140">
        <v>504.32429641331299</v>
      </c>
      <c r="AM872" s="140">
        <v>0.23532310523484753</v>
      </c>
      <c r="AN872" s="140">
        <v>0.29970511650945292</v>
      </c>
      <c r="AO872" s="140">
        <v>385.93923364176908</v>
      </c>
      <c r="AP872" s="140">
        <v>375.45305703174591</v>
      </c>
      <c r="AQ872" s="140" t="s">
        <v>308</v>
      </c>
      <c r="AR872" s="140">
        <v>0</v>
      </c>
      <c r="AS872" s="140">
        <v>0</v>
      </c>
      <c r="AT872" s="140">
        <v>0</v>
      </c>
      <c r="AU872" s="140">
        <v>1</v>
      </c>
      <c r="AV872">
        <v>0.1</v>
      </c>
      <c r="AW872" s="140">
        <v>0.1</v>
      </c>
      <c r="AX872" s="141">
        <v>5.6108844973819516E-2</v>
      </c>
      <c r="AY872" s="205">
        <v>1E-8</v>
      </c>
      <c r="AZ872" s="209">
        <v>375.45305703174591</v>
      </c>
      <c r="BA872" s="140">
        <v>5.6108844973819516E-2</v>
      </c>
      <c r="BB872" s="253">
        <v>12.974228591534006</v>
      </c>
      <c r="BC872" s="245">
        <v>34.155230473826414</v>
      </c>
      <c r="BD872" s="210">
        <v>14114.538575580138</v>
      </c>
      <c r="BE872" s="245">
        <v>16.324264219205702</v>
      </c>
      <c r="BF872" s="140">
        <v>606164.10424000712</v>
      </c>
      <c r="BG872" t="s">
        <v>389</v>
      </c>
      <c r="BH872" s="140">
        <v>1.8187890306206984E-6</v>
      </c>
      <c r="BI872" s="140">
        <v>1341145.3857558013</v>
      </c>
      <c r="BJ872">
        <f t="shared" si="51"/>
        <v>0.45197493924076237</v>
      </c>
    </row>
    <row r="873" spans="1:62" x14ac:dyDescent="0.3">
      <c r="A873">
        <v>-0.1</v>
      </c>
      <c r="B873" s="146">
        <v>1000</v>
      </c>
      <c r="C873" s="146">
        <v>25</v>
      </c>
      <c r="D873" s="146">
        <v>400</v>
      </c>
      <c r="E873" s="252">
        <v>18.017735646067102</v>
      </c>
      <c r="F873" s="146">
        <v>6.357889707795283</v>
      </c>
      <c r="G873" s="146">
        <v>21.930716862290904</v>
      </c>
      <c r="H873" s="146">
        <v>0</v>
      </c>
      <c r="I873" s="146"/>
      <c r="J873" s="146">
        <v>6.4236972157437747E-2</v>
      </c>
      <c r="K873" s="146">
        <v>1E-8</v>
      </c>
      <c r="L873" s="146">
        <v>106.9336687221264</v>
      </c>
      <c r="M873" s="146">
        <v>64.160200734252044</v>
      </c>
      <c r="N873" s="146">
        <v>0.95647743867254897</v>
      </c>
      <c r="O873" s="146"/>
      <c r="P873" s="146"/>
      <c r="Q873" s="146"/>
      <c r="R873" s="146"/>
      <c r="S873" s="146"/>
      <c r="T873" s="146"/>
      <c r="U873" s="146"/>
      <c r="V873" s="146"/>
      <c r="W873" s="146"/>
      <c r="X873" s="146"/>
      <c r="Y873" s="146"/>
      <c r="Z873" s="146" t="s">
        <v>35</v>
      </c>
      <c r="AA873" s="146"/>
      <c r="AB873" s="146"/>
      <c r="AC873" s="146"/>
      <c r="AD873" s="146"/>
      <c r="AE873" s="146"/>
      <c r="AF873" s="146"/>
      <c r="AG873" s="146"/>
      <c r="AH873" s="146"/>
      <c r="AI873" s="146"/>
      <c r="AJ873" s="146"/>
      <c r="AK873" s="146"/>
      <c r="AL873" s="146">
        <v>769.2615376772743</v>
      </c>
      <c r="AM873" s="146">
        <v>0.28990797463294282</v>
      </c>
      <c r="AN873" s="146">
        <v>0.28090121836044818</v>
      </c>
      <c r="AO873" s="146">
        <v>335.85739588018794</v>
      </c>
      <c r="AP873" s="146">
        <v>291.02281834099961</v>
      </c>
      <c r="AQ873" t="s">
        <v>308</v>
      </c>
      <c r="AR873">
        <v>0</v>
      </c>
      <c r="AS873">
        <v>0</v>
      </c>
      <c r="AT873">
        <v>0</v>
      </c>
      <c r="AU873">
        <v>1</v>
      </c>
      <c r="AV873">
        <v>0.1</v>
      </c>
      <c r="AW873" s="146">
        <v>3</v>
      </c>
      <c r="AX873" s="141">
        <v>6.0204652539449351E-2</v>
      </c>
      <c r="AY873" s="141">
        <v>1E-8</v>
      </c>
      <c r="AZ873" s="209">
        <v>291.02281834099961</v>
      </c>
      <c r="BA873">
        <v>6.0204652539449351E-2</v>
      </c>
      <c r="BB873" s="249">
        <v>66.078667464203065</v>
      </c>
      <c r="BC873" s="243">
        <v>204.20695079020342</v>
      </c>
      <c r="BD873" s="209">
        <v>115605.50757482565</v>
      </c>
      <c r="BE873" s="243">
        <v>89.407594140261565</v>
      </c>
      <c r="BF873">
        <v>351282.44918402139</v>
      </c>
      <c r="BG873" t="s">
        <v>390</v>
      </c>
      <c r="BH873">
        <v>6.3945984466397456E-6</v>
      </c>
      <c r="BI873">
        <v>2356055.0757482564</v>
      </c>
      <c r="BJ873">
        <f t="shared" si="51"/>
        <v>0.14909772390293469</v>
      </c>
    </row>
    <row r="874" spans="1:62" x14ac:dyDescent="0.3">
      <c r="A874">
        <v>-0.2</v>
      </c>
      <c r="B874" s="146">
        <v>1000</v>
      </c>
      <c r="C874" s="146">
        <v>25</v>
      </c>
      <c r="D874" s="146">
        <v>400</v>
      </c>
      <c r="E874" s="252">
        <v>17.866492325627764</v>
      </c>
      <c r="F874" s="146">
        <v>6.4698236473567476</v>
      </c>
      <c r="G874" s="146">
        <v>21.838486905807805</v>
      </c>
      <c r="H874" s="146">
        <v>0</v>
      </c>
      <c r="I874" s="146"/>
      <c r="J874" s="146">
        <v>6.5106617389841734E-2</v>
      </c>
      <c r="K874" s="146">
        <v>1E-8</v>
      </c>
      <c r="L874" s="146">
        <v>107.07608491462604</v>
      </c>
      <c r="M874" s="146">
        <v>64.245650449087222</v>
      </c>
      <c r="N874" s="146">
        <v>0.96349316216457437</v>
      </c>
      <c r="O874" s="146"/>
      <c r="P874" s="146"/>
      <c r="Q874" s="146"/>
      <c r="R874" s="146"/>
      <c r="S874" s="146"/>
      <c r="T874" s="146"/>
      <c r="U874" s="146"/>
      <c r="V874" s="146"/>
      <c r="W874" s="146"/>
      <c r="X874" s="146"/>
      <c r="Y874" s="146"/>
      <c r="Z874" s="146" t="s">
        <v>35</v>
      </c>
      <c r="AA874" s="146"/>
      <c r="AB874" s="146"/>
      <c r="AC874" s="146"/>
      <c r="AD874" s="146"/>
      <c r="AE874" s="146"/>
      <c r="AF874" s="146"/>
      <c r="AG874" s="146"/>
      <c r="AH874" s="146"/>
      <c r="AI874" s="146"/>
      <c r="AJ874" s="146"/>
      <c r="AK874" s="146"/>
      <c r="AL874" s="146">
        <v>765.81759510750976</v>
      </c>
      <c r="AM874" s="146">
        <v>0.29625787149365829</v>
      </c>
      <c r="AN874" s="146">
        <v>0.24998334305814615</v>
      </c>
      <c r="AO874" s="146">
        <v>328.52926876223103</v>
      </c>
      <c r="AP874" s="146">
        <v>284.07101402522284</v>
      </c>
      <c r="AQ874" t="s">
        <v>308</v>
      </c>
      <c r="AR874">
        <v>0</v>
      </c>
      <c r="AS874">
        <v>0</v>
      </c>
      <c r="AT874">
        <v>0</v>
      </c>
      <c r="AU874">
        <v>1</v>
      </c>
      <c r="AV874">
        <v>0.1</v>
      </c>
      <c r="AW874" s="146">
        <v>3</v>
      </c>
      <c r="AX874" s="141">
        <v>6.1000667990401124E-2</v>
      </c>
      <c r="AY874" s="141">
        <v>1E-8</v>
      </c>
      <c r="AZ874" s="209">
        <v>284.07101402522284</v>
      </c>
      <c r="BA874">
        <v>6.1000667990401124E-2</v>
      </c>
      <c r="BB874" s="249">
        <v>66.760196194159576</v>
      </c>
      <c r="BC874" s="243">
        <v>204.64188248370539</v>
      </c>
      <c r="BD874" s="209">
        <v>116311.73648517775</v>
      </c>
      <c r="BE874" s="243">
        <v>90.191220116962199</v>
      </c>
      <c r="BF874">
        <v>349052.08275265514</v>
      </c>
      <c r="BG874" t="s">
        <v>390</v>
      </c>
      <c r="BH874">
        <v>6.3274687646502017E-6</v>
      </c>
      <c r="BI874">
        <v>2363117.3648517774</v>
      </c>
      <c r="BJ874">
        <f t="shared" si="51"/>
        <v>0.14770831442582574</v>
      </c>
    </row>
    <row r="875" spans="1:62" x14ac:dyDescent="0.3">
      <c r="A875">
        <v>-0.3</v>
      </c>
      <c r="B875" s="146">
        <v>1000</v>
      </c>
      <c r="C875" s="146">
        <v>25</v>
      </c>
      <c r="D875" s="146">
        <v>400</v>
      </c>
      <c r="E875" s="252">
        <v>17.674333614836186</v>
      </c>
      <c r="F875" s="146">
        <v>6.6186868643978869</v>
      </c>
      <c r="G875" s="146">
        <v>21.725027319863706</v>
      </c>
      <c r="H875" s="146">
        <v>0</v>
      </c>
      <c r="I875" s="146"/>
      <c r="J875" s="146">
        <v>6.6312010294690818E-2</v>
      </c>
      <c r="K875" s="146">
        <v>1E-8</v>
      </c>
      <c r="L875" s="146">
        <v>107.27579498534848</v>
      </c>
      <c r="M875" s="146">
        <v>64.365476490588705</v>
      </c>
      <c r="N875" s="146">
        <v>0.97093784791957116</v>
      </c>
      <c r="O875" s="146"/>
      <c r="P875" s="146"/>
      <c r="Q875" s="146"/>
      <c r="R875" s="146"/>
      <c r="S875" s="146"/>
      <c r="T875" s="146"/>
      <c r="U875" s="146"/>
      <c r="V875" s="146"/>
      <c r="W875" s="146"/>
      <c r="X875" s="146"/>
      <c r="Y875" s="146"/>
      <c r="Z875" s="146" t="s">
        <v>35</v>
      </c>
      <c r="AA875" s="146"/>
      <c r="AB875" s="146"/>
      <c r="AC875" s="146"/>
      <c r="AD875" s="146"/>
      <c r="AE875" s="146"/>
      <c r="AF875" s="146"/>
      <c r="AG875" s="146"/>
      <c r="AH875" s="146"/>
      <c r="AI875" s="146"/>
      <c r="AJ875" s="146"/>
      <c r="AK875" s="146"/>
      <c r="AL875" s="146">
        <v>760.77967605000936</v>
      </c>
      <c r="AM875" s="146">
        <v>0.30465724010143203</v>
      </c>
      <c r="AN875" s="146">
        <v>0.21898792853894197</v>
      </c>
      <c r="AO875" s="146">
        <v>319.29083154146002</v>
      </c>
      <c r="AP875" s="146">
        <v>275.31075209022356</v>
      </c>
      <c r="AQ875" t="s">
        <v>308</v>
      </c>
      <c r="AR875">
        <v>0</v>
      </c>
      <c r="AS875">
        <v>0</v>
      </c>
      <c r="AT875">
        <v>0</v>
      </c>
      <c r="AU875">
        <v>1</v>
      </c>
      <c r="AV875">
        <v>0.1</v>
      </c>
      <c r="AW875" s="146">
        <v>3</v>
      </c>
      <c r="AX875" s="141">
        <v>6.2103307322397105E-2</v>
      </c>
      <c r="AY875" s="141">
        <v>1E-8</v>
      </c>
      <c r="AZ875" s="209">
        <v>275.31075209022356</v>
      </c>
      <c r="BA875">
        <v>6.2103307322397105E-2</v>
      </c>
      <c r="BB875" s="249">
        <v>67.675262430443908</v>
      </c>
      <c r="BC875" s="243">
        <v>205.25327943248521</v>
      </c>
      <c r="BD875" s="209">
        <v>117301.31403123052</v>
      </c>
      <c r="BE875" s="243">
        <v>91.2868296989448</v>
      </c>
      <c r="BF875">
        <v>346350.84593667742</v>
      </c>
      <c r="BG875" t="s">
        <v>390</v>
      </c>
      <c r="BH875">
        <v>6.2399996869202821E-6</v>
      </c>
      <c r="BI875">
        <v>2373013.1403123052</v>
      </c>
      <c r="BJ875">
        <f t="shared" si="51"/>
        <v>0.14595403626424724</v>
      </c>
    </row>
    <row r="876" spans="1:62" x14ac:dyDescent="0.3">
      <c r="A876">
        <v>-0.4</v>
      </c>
      <c r="B876" s="146">
        <v>1000</v>
      </c>
      <c r="C876" s="146">
        <v>25</v>
      </c>
      <c r="D876" s="146">
        <v>400</v>
      </c>
      <c r="E876" s="252">
        <v>17.419868599201994</v>
      </c>
      <c r="F876" s="146">
        <v>6.8251477742467541</v>
      </c>
      <c r="G876" s="146">
        <v>21.580002762183184</v>
      </c>
      <c r="H876" s="146">
        <v>0</v>
      </c>
      <c r="I876" s="146"/>
      <c r="J876" s="146">
        <v>6.8039832888522764E-2</v>
      </c>
      <c r="K876" s="146">
        <v>1E-8</v>
      </c>
      <c r="L876" s="146">
        <v>107.56671892093749</v>
      </c>
      <c r="M876" s="146">
        <v>64.540030850584472</v>
      </c>
      <c r="N876" s="146">
        <v>0.97868554326746349</v>
      </c>
      <c r="O876" s="146"/>
      <c r="P876" s="146"/>
      <c r="Q876" s="146"/>
      <c r="R876" s="146"/>
      <c r="S876" s="146"/>
      <c r="T876" s="146"/>
      <c r="U876" s="146"/>
      <c r="V876" s="146"/>
      <c r="W876" s="146"/>
      <c r="X876" s="146"/>
      <c r="Y876" s="146"/>
      <c r="Z876" s="146" t="s">
        <v>35</v>
      </c>
      <c r="AA876" s="146"/>
      <c r="AB876" s="146"/>
      <c r="AC876" s="146"/>
      <c r="AD876" s="146"/>
      <c r="AE876" s="146"/>
      <c r="AF876" s="146"/>
      <c r="AG876" s="146"/>
      <c r="AH876" s="146"/>
      <c r="AI876" s="146"/>
      <c r="AJ876" s="146"/>
      <c r="AK876" s="146"/>
      <c r="AL876" s="146">
        <v>753.28930120012001</v>
      </c>
      <c r="AM876" s="146">
        <v>0.31627186749981095</v>
      </c>
      <c r="AN876" s="146">
        <v>0.18790348378717955</v>
      </c>
      <c r="AO876" s="146">
        <v>307.29353044389626</v>
      </c>
      <c r="AP876" s="146">
        <v>263.94652956638816</v>
      </c>
      <c r="AQ876" t="s">
        <v>308</v>
      </c>
      <c r="AR876">
        <v>0</v>
      </c>
      <c r="AS876">
        <v>0</v>
      </c>
      <c r="AT876">
        <v>0</v>
      </c>
      <c r="AU876">
        <v>1</v>
      </c>
      <c r="AV876">
        <v>0.1</v>
      </c>
      <c r="AW876" s="146">
        <v>3</v>
      </c>
      <c r="AX876" s="141">
        <v>6.3682965315773721E-2</v>
      </c>
      <c r="AY876" s="141">
        <v>1E-8</v>
      </c>
      <c r="AZ876" s="209">
        <v>263.94652956638816</v>
      </c>
      <c r="BA876">
        <v>6.3682965315773721E-2</v>
      </c>
      <c r="BB876" s="249">
        <v>68.955845009371117</v>
      </c>
      <c r="BC876" s="243">
        <v>206.14705821421532</v>
      </c>
      <c r="BD876" s="209">
        <v>118741.93893960226</v>
      </c>
      <c r="BE876" s="243">
        <v>92.87705212891089</v>
      </c>
      <c r="BF876">
        <v>342931.84169257659</v>
      </c>
      <c r="BG876" t="s">
        <v>390</v>
      </c>
      <c r="BH876">
        <v>6.1214701256086793E-6</v>
      </c>
      <c r="BI876">
        <v>2387419.3893960225</v>
      </c>
      <c r="BJ876">
        <f t="shared" si="51"/>
        <v>0.14364122332914983</v>
      </c>
    </row>
    <row r="877" spans="1:62" x14ac:dyDescent="0.3">
      <c r="A877">
        <v>-0.5</v>
      </c>
      <c r="B877" s="146">
        <v>1000</v>
      </c>
      <c r="C877" s="146">
        <v>25</v>
      </c>
      <c r="D877" s="146">
        <v>400</v>
      </c>
      <c r="E877" s="252">
        <v>17.053161668307492</v>
      </c>
      <c r="F877" s="146">
        <v>7.1180266246702919</v>
      </c>
      <c r="G877" s="146">
        <v>21.368405489258464</v>
      </c>
      <c r="H877" s="146">
        <v>0</v>
      </c>
      <c r="I877" s="146"/>
      <c r="J877" s="146">
        <v>7.0395266893465314E-2</v>
      </c>
      <c r="K877" s="146">
        <v>1E-8</v>
      </c>
      <c r="L877" s="146">
        <v>107.9733250068977</v>
      </c>
      <c r="M877" s="146">
        <v>64.783994500263105</v>
      </c>
      <c r="N877" s="146">
        <v>0.98985965295721101</v>
      </c>
      <c r="O877" s="146"/>
      <c r="P877" s="146"/>
      <c r="Q877" s="146"/>
      <c r="R877" s="146"/>
      <c r="S877" s="146"/>
      <c r="T877" s="146"/>
      <c r="U877" s="146"/>
      <c r="V877" s="146"/>
      <c r="W877" s="146"/>
      <c r="X877" s="146"/>
      <c r="Y877" s="146"/>
      <c r="Z877" s="146" t="s">
        <v>35</v>
      </c>
      <c r="AA877" s="146"/>
      <c r="AB877" s="146"/>
      <c r="AC877" s="146"/>
      <c r="AD877" s="146"/>
      <c r="AE877" s="146"/>
      <c r="AF877" s="146"/>
      <c r="AG877" s="146"/>
      <c r="AH877" s="146"/>
      <c r="AI877" s="146"/>
      <c r="AJ877" s="146"/>
      <c r="AK877" s="146"/>
      <c r="AL877" s="146">
        <v>743.77908425403723</v>
      </c>
      <c r="AM877" s="146">
        <v>0.33310986298198075</v>
      </c>
      <c r="AN877" s="146">
        <v>0.15685946239948168</v>
      </c>
      <c r="AO877" s="146">
        <v>291.28381923892249</v>
      </c>
      <c r="AP877" s="146">
        <v>248.84925777543191</v>
      </c>
      <c r="AQ877" t="s">
        <v>308</v>
      </c>
      <c r="AR877">
        <v>0</v>
      </c>
      <c r="AS877">
        <v>0</v>
      </c>
      <c r="AT877">
        <v>0</v>
      </c>
      <c r="AU877">
        <v>1</v>
      </c>
      <c r="AV877">
        <v>0.1</v>
      </c>
      <c r="AW877" s="146">
        <v>3</v>
      </c>
      <c r="AX877" s="141">
        <v>6.5842217289746596E-2</v>
      </c>
      <c r="AY877" s="141">
        <v>1E-8</v>
      </c>
      <c r="AZ877" s="209">
        <v>248.84925777543191</v>
      </c>
      <c r="BA877">
        <v>6.5842217289746596E-2</v>
      </c>
      <c r="BB877" s="249">
        <v>70.765717755358878</v>
      </c>
      <c r="BC877" s="243">
        <v>207.40252593231006</v>
      </c>
      <c r="BD877" s="209">
        <v>120754.55710741076</v>
      </c>
      <c r="BE877" s="243">
        <v>95.089677514019883</v>
      </c>
      <c r="BF877">
        <v>337721.132859356</v>
      </c>
      <c r="BG877" t="s">
        <v>390</v>
      </c>
      <c r="BH877">
        <v>5.9544324450389067E-6</v>
      </c>
      <c r="BI877">
        <v>2407545.5710741077</v>
      </c>
      <c r="BJ877">
        <f t="shared" si="51"/>
        <v>0.14027611228504569</v>
      </c>
    </row>
    <row r="878" spans="1:62" x14ac:dyDescent="0.3">
      <c r="A878">
        <v>-0.6</v>
      </c>
      <c r="B878" s="146">
        <v>1000</v>
      </c>
      <c r="C878" s="146">
        <v>25</v>
      </c>
      <c r="D878" s="146">
        <v>400</v>
      </c>
      <c r="E878" s="252">
        <v>16.502980527747752</v>
      </c>
      <c r="F878" s="146">
        <v>7.5837943460788875</v>
      </c>
      <c r="G878" s="146">
        <v>21.065713687384189</v>
      </c>
      <c r="H878" s="146">
        <v>0</v>
      </c>
      <c r="I878" s="146"/>
      <c r="J878" s="146">
        <v>7.4245179627913188E-2</v>
      </c>
      <c r="K878" s="146">
        <v>1E-8</v>
      </c>
      <c r="L878" s="146">
        <v>108.65847309637502</v>
      </c>
      <c r="M878" s="146">
        <v>65.195083350752142</v>
      </c>
      <c r="N878" s="146">
        <v>1.0002248949138122</v>
      </c>
      <c r="O878" s="146"/>
      <c r="P878" s="146"/>
      <c r="Q878" s="146"/>
      <c r="R878" s="146"/>
      <c r="S878" s="146"/>
      <c r="T878" s="146"/>
      <c r="U878" s="146"/>
      <c r="V878" s="146"/>
      <c r="W878" s="146"/>
      <c r="X878" s="146"/>
      <c r="Y878" s="146"/>
      <c r="Z878" s="146" t="s">
        <v>35</v>
      </c>
      <c r="AA878" s="146"/>
      <c r="AB878" s="146"/>
      <c r="AC878" s="146"/>
      <c r="AD878" s="146"/>
      <c r="AE878" s="146"/>
      <c r="AF878" s="146"/>
      <c r="AG878" s="146"/>
      <c r="AH878" s="146"/>
      <c r="AI878" s="146"/>
      <c r="AJ878" s="146"/>
      <c r="AK878" s="146"/>
      <c r="AL878" s="146">
        <v>727.71150510165728</v>
      </c>
      <c r="AM878" s="146">
        <v>0.36000652333087874</v>
      </c>
      <c r="AN878" s="146">
        <v>0.1256551923420233</v>
      </c>
      <c r="AO878" s="146">
        <v>268.66455559728905</v>
      </c>
      <c r="AP878" s="146">
        <v>227.59905764475081</v>
      </c>
      <c r="AQ878" t="s">
        <v>308</v>
      </c>
      <c r="AR878">
        <v>0</v>
      </c>
      <c r="AS878">
        <v>0</v>
      </c>
      <c r="AT878">
        <v>0</v>
      </c>
      <c r="AU878">
        <v>1</v>
      </c>
      <c r="AV878">
        <v>0.1</v>
      </c>
      <c r="AW878" s="146">
        <v>3</v>
      </c>
      <c r="AX878" s="141">
        <v>6.9370480927726713E-2</v>
      </c>
      <c r="AY878" s="141">
        <v>1E-8</v>
      </c>
      <c r="AZ878" s="209">
        <v>227.59905764475081</v>
      </c>
      <c r="BA878">
        <v>6.9370480927726713E-2</v>
      </c>
      <c r="BB878" s="249">
        <v>73.673957650193088</v>
      </c>
      <c r="BC878" s="243">
        <v>209.53485468423349</v>
      </c>
      <c r="BD878" s="209">
        <v>124148.60036657247</v>
      </c>
      <c r="BE878" s="243">
        <v>98.799539954563556</v>
      </c>
      <c r="BF878">
        <v>330158.42986947892</v>
      </c>
      <c r="BG878" t="s">
        <v>390</v>
      </c>
      <c r="BH878">
        <v>5.6986305732426883E-6</v>
      </c>
      <c r="BI878">
        <v>2441486.0036657248</v>
      </c>
      <c r="BJ878">
        <f t="shared" si="51"/>
        <v>0.13522847535221114</v>
      </c>
    </row>
    <row r="879" spans="1:62" x14ac:dyDescent="0.3">
      <c r="A879">
        <v>-0.7</v>
      </c>
      <c r="B879" s="146">
        <v>1000</v>
      </c>
      <c r="C879" s="146">
        <v>25</v>
      </c>
      <c r="D879" s="146">
        <v>400</v>
      </c>
      <c r="E879" s="252">
        <v>15.546231673632306</v>
      </c>
      <c r="F879" s="146">
        <v>8.3509570208268737</v>
      </c>
      <c r="G879" s="146">
        <v>20.515353530971083</v>
      </c>
      <c r="H879" s="146">
        <v>0</v>
      </c>
      <c r="I879" s="146"/>
      <c r="J879" s="146">
        <v>7.9961067714306999E-2</v>
      </c>
      <c r="K879" s="146">
        <v>1E-8</v>
      </c>
      <c r="L879" s="146">
        <v>109.72566738138063</v>
      </c>
      <c r="M879" s="146">
        <v>65.835399916775259</v>
      </c>
      <c r="N879" s="146">
        <v>1.0209993673976134</v>
      </c>
      <c r="O879" s="146"/>
      <c r="P879" s="146"/>
      <c r="Q879" s="146"/>
      <c r="R879" s="146"/>
      <c r="S879" s="146"/>
      <c r="T879" s="146"/>
      <c r="U879" s="146"/>
      <c r="V879" s="146"/>
      <c r="W879" s="146"/>
      <c r="X879" s="146"/>
      <c r="Y879" s="146"/>
      <c r="Z879" s="146" t="s">
        <v>35</v>
      </c>
      <c r="AA879" s="146"/>
      <c r="AB879" s="146"/>
      <c r="AC879" s="146"/>
      <c r="AD879" s="146"/>
      <c r="AE879" s="146"/>
      <c r="AF879" s="146"/>
      <c r="AG879" s="146"/>
      <c r="AH879" s="146"/>
      <c r="AI879" s="146"/>
      <c r="AJ879" s="146"/>
      <c r="AK879" s="146"/>
      <c r="AL879" s="146">
        <v>707.54314404589707</v>
      </c>
      <c r="AM879" s="146">
        <v>0.40705888924701294</v>
      </c>
      <c r="AN879" s="146">
        <v>9.463719339406422E-2</v>
      </c>
      <c r="AO879" s="146">
        <v>235.72809889977793</v>
      </c>
      <c r="AP879" s="146">
        <v>197.04346034709025</v>
      </c>
      <c r="AQ879" t="s">
        <v>308</v>
      </c>
      <c r="AR879">
        <v>0</v>
      </c>
      <c r="AS879">
        <v>0</v>
      </c>
      <c r="AT879">
        <v>0</v>
      </c>
      <c r="AU879">
        <v>1</v>
      </c>
      <c r="AV879">
        <v>0.1</v>
      </c>
      <c r="AW879" s="146">
        <v>3</v>
      </c>
      <c r="AX879" s="141">
        <v>7.4655262496594502E-2</v>
      </c>
      <c r="AY879" s="141">
        <v>1E-8</v>
      </c>
      <c r="AZ879" s="209">
        <v>197.04346034709025</v>
      </c>
      <c r="BA879">
        <v>7.4655262496594502E-2</v>
      </c>
      <c r="BB879" s="249">
        <v>78.406820132882601</v>
      </c>
      <c r="BC879" s="243">
        <v>212.89913414524133</v>
      </c>
      <c r="BD879" s="209">
        <v>129459.08428384559</v>
      </c>
      <c r="BE879" s="243">
        <v>104.55820462489424</v>
      </c>
      <c r="BF879">
        <v>315032.72568507266</v>
      </c>
      <c r="BG879" t="s">
        <v>390</v>
      </c>
      <c r="BH879">
        <v>5.2808824122080904E-6</v>
      </c>
      <c r="BI879">
        <v>2494590.8428384559</v>
      </c>
      <c r="BJ879">
        <f t="shared" si="51"/>
        <v>0.12628633131941366</v>
      </c>
    </row>
    <row r="880" spans="1:62" x14ac:dyDescent="0.3">
      <c r="A880">
        <v>-0.8</v>
      </c>
      <c r="B880" s="146">
        <v>1000</v>
      </c>
      <c r="C880" s="146">
        <v>25</v>
      </c>
      <c r="D880" s="146">
        <v>400</v>
      </c>
      <c r="E880" s="252">
        <v>13.6624977935796</v>
      </c>
      <c r="F880" s="146">
        <v>9.8329987442332314</v>
      </c>
      <c r="G880" s="146">
        <v>19.415124996230688</v>
      </c>
      <c r="H880" s="146">
        <v>0</v>
      </c>
      <c r="I880" s="146"/>
      <c r="J880" s="146">
        <v>9.0831970842012361E-2</v>
      </c>
      <c r="K880" s="146">
        <v>1E-8</v>
      </c>
      <c r="L880" s="146">
        <v>111.55097113264975</v>
      </c>
      <c r="M880" s="146">
        <v>66.930582159018641</v>
      </c>
      <c r="N880" s="146">
        <v>1.037102637122981</v>
      </c>
      <c r="O880" s="146"/>
      <c r="P880" s="146"/>
      <c r="Q880" s="146"/>
      <c r="R880" s="146"/>
      <c r="S880" s="146"/>
      <c r="T880" s="146"/>
      <c r="U880" s="146"/>
      <c r="V880" s="146"/>
      <c r="W880" s="146"/>
      <c r="X880" s="146"/>
      <c r="Y880" s="146"/>
      <c r="Z880" s="146" t="s">
        <v>35</v>
      </c>
      <c r="AA880" s="146"/>
      <c r="AB880" s="146"/>
      <c r="AC880" s="146"/>
      <c r="AD880" s="146"/>
      <c r="AE880" s="146"/>
      <c r="AF880" s="146"/>
      <c r="AG880" s="146"/>
      <c r="AH880" s="146"/>
      <c r="AI880" s="146"/>
      <c r="AJ880" s="146"/>
      <c r="AK880" s="146"/>
      <c r="AL880" s="146">
        <v>669.36784154620125</v>
      </c>
      <c r="AM880" s="146">
        <v>0.50646074883073067</v>
      </c>
      <c r="AN880" s="146">
        <v>6.349150321506454E-2</v>
      </c>
      <c r="AO880" s="146">
        <v>184.81376086969195</v>
      </c>
      <c r="AP880" s="146">
        <v>150.8165229847111</v>
      </c>
      <c r="AQ880" t="s">
        <v>308</v>
      </c>
      <c r="AR880">
        <v>0</v>
      </c>
      <c r="AS880">
        <v>0</v>
      </c>
      <c r="AT880">
        <v>0</v>
      </c>
      <c r="AU880">
        <v>1</v>
      </c>
      <c r="AV880">
        <v>0.1</v>
      </c>
      <c r="AW880" s="146">
        <v>3</v>
      </c>
      <c r="AX880" s="141">
        <v>8.4802115253805654E-2</v>
      </c>
      <c r="AY880" s="141">
        <v>1E-8</v>
      </c>
      <c r="AZ880" s="209">
        <v>150.8165229847111</v>
      </c>
      <c r="BA880">
        <v>8.4802115253805654E-2</v>
      </c>
      <c r="BB880" s="249">
        <v>87.481077840161348</v>
      </c>
      <c r="BC880" s="243">
        <v>218.77895405433446</v>
      </c>
      <c r="BD880" s="209">
        <v>139528.3734202655</v>
      </c>
      <c r="BE880" s="243">
        <v>115.6721781594546</v>
      </c>
      <c r="BF880">
        <v>288665.42101876746</v>
      </c>
      <c r="BG880" t="s">
        <v>390</v>
      </c>
      <c r="BH880">
        <v>4.490716283703764E-6</v>
      </c>
      <c r="BI880">
        <v>2595283.734202655</v>
      </c>
      <c r="BJ880">
        <f t="shared" si="51"/>
        <v>0.11122692182535243</v>
      </c>
    </row>
    <row r="881" spans="1:62" x14ac:dyDescent="0.3">
      <c r="A881">
        <v>-0.85</v>
      </c>
      <c r="B881" s="146">
        <v>1000</v>
      </c>
      <c r="C881" s="146">
        <v>25</v>
      </c>
      <c r="D881" s="146">
        <v>400</v>
      </c>
      <c r="E881" s="252">
        <v>9.321378225085077</v>
      </c>
      <c r="F881" s="146">
        <v>5.3151748121059068</v>
      </c>
      <c r="G881" s="146">
        <v>12.416464802499803</v>
      </c>
      <c r="H881" s="146">
        <v>0</v>
      </c>
      <c r="I881" s="146"/>
      <c r="J881" s="146">
        <v>8.7565394371004773E-2</v>
      </c>
      <c r="K881" s="146">
        <v>1E-8</v>
      </c>
      <c r="L881" s="146">
        <v>69.69687517422706</v>
      </c>
      <c r="M881" s="146">
        <v>41.818124779284155</v>
      </c>
      <c r="N881" s="146">
        <v>0.72137824537089723</v>
      </c>
      <c r="O881" s="146"/>
      <c r="P881" s="146"/>
      <c r="Q881" s="146"/>
      <c r="R881" s="146"/>
      <c r="S881" s="146"/>
      <c r="T881" s="146"/>
      <c r="U881" s="146"/>
      <c r="V881" s="146"/>
      <c r="W881" s="146"/>
      <c r="X881" s="146"/>
      <c r="Y881" s="146"/>
      <c r="Z881" s="146" t="s">
        <v>35</v>
      </c>
      <c r="AA881" s="146"/>
      <c r="AB881" s="146"/>
      <c r="AC881" s="146"/>
      <c r="AD881" s="146"/>
      <c r="AE881" s="146"/>
      <c r="AF881" s="146"/>
      <c r="AG881" s="146"/>
      <c r="AH881" s="146"/>
      <c r="AI881" s="146"/>
      <c r="AJ881" s="146"/>
      <c r="AK881" s="146"/>
      <c r="AL881" s="146">
        <v>549.62939342602817</v>
      </c>
      <c r="AM881" s="146">
        <v>0.4280747295345938</v>
      </c>
      <c r="AN881" s="146">
        <v>4.9617477848050318E-2</v>
      </c>
      <c r="AO881" s="146">
        <v>212.13518644315062</v>
      </c>
      <c r="AP881" s="146">
        <v>188.94027074057954</v>
      </c>
      <c r="AQ881" t="s">
        <v>308</v>
      </c>
      <c r="AR881">
        <v>0</v>
      </c>
      <c r="AS881">
        <v>0</v>
      </c>
      <c r="AT881">
        <v>0</v>
      </c>
      <c r="AU881">
        <v>1</v>
      </c>
      <c r="AV881">
        <v>0.1</v>
      </c>
      <c r="AW881" s="146">
        <v>3</v>
      </c>
      <c r="AX881" s="141">
        <v>8.2463172838790441E-2</v>
      </c>
      <c r="AY881" s="141">
        <v>1E-8</v>
      </c>
      <c r="AZ881" s="209">
        <v>188.94027074057954</v>
      </c>
      <c r="BA881">
        <v>8.2463172838790441E-2</v>
      </c>
      <c r="BB881" s="249">
        <v>49.302554254746028</v>
      </c>
      <c r="BC881" s="243">
        <v>112.75140643691196</v>
      </c>
      <c r="BD881" s="209">
        <v>63631.507620113574</v>
      </c>
      <c r="BE881" s="243">
        <v>62.248262107796528</v>
      </c>
      <c r="BF881">
        <v>661422.25474018219</v>
      </c>
      <c r="BG881" t="s">
        <v>390</v>
      </c>
      <c r="BH881">
        <v>3.4083516046940453E-6</v>
      </c>
      <c r="BI881">
        <v>1836315.0762011358</v>
      </c>
      <c r="BJ881">
        <f t="shared" si="51"/>
        <v>0.36018996048787821</v>
      </c>
    </row>
    <row r="882" spans="1:62" s="160" customFormat="1" ht="15" thickBot="1" x14ac:dyDescent="0.35">
      <c r="A882" s="160">
        <v>-0.87</v>
      </c>
      <c r="B882" s="160">
        <v>1000</v>
      </c>
      <c r="C882" s="160">
        <v>25</v>
      </c>
      <c r="D882" s="160">
        <v>400</v>
      </c>
      <c r="E882" s="250">
        <v>3.3441539859224791</v>
      </c>
      <c r="F882" s="160">
        <v>1.1190643141659649</v>
      </c>
      <c r="G882" s="160">
        <v>4.0124756412674172</v>
      </c>
      <c r="H882" s="160">
        <v>0</v>
      </c>
      <c r="J882" s="160">
        <v>6.7678018401972337E-2</v>
      </c>
      <c r="K882" s="160">
        <v>1E-8</v>
      </c>
      <c r="L882" s="160">
        <v>20.46555584235962</v>
      </c>
      <c r="M882" s="160">
        <v>12.279333409909844</v>
      </c>
      <c r="N882" s="160">
        <v>0.24324122189367153</v>
      </c>
      <c r="Z882" s="160" t="s">
        <v>35</v>
      </c>
      <c r="AL882" s="160">
        <v>436.71486341486479</v>
      </c>
      <c r="AM882" s="160">
        <v>0.27889622622418886</v>
      </c>
      <c r="AN882" s="160">
        <v>4.3666393938817674E-2</v>
      </c>
      <c r="AO882" s="160">
        <v>323.41584261324454</v>
      </c>
      <c r="AP882" s="160">
        <v>315.09425246802908</v>
      </c>
      <c r="AQ882" s="160" t="s">
        <v>308</v>
      </c>
      <c r="AR882" s="160">
        <v>0</v>
      </c>
      <c r="AS882" s="160">
        <v>0</v>
      </c>
      <c r="AT882" s="160">
        <v>0</v>
      </c>
      <c r="AU882" s="160">
        <v>1</v>
      </c>
      <c r="AV882" s="160">
        <v>0.1</v>
      </c>
      <c r="AW882" s="160">
        <v>3</v>
      </c>
      <c r="AX882" s="238">
        <v>6.550457225675152E-2</v>
      </c>
      <c r="AY882" s="238">
        <v>1E-8</v>
      </c>
      <c r="AZ882" s="248">
        <v>315.09425246802908</v>
      </c>
      <c r="BA882" s="160">
        <v>6.550457225675152E-2</v>
      </c>
      <c r="BB882" s="250">
        <v>11.799219731676175</v>
      </c>
      <c r="BC882" s="246">
        <v>28.812721360127199</v>
      </c>
      <c r="BD882" s="248">
        <v>12051.179561625457</v>
      </c>
      <c r="BE882" s="246">
        <v>14.703077944654972</v>
      </c>
      <c r="BF882" s="160">
        <v>814543.8173439533</v>
      </c>
      <c r="BG882" t="s">
        <v>390</v>
      </c>
      <c r="BH882" s="160">
        <v>1.1882699447435314E-6</v>
      </c>
      <c r="BI882" s="160">
        <v>1320511.7956162547</v>
      </c>
      <c r="BJ882">
        <f t="shared" si="51"/>
        <v>0.61683948605989025</v>
      </c>
    </row>
    <row r="883" spans="1:62" x14ac:dyDescent="0.3">
      <c r="A883">
        <v>-0.1</v>
      </c>
      <c r="B883" s="146">
        <v>100</v>
      </c>
      <c r="C883" s="146">
        <v>25</v>
      </c>
      <c r="D883" s="146">
        <v>400</v>
      </c>
      <c r="E883" s="249">
        <v>3.2970854372563481</v>
      </c>
      <c r="F883">
        <v>0.86787909214336467</v>
      </c>
      <c r="G883">
        <v>3.9541080568816485</v>
      </c>
      <c r="H883">
        <v>0.89188519573781377</v>
      </c>
      <c r="J883">
        <v>0.18589983432728582</v>
      </c>
      <c r="K883">
        <v>0.08</v>
      </c>
      <c r="L883">
        <v>17.941136232522457</v>
      </c>
      <c r="M883">
        <v>10.021615606722353</v>
      </c>
      <c r="N883">
        <v>0.46421458644914004</v>
      </c>
      <c r="Z883">
        <v>0.5204869288867584</v>
      </c>
      <c r="AL883">
        <v>607.94817102150705</v>
      </c>
      <c r="AM883">
        <v>0.21948795522492759</v>
      </c>
      <c r="AN883">
        <v>0.2066518791455183</v>
      </c>
      <c r="AO883">
        <v>384.04521918266886</v>
      </c>
      <c r="AP883">
        <v>375.84087779693709</v>
      </c>
      <c r="AQ883" t="s">
        <v>325</v>
      </c>
      <c r="AR883">
        <f t="shared" ref="AR883:AR922" si="52">0.15*Jsat_t</f>
        <v>4.8813386259591285</v>
      </c>
      <c r="AS883">
        <f t="shared" ref="AS883:AS922" si="53">0.05*Jatp</f>
        <v>1.3321822791215501</v>
      </c>
      <c r="AT883">
        <v>0.1</v>
      </c>
      <c r="AU883">
        <v>1</v>
      </c>
      <c r="AV883">
        <v>0.2</v>
      </c>
      <c r="AW883">
        <v>3</v>
      </c>
      <c r="AX883">
        <v>0.114350200685832</v>
      </c>
      <c r="AY883">
        <v>0.08</v>
      </c>
      <c r="AZ883" s="209">
        <v>375.84087779693709</v>
      </c>
      <c r="BA883">
        <v>0.114350200685832</v>
      </c>
      <c r="BB883" s="249">
        <v>9.9743123498165751</v>
      </c>
      <c r="BC883" s="243">
        <v>70.240956898347918</v>
      </c>
      <c r="BD883" s="209">
        <v>25985.171865271754</v>
      </c>
      <c r="BE883" s="243">
        <v>18.992272523099395</v>
      </c>
      <c r="BF883">
        <v>18877.789586171391</v>
      </c>
      <c r="BG883" t="s">
        <v>387</v>
      </c>
      <c r="BH883">
        <v>2.0237169027838954E-6</v>
      </c>
      <c r="BI883">
        <v>1459851.7186527175</v>
      </c>
      <c r="BJ883">
        <f t="shared" si="51"/>
        <v>1.2931306203888647E-2</v>
      </c>
    </row>
    <row r="884" spans="1:62" x14ac:dyDescent="0.3">
      <c r="A884">
        <v>-0.1</v>
      </c>
      <c r="B884" s="146">
        <v>200</v>
      </c>
      <c r="C884" s="146">
        <v>25</v>
      </c>
      <c r="D884" s="146">
        <v>400</v>
      </c>
      <c r="E884" s="252">
        <v>6.0473640305511953</v>
      </c>
      <c r="F884" s="146">
        <v>1.58902744670169</v>
      </c>
      <c r="G884" s="146">
        <v>7.1717772641497035</v>
      </c>
      <c r="H884" s="146">
        <v>1.6483111292942345</v>
      </c>
      <c r="I884" s="146"/>
      <c r="J884" s="146">
        <v>0.18469002633051462</v>
      </c>
      <c r="K884" s="146">
        <v>0.08</v>
      </c>
      <c r="L884" s="146">
        <v>33.219414487414042</v>
      </c>
      <c r="M884" s="146">
        <v>18.555803732751713</v>
      </c>
      <c r="N884" s="146">
        <v>0.73450678351887566</v>
      </c>
      <c r="O884" s="146"/>
      <c r="P884" s="146"/>
      <c r="Q884" s="146"/>
      <c r="R884" s="146"/>
      <c r="S884" s="146"/>
      <c r="T884" s="146"/>
      <c r="U884" s="146"/>
      <c r="V884" s="146"/>
      <c r="W884" s="146"/>
      <c r="X884" s="146"/>
      <c r="Y884" s="146"/>
      <c r="Z884" s="146">
        <v>0.44561173583373975</v>
      </c>
      <c r="AA884" s="146"/>
      <c r="AB884" s="146"/>
      <c r="AC884" s="146"/>
      <c r="AD884" s="146"/>
      <c r="AE884" s="146"/>
      <c r="AF884" s="146"/>
      <c r="AG884" s="146"/>
      <c r="AH884" s="146"/>
      <c r="AI884" s="146"/>
      <c r="AJ884" s="146"/>
      <c r="AK884" s="146"/>
      <c r="AL884" s="146">
        <v>725.98792235476674</v>
      </c>
      <c r="AM884" s="146">
        <v>0.22156675928084438</v>
      </c>
      <c r="AN884" s="146">
        <v>0.23066169431890804</v>
      </c>
      <c r="AO884" s="146">
        <v>373.78253875916545</v>
      </c>
      <c r="AP884" s="146">
        <v>358.73453059532898</v>
      </c>
      <c r="AQ884" t="s">
        <v>325</v>
      </c>
      <c r="AR884">
        <f t="shared" si="52"/>
        <v>4.8813386259591285</v>
      </c>
      <c r="AS884">
        <f t="shared" si="53"/>
        <v>1.3321822791215501</v>
      </c>
      <c r="AT884">
        <v>0.1</v>
      </c>
      <c r="AU884">
        <v>1</v>
      </c>
      <c r="AV884">
        <v>0.2</v>
      </c>
      <c r="AW884">
        <v>3</v>
      </c>
      <c r="AX884">
        <v>0.11817707386555258</v>
      </c>
      <c r="AY884">
        <v>0.08</v>
      </c>
      <c r="AZ884" s="209">
        <v>358.73453059532898</v>
      </c>
      <c r="BA884">
        <v>0.11817707386555258</v>
      </c>
      <c r="BB884" s="249">
        <v>18.162607974399311</v>
      </c>
      <c r="BC884" s="243">
        <v>102.16022892372538</v>
      </c>
      <c r="BD884" s="209">
        <v>42005.394014198995</v>
      </c>
      <c r="BE884" s="243">
        <v>29.799575175339871</v>
      </c>
      <c r="BF884">
        <v>52275.305053782839</v>
      </c>
      <c r="BG884" t="s">
        <v>387</v>
      </c>
      <c r="BH884">
        <v>3.4015449143734128E-6</v>
      </c>
      <c r="BI884">
        <v>1620053.9401419898</v>
      </c>
      <c r="BJ884">
        <f t="shared" si="51"/>
        <v>3.2267632427844445E-2</v>
      </c>
    </row>
    <row r="885" spans="1:62" x14ac:dyDescent="0.3">
      <c r="A885">
        <v>-0.1</v>
      </c>
      <c r="B885" s="146">
        <v>300</v>
      </c>
      <c r="C885" s="146">
        <v>25</v>
      </c>
      <c r="D885" s="146">
        <v>400</v>
      </c>
      <c r="E885" s="252">
        <v>8.3910312798073186</v>
      </c>
      <c r="F885" s="146">
        <v>2.2319073982671385</v>
      </c>
      <c r="G885" s="146">
        <v>9.9160602337946688</v>
      </c>
      <c r="H885" s="146">
        <v>2.3141493580856691</v>
      </c>
      <c r="I885" s="146"/>
      <c r="J885" s="146">
        <v>0.18461992083968623</v>
      </c>
      <c r="K885" s="146">
        <v>0.08</v>
      </c>
      <c r="L885" s="146">
        <v>46.703650217353776</v>
      </c>
      <c r="M885" s="146">
        <v>26.087870012418325</v>
      </c>
      <c r="N885" s="146">
        <v>0.93042267988587257</v>
      </c>
      <c r="O885" s="146"/>
      <c r="P885" s="146"/>
      <c r="Q885" s="146"/>
      <c r="R885" s="146"/>
      <c r="S885" s="146"/>
      <c r="T885" s="146"/>
      <c r="U885" s="146"/>
      <c r="V885" s="146"/>
      <c r="W885" s="146"/>
      <c r="X885" s="146"/>
      <c r="Y885" s="146"/>
      <c r="Z885" s="146">
        <v>0.40205818031362717</v>
      </c>
      <c r="AA885" s="146"/>
      <c r="AB885" s="146"/>
      <c r="AC885" s="146"/>
      <c r="AD885" s="146"/>
      <c r="AE885" s="146"/>
      <c r="AF885" s="146"/>
      <c r="AG885" s="146"/>
      <c r="AH885" s="146"/>
      <c r="AI885" s="146"/>
      <c r="AJ885" s="146"/>
      <c r="AK885" s="146"/>
      <c r="AL885" s="146">
        <v>809.92630463624516</v>
      </c>
      <c r="AM885" s="146">
        <v>0.22508005655922023</v>
      </c>
      <c r="AN885" s="146">
        <v>0.24388886070235827</v>
      </c>
      <c r="AO885" s="146">
        <v>365.59485637989951</v>
      </c>
      <c r="AP885" s="146">
        <v>344.71496469330856</v>
      </c>
      <c r="AQ885" t="s">
        <v>325</v>
      </c>
      <c r="AR885">
        <f t="shared" si="52"/>
        <v>4.8813386259591285</v>
      </c>
      <c r="AS885">
        <f t="shared" si="53"/>
        <v>1.3321822791215501</v>
      </c>
      <c r="AT885">
        <v>0.1</v>
      </c>
      <c r="AU885">
        <v>1</v>
      </c>
      <c r="AV885">
        <v>0.2</v>
      </c>
      <c r="AW885">
        <v>3</v>
      </c>
      <c r="AX885">
        <v>0.12123397582782378</v>
      </c>
      <c r="AY885">
        <v>0.08</v>
      </c>
      <c r="AZ885" s="209">
        <v>344.71496469330856</v>
      </c>
      <c r="BA885">
        <v>0.12123397582782378</v>
      </c>
      <c r="BB885" s="249">
        <v>25.316660988425983</v>
      </c>
      <c r="BC885" s="243">
        <v>125.08026781759791</v>
      </c>
      <c r="BD885" s="209">
        <v>55048.341095221207</v>
      </c>
      <c r="BE885" s="243">
        <v>38.549834123914522</v>
      </c>
      <c r="BF885">
        <v>90365.467906432677</v>
      </c>
      <c r="BG885" t="s">
        <v>387</v>
      </c>
      <c r="BH885">
        <v>4.3353319460389799E-6</v>
      </c>
      <c r="BI885">
        <v>1750483.4109522121</v>
      </c>
      <c r="BJ885">
        <f t="shared" si="51"/>
        <v>5.162315012015823E-2</v>
      </c>
    </row>
    <row r="886" spans="1:62" x14ac:dyDescent="0.3">
      <c r="A886">
        <v>-0.1</v>
      </c>
      <c r="B886" s="146">
        <v>400</v>
      </c>
      <c r="C886" s="146">
        <v>25</v>
      </c>
      <c r="D886" s="146">
        <v>400</v>
      </c>
      <c r="E886" s="252">
        <v>10.420839230897096</v>
      </c>
      <c r="F886" s="146">
        <v>2.8169356849811433</v>
      </c>
      <c r="G886" s="146">
        <v>12.302686706898285</v>
      </c>
      <c r="H886" s="146">
        <v>2.9089122111409655</v>
      </c>
      <c r="I886" s="146"/>
      <c r="J886" s="146">
        <v>0.18482020755937137</v>
      </c>
      <c r="K886" s="146">
        <v>0.08</v>
      </c>
      <c r="L886" s="146">
        <v>58.773755271475387</v>
      </c>
      <c r="M886" s="146">
        <v>32.83002678651895</v>
      </c>
      <c r="N886" s="146">
        <v>1.0845343587814873</v>
      </c>
      <c r="O886" s="146"/>
      <c r="P886" s="146"/>
      <c r="Q886" s="146"/>
      <c r="R886" s="146"/>
      <c r="S886" s="146"/>
      <c r="T886" s="146"/>
      <c r="U886" s="146"/>
      <c r="V886" s="146"/>
      <c r="W886" s="146"/>
      <c r="X886" s="146"/>
      <c r="Y886" s="146"/>
      <c r="Z886" s="146">
        <v>0.37283158791378557</v>
      </c>
      <c r="AA886" s="146"/>
      <c r="AB886" s="146"/>
      <c r="AC886" s="146"/>
      <c r="AD886" s="146"/>
      <c r="AE886" s="146"/>
      <c r="AF886" s="146"/>
      <c r="AG886" s="146"/>
      <c r="AH886" s="146"/>
      <c r="AI886" s="146"/>
      <c r="AJ886" s="146"/>
      <c r="AK886" s="146"/>
      <c r="AL886" s="146">
        <v>875.09161611994352</v>
      </c>
      <c r="AM886" s="146">
        <v>0.22896914731654905</v>
      </c>
      <c r="AN886" s="146">
        <v>0.25265832580168907</v>
      </c>
      <c r="AO886" s="146">
        <v>358.75521141909098</v>
      </c>
      <c r="AP886" s="146">
        <v>332.8244367292001</v>
      </c>
      <c r="AQ886" t="s">
        <v>325</v>
      </c>
      <c r="AR886">
        <f t="shared" si="52"/>
        <v>4.8813386259591285</v>
      </c>
      <c r="AS886">
        <f t="shared" si="53"/>
        <v>1.3321822791215501</v>
      </c>
      <c r="AT886">
        <v>0.1</v>
      </c>
      <c r="AU886">
        <v>1</v>
      </c>
      <c r="AV886">
        <v>0.2</v>
      </c>
      <c r="AW886">
        <v>3</v>
      </c>
      <c r="AX886">
        <v>0.12355465056259987</v>
      </c>
      <c r="AY886">
        <v>0.08</v>
      </c>
      <c r="AZ886" s="209">
        <v>332.8244367292001</v>
      </c>
      <c r="BA886">
        <v>0.12355465056259987</v>
      </c>
      <c r="BB886" s="249">
        <v>31.700823479401258</v>
      </c>
      <c r="BC886" s="243">
        <v>143.27629987803391</v>
      </c>
      <c r="BD886" s="209">
        <v>66257.118165401305</v>
      </c>
      <c r="BE886" s="243">
        <v>46.075553526213447</v>
      </c>
      <c r="BF886">
        <v>130153.21907447277</v>
      </c>
      <c r="BG886" t="s">
        <v>387</v>
      </c>
      <c r="BH886">
        <v>4.9989633178618701E-6</v>
      </c>
      <c r="BI886">
        <v>1862571.181654013</v>
      </c>
      <c r="BJ886">
        <f t="shared" si="51"/>
        <v>6.9878252362357091E-2</v>
      </c>
    </row>
    <row r="887" spans="1:62" x14ac:dyDescent="0.3">
      <c r="A887">
        <v>-0.1</v>
      </c>
      <c r="B887" s="146">
        <v>600</v>
      </c>
      <c r="C887" s="146">
        <v>25</v>
      </c>
      <c r="D887" s="146">
        <v>400</v>
      </c>
      <c r="E887" s="252">
        <v>13.750666849308883</v>
      </c>
      <c r="F887" s="146">
        <v>3.8443736105712185</v>
      </c>
      <c r="G887" s="146">
        <v>16.246424300580024</v>
      </c>
      <c r="H887" s="146">
        <v>3.9260129615706609</v>
      </c>
      <c r="I887" s="146"/>
      <c r="J887" s="146">
        <v>0.18546102483623636</v>
      </c>
      <c r="K887" s="146">
        <v>0.08</v>
      </c>
      <c r="L887" s="146">
        <v>79.468464461046509</v>
      </c>
      <c r="M887" s="146">
        <v>44.389741728922438</v>
      </c>
      <c r="N887" s="146">
        <v>1.3165669999432623</v>
      </c>
      <c r="O887" s="146"/>
      <c r="P887" s="146"/>
      <c r="Q887" s="146"/>
      <c r="R887" s="146"/>
      <c r="S887" s="146"/>
      <c r="T887" s="146"/>
      <c r="U887" s="146"/>
      <c r="V887" s="146"/>
      <c r="W887" s="146"/>
      <c r="X887" s="146"/>
      <c r="Y887" s="146"/>
      <c r="Z887" s="146">
        <v>0.33534453727746988</v>
      </c>
      <c r="AA887" s="146"/>
      <c r="AB887" s="146"/>
      <c r="AC887" s="146"/>
      <c r="AD887" s="146"/>
      <c r="AE887" s="146"/>
      <c r="AF887" s="146"/>
      <c r="AG887" s="146"/>
      <c r="AH887" s="146"/>
      <c r="AI887" s="146"/>
      <c r="AJ887" s="146"/>
      <c r="AK887" s="146"/>
      <c r="AL887" s="146">
        <v>972.00639490921014</v>
      </c>
      <c r="AM887" s="146">
        <v>0.23662890611775836</v>
      </c>
      <c r="AN887" s="146">
        <v>0.26412928826414855</v>
      </c>
      <c r="AO887" s="146">
        <v>347.93963615440776</v>
      </c>
      <c r="AP887" s="146">
        <v>313.72289493757876</v>
      </c>
      <c r="AQ887" t="s">
        <v>325</v>
      </c>
      <c r="AR887">
        <f t="shared" si="52"/>
        <v>4.8813386259591285</v>
      </c>
      <c r="AS887">
        <f t="shared" si="53"/>
        <v>1.3321822791215501</v>
      </c>
      <c r="AT887">
        <v>0.1</v>
      </c>
      <c r="AU887">
        <v>1</v>
      </c>
      <c r="AV887">
        <v>0.2</v>
      </c>
      <c r="AW887">
        <v>3</v>
      </c>
      <c r="AX887">
        <v>0.12688061386685112</v>
      </c>
      <c r="AY887">
        <v>0.08</v>
      </c>
      <c r="AZ887" s="209">
        <v>313.72289493757876</v>
      </c>
      <c r="BA887">
        <v>0.12688061386685112</v>
      </c>
      <c r="BB887" s="249">
        <v>42.633923188238654</v>
      </c>
      <c r="BC887" s="243">
        <v>170.90927240173284</v>
      </c>
      <c r="BD887" s="209">
        <v>84652.587605597946</v>
      </c>
      <c r="BE887" s="243">
        <v>58.518985992479656</v>
      </c>
      <c r="BF887">
        <v>209149.25710455724</v>
      </c>
      <c r="BG887" t="s">
        <v>387</v>
      </c>
      <c r="BH887">
        <v>5.8527616153351458E-6</v>
      </c>
      <c r="BI887">
        <v>2046525.8760559794</v>
      </c>
      <c r="BJ887">
        <f t="shared" si="51"/>
        <v>0.10219722093503415</v>
      </c>
    </row>
    <row r="888" spans="1:62" x14ac:dyDescent="0.3">
      <c r="A888">
        <v>-0.1</v>
      </c>
      <c r="B888" s="146">
        <v>800</v>
      </c>
      <c r="C888" s="146">
        <v>25</v>
      </c>
      <c r="D888" s="146">
        <v>400</v>
      </c>
      <c r="E888" s="252">
        <v>16.326271858191372</v>
      </c>
      <c r="F888" s="146">
        <v>4.7053689282282694</v>
      </c>
      <c r="G888" s="146">
        <v>19.326433451582233</v>
      </c>
      <c r="H888" s="146">
        <v>4.7532135710533057</v>
      </c>
      <c r="I888" s="146"/>
      <c r="J888" s="146">
        <v>0.18626478509943228</v>
      </c>
      <c r="K888" s="146">
        <v>0.08</v>
      </c>
      <c r="L888" s="146">
        <v>96.352145286943951</v>
      </c>
      <c r="M888" s="146">
        <v>53.820680609873328</v>
      </c>
      <c r="N888" s="146">
        <v>1.4823935265830173</v>
      </c>
      <c r="O888" s="146"/>
      <c r="P888" s="146"/>
      <c r="Q888" s="146"/>
      <c r="R888" s="146"/>
      <c r="S888" s="146"/>
      <c r="T888" s="146"/>
      <c r="U888" s="146"/>
      <c r="V888" s="146"/>
      <c r="W888" s="146"/>
      <c r="X888" s="146"/>
      <c r="Y888" s="146"/>
      <c r="Z888" s="146">
        <v>0.31187185352046382</v>
      </c>
      <c r="AA888" s="146"/>
      <c r="AB888" s="146"/>
      <c r="AC888" s="146"/>
      <c r="AD888" s="146"/>
      <c r="AE888" s="146"/>
      <c r="AF888" s="146"/>
      <c r="AG888" s="146"/>
      <c r="AH888" s="146"/>
      <c r="AI888" s="146"/>
      <c r="AJ888" s="146"/>
      <c r="AK888" s="146"/>
      <c r="AL888" s="146">
        <v>1040.4549587386985</v>
      </c>
      <c r="AM888" s="146">
        <v>0.24346804287591128</v>
      </c>
      <c r="AN888" s="146">
        <v>0.27157884443215158</v>
      </c>
      <c r="AO888" s="146">
        <v>339.88385990695178</v>
      </c>
      <c r="AP888" s="146">
        <v>299.25819544719013</v>
      </c>
      <c r="AQ888" t="s">
        <v>325</v>
      </c>
      <c r="AR888">
        <f t="shared" si="52"/>
        <v>4.8813386259591285</v>
      </c>
      <c r="AS888">
        <f t="shared" si="53"/>
        <v>1.3321822791215501</v>
      </c>
      <c r="AT888">
        <v>0.1</v>
      </c>
      <c r="AU888">
        <v>1</v>
      </c>
      <c r="AV888">
        <v>0.2</v>
      </c>
      <c r="AW888">
        <v>3</v>
      </c>
      <c r="AX888">
        <v>0.12924239500491685</v>
      </c>
      <c r="AY888">
        <v>0.08</v>
      </c>
      <c r="AZ888" s="209">
        <v>299.25819544719013</v>
      </c>
      <c r="BA888">
        <v>0.12924239500491685</v>
      </c>
      <c r="BB888" s="249">
        <v>51.543311446267069</v>
      </c>
      <c r="BC888" s="243">
        <v>190.67109543194377</v>
      </c>
      <c r="BD888" s="209">
        <v>98859.396034048303</v>
      </c>
      <c r="BE888" s="243">
        <v>68.319756278747505</v>
      </c>
      <c r="BF888">
        <v>282383.22812622442</v>
      </c>
      <c r="BG888" t="s">
        <v>387</v>
      </c>
      <c r="BH888">
        <v>6.3538820406707801E-6</v>
      </c>
      <c r="BI888">
        <v>2188593.9603404831</v>
      </c>
      <c r="BJ888">
        <f t="shared" si="51"/>
        <v>0.12902495083295104</v>
      </c>
    </row>
    <row r="889" spans="1:62" x14ac:dyDescent="0.3">
      <c r="A889">
        <v>-0.1</v>
      </c>
      <c r="B889" s="146">
        <v>1000</v>
      </c>
      <c r="C889" s="146">
        <v>25</v>
      </c>
      <c r="D889" s="146">
        <v>400</v>
      </c>
      <c r="E889" s="252">
        <v>18.326695955841505</v>
      </c>
      <c r="F889" s="146">
        <v>5.4189612204264401</v>
      </c>
      <c r="G889" s="146">
        <v>21.738801768950616</v>
      </c>
      <c r="H889" s="146">
        <v>5.4239481742736624</v>
      </c>
      <c r="I889" s="146"/>
      <c r="J889" s="146">
        <v>0.1871635517158115</v>
      </c>
      <c r="K889" s="146">
        <v>0.08</v>
      </c>
      <c r="L889" s="146">
        <v>110.08187317925672</v>
      </c>
      <c r="M889" s="146">
        <v>61.489874664162471</v>
      </c>
      <c r="N889" s="146">
        <v>1.6034098074876981</v>
      </c>
      <c r="O889" s="146"/>
      <c r="P889" s="146"/>
      <c r="Q889" s="146"/>
      <c r="R889" s="146"/>
      <c r="S889" s="146"/>
      <c r="T889" s="146"/>
      <c r="U889" s="146"/>
      <c r="V889" s="146"/>
      <c r="W889" s="146"/>
      <c r="X889" s="146"/>
      <c r="Y889" s="146"/>
      <c r="Z889" s="146">
        <v>0.29561672714588866</v>
      </c>
      <c r="AA889" s="146"/>
      <c r="AB889" s="146"/>
      <c r="AC889" s="146"/>
      <c r="AD889" s="146"/>
      <c r="AE889" s="146"/>
      <c r="AF889" s="146"/>
      <c r="AG889" s="146"/>
      <c r="AH889" s="146"/>
      <c r="AI889" s="146"/>
      <c r="AJ889" s="146"/>
      <c r="AK889" s="146"/>
      <c r="AL889" s="146">
        <v>1089.9116088174553</v>
      </c>
      <c r="AM889" s="146">
        <v>0.24927598485056826</v>
      </c>
      <c r="AN889" s="146">
        <v>0.27688040422547583</v>
      </c>
      <c r="AO889" s="146">
        <v>333.81006500944977</v>
      </c>
      <c r="AP889" s="146">
        <v>288.20670507360632</v>
      </c>
      <c r="AQ889" t="s">
        <v>325</v>
      </c>
      <c r="AR889">
        <f t="shared" si="52"/>
        <v>4.8813386259591285</v>
      </c>
      <c r="AS889">
        <f t="shared" si="53"/>
        <v>1.3321822791215501</v>
      </c>
      <c r="AT889">
        <v>0.1</v>
      </c>
      <c r="AU889">
        <v>1</v>
      </c>
      <c r="AV889">
        <v>0.2</v>
      </c>
      <c r="AW889">
        <v>3</v>
      </c>
      <c r="AX889">
        <v>0.1310707344593581</v>
      </c>
      <c r="AY889">
        <v>0.08</v>
      </c>
      <c r="AZ889" s="209">
        <v>288.20670507360632</v>
      </c>
      <c r="BA889">
        <v>0.1310707344593581</v>
      </c>
      <c r="BB889" s="249">
        <v>58.768685274344648</v>
      </c>
      <c r="BC889" s="243">
        <v>204.98499794672469</v>
      </c>
      <c r="BD889" s="209">
        <v>109788.5494261673</v>
      </c>
      <c r="BE889" s="243">
        <v>76.065083211631958</v>
      </c>
      <c r="BF889">
        <v>346920.0403045108</v>
      </c>
      <c r="BG889" t="s">
        <v>387</v>
      </c>
      <c r="BH889">
        <v>6.6681041761402048E-6</v>
      </c>
      <c r="BI889">
        <v>2297885.4942616727</v>
      </c>
      <c r="BJ889">
        <f t="shared" si="51"/>
        <v>0.1509735977579591</v>
      </c>
    </row>
    <row r="890" spans="1:62" x14ac:dyDescent="0.3">
      <c r="A890">
        <v>-0.1</v>
      </c>
      <c r="B890" s="146">
        <v>1300</v>
      </c>
      <c r="C890" s="146">
        <v>25</v>
      </c>
      <c r="D890" s="146">
        <v>400</v>
      </c>
      <c r="E890" s="252">
        <v>20.525383014726966</v>
      </c>
      <c r="F890" s="146">
        <v>6.251800550339782</v>
      </c>
      <c r="G890" s="146">
        <v>24.411548911503353</v>
      </c>
      <c r="H890" s="146">
        <v>6.1951326555805117</v>
      </c>
      <c r="I890" s="146"/>
      <c r="J890" s="146">
        <v>0.18852617952783149</v>
      </c>
      <c r="K890" s="146">
        <v>0.08</v>
      </c>
      <c r="L890" s="146">
        <v>125.92030127201473</v>
      </c>
      <c r="M890" s="146">
        <v>70.336953026602231</v>
      </c>
      <c r="N890" s="146">
        <v>1.728448967082203</v>
      </c>
      <c r="O890" s="146"/>
      <c r="P890" s="146"/>
      <c r="Q890" s="146"/>
      <c r="R890" s="146"/>
      <c r="S890" s="146"/>
      <c r="T890" s="146"/>
      <c r="U890" s="146"/>
      <c r="V890" s="146"/>
      <c r="W890" s="146"/>
      <c r="X890" s="146"/>
      <c r="Y890" s="146"/>
      <c r="Z890" s="146">
        <v>0.27900112284524431</v>
      </c>
      <c r="AA890" s="146"/>
      <c r="AB890" s="146"/>
      <c r="AC890" s="146"/>
      <c r="AD890" s="146"/>
      <c r="AE890" s="146"/>
      <c r="AF890" s="146"/>
      <c r="AG890" s="146"/>
      <c r="AH890" s="146"/>
      <c r="AI890" s="146"/>
      <c r="AJ890" s="146"/>
      <c r="AK890" s="146"/>
      <c r="AL890" s="146">
        <v>1140.503348244976</v>
      </c>
      <c r="AM890" s="146">
        <v>0.25610011773541219</v>
      </c>
      <c r="AN890" s="146">
        <v>0.28253717111854804</v>
      </c>
      <c r="AO890" s="146">
        <v>327.3533357275852</v>
      </c>
      <c r="AP890" s="146">
        <v>276.27886470387443</v>
      </c>
      <c r="AQ890" t="s">
        <v>325</v>
      </c>
      <c r="AR890">
        <f t="shared" si="52"/>
        <v>4.8813386259591285</v>
      </c>
      <c r="AS890">
        <f t="shared" si="53"/>
        <v>1.3321822791215501</v>
      </c>
      <c r="AT890">
        <v>0.1</v>
      </c>
      <c r="AU890">
        <v>1</v>
      </c>
      <c r="AV890">
        <v>0.2</v>
      </c>
      <c r="AW890" s="146">
        <v>3</v>
      </c>
      <c r="AX890">
        <v>0.13318741634152317</v>
      </c>
      <c r="AY890">
        <v>0.08</v>
      </c>
      <c r="AZ890" s="209">
        <v>276.27886470387443</v>
      </c>
      <c r="BA890">
        <v>0.13318741634152317</v>
      </c>
      <c r="BB890" s="249">
        <v>67.037246370588576</v>
      </c>
      <c r="BC890" s="243">
        <v>219.43435605265546</v>
      </c>
      <c r="BD890" s="209">
        <v>121513.60400884809</v>
      </c>
      <c r="BE890" s="243">
        <v>84.671892589943596</v>
      </c>
      <c r="BF890">
        <v>425766.71896332328</v>
      </c>
      <c r="BG890" t="s">
        <v>387</v>
      </c>
      <c r="BH890">
        <v>6.9550114886702771E-6</v>
      </c>
      <c r="BI890">
        <v>2415136.0400884813</v>
      </c>
      <c r="BJ890">
        <f t="shared" si="51"/>
        <v>0.17629098812492766</v>
      </c>
    </row>
    <row r="891" spans="1:62" x14ac:dyDescent="0.3">
      <c r="A891">
        <v>-0.1</v>
      </c>
      <c r="B891" s="227">
        <v>1600</v>
      </c>
      <c r="C891" s="146">
        <v>25</v>
      </c>
      <c r="D891" s="146">
        <v>400</v>
      </c>
      <c r="E891" s="252">
        <v>22.031637987979153</v>
      </c>
      <c r="F891" s="146">
        <v>6.8501811156182484</v>
      </c>
      <c r="G891" s="146">
        <v>26.253629113367342</v>
      </c>
      <c r="H891" s="146">
        <v>6.7503870665581136</v>
      </c>
      <c r="I891" s="146"/>
      <c r="J891" s="146">
        <v>0.1896975094364387</v>
      </c>
      <c r="K891" s="146">
        <v>0.08</v>
      </c>
      <c r="L891" s="146">
        <v>137.36771762357864</v>
      </c>
      <c r="M891" s="146">
        <v>76.731286410990791</v>
      </c>
      <c r="N891" s="146">
        <v>1.811311803971444</v>
      </c>
      <c r="O891" s="146"/>
      <c r="P891" s="146"/>
      <c r="Q891" s="146"/>
      <c r="R891" s="146"/>
      <c r="S891" s="146"/>
      <c r="T891" s="146"/>
      <c r="U891" s="146"/>
      <c r="V891" s="146"/>
      <c r="W891" s="146"/>
      <c r="X891" s="146"/>
      <c r="Y891" s="146"/>
      <c r="Z891" s="146">
        <v>0.26832710274419797</v>
      </c>
      <c r="AA891" s="146"/>
      <c r="AB891" s="146"/>
      <c r="AC891" s="146"/>
      <c r="AD891" s="146"/>
      <c r="AE891" s="146"/>
      <c r="AF891" s="146"/>
      <c r="AG891" s="146"/>
      <c r="AH891" s="146"/>
      <c r="AI891" s="146"/>
      <c r="AJ891" s="146"/>
      <c r="AK891" s="146"/>
      <c r="AL891" s="146">
        <v>1173.9794061104822</v>
      </c>
      <c r="AM891" s="146">
        <v>0.26092320745593223</v>
      </c>
      <c r="AN891" s="146">
        <v>0.28666902626882262</v>
      </c>
      <c r="AO891" s="146">
        <v>323.14608147683498</v>
      </c>
      <c r="AP891" s="146">
        <v>268.32350412476023</v>
      </c>
      <c r="AQ891" t="s">
        <v>325</v>
      </c>
      <c r="AR891">
        <f t="shared" si="52"/>
        <v>4.8813386259591285</v>
      </c>
      <c r="AS891">
        <f t="shared" si="53"/>
        <v>1.3321822791215501</v>
      </c>
      <c r="AT891">
        <v>0.1</v>
      </c>
      <c r="AU891">
        <v>1</v>
      </c>
      <c r="AV891">
        <v>0.2</v>
      </c>
      <c r="AW891" s="146">
        <v>3</v>
      </c>
      <c r="AX891">
        <v>0.13477483967946499</v>
      </c>
      <c r="AY891">
        <v>0.08</v>
      </c>
      <c r="AZ891" s="209">
        <v>268.32350412476023</v>
      </c>
      <c r="BA891">
        <v>0.13477483967946499</v>
      </c>
      <c r="BB891" s="249">
        <v>72.885251368517714</v>
      </c>
      <c r="BC891" s="243">
        <v>228.26935875317892</v>
      </c>
      <c r="BD891" s="209">
        <v>129136.75280056916</v>
      </c>
      <c r="BE891" s="243">
        <v>90.490868278446726</v>
      </c>
      <c r="BF891">
        <v>484295.035713127</v>
      </c>
      <c r="BG891" t="s">
        <v>387</v>
      </c>
      <c r="BH891">
        <v>7.1279927313828972E-6</v>
      </c>
      <c r="BI891">
        <v>2491367.5280056912</v>
      </c>
      <c r="BJ891">
        <f t="shared" si="51"/>
        <v>0.19438923814697029</v>
      </c>
    </row>
    <row r="892" spans="1:62" s="140" customFormat="1" x14ac:dyDescent="0.3">
      <c r="A892" s="140">
        <v>-0.1</v>
      </c>
      <c r="B892" s="140">
        <v>1900</v>
      </c>
      <c r="C892" s="140">
        <v>25</v>
      </c>
      <c r="D892" s="140">
        <v>400</v>
      </c>
      <c r="E892" s="253">
        <v>23.116146323078027</v>
      </c>
      <c r="F892" s="140">
        <v>7.299748833919991</v>
      </c>
      <c r="G892" s="140">
        <v>27.588179643218062</v>
      </c>
      <c r="H892" s="140">
        <v>7.161535176591701</v>
      </c>
      <c r="J892" s="140">
        <v>0.19083647830776729</v>
      </c>
      <c r="K892" s="140">
        <v>0.08</v>
      </c>
      <c r="L892" s="140">
        <v>145.87072842629658</v>
      </c>
      <c r="M892" s="140">
        <v>81.480924597795095</v>
      </c>
      <c r="N892" s="140">
        <v>1.8644938771344162</v>
      </c>
      <c r="Z892" s="140">
        <v>0.26034835145804047</v>
      </c>
      <c r="AL892" s="140">
        <v>1194.8610794239196</v>
      </c>
      <c r="AM892" s="140">
        <v>0.26459697335320459</v>
      </c>
      <c r="AN892" s="140">
        <v>0.28944171016707193</v>
      </c>
      <c r="AO892" s="140">
        <v>320.13540028582992</v>
      </c>
      <c r="AP892" s="140">
        <v>262.61414085671151</v>
      </c>
      <c r="AQ892" t="s">
        <v>325</v>
      </c>
      <c r="AR892">
        <f t="shared" si="52"/>
        <v>4.8813386259591285</v>
      </c>
      <c r="AS892">
        <f t="shared" si="53"/>
        <v>1.3321822791215501</v>
      </c>
      <c r="AT892">
        <v>0.1</v>
      </c>
      <c r="AU892" s="140">
        <v>1</v>
      </c>
      <c r="AV892">
        <v>0.2</v>
      </c>
      <c r="AW892" s="140">
        <v>3</v>
      </c>
      <c r="AX892">
        <v>0.1360362330078399</v>
      </c>
      <c r="AY892">
        <v>0.08</v>
      </c>
      <c r="AZ892" s="209">
        <v>262.61414085671151</v>
      </c>
      <c r="BA892" s="140">
        <v>0.1360362330078399</v>
      </c>
      <c r="BB892" s="253">
        <v>77.219109420217421</v>
      </c>
      <c r="BC892" s="245">
        <v>234.07083798701132</v>
      </c>
      <c r="BD892" s="210">
        <v>134504.17562602216</v>
      </c>
      <c r="BE892" s="245">
        <v>94.792723285004229</v>
      </c>
      <c r="BF892" s="140">
        <v>529001.80924164678</v>
      </c>
      <c r="BG892" t="s">
        <v>387</v>
      </c>
      <c r="BH892" s="140">
        <v>7.2394777838371162E-6</v>
      </c>
      <c r="BI892" s="140">
        <v>2545041.7562602218</v>
      </c>
      <c r="BJ892">
        <f t="shared" si="51"/>
        <v>0.20785584674216959</v>
      </c>
    </row>
    <row r="893" spans="1:62" x14ac:dyDescent="0.3">
      <c r="A893">
        <v>-0.1</v>
      </c>
      <c r="B893" s="146">
        <v>1000</v>
      </c>
      <c r="C893" s="146">
        <v>25</v>
      </c>
      <c r="D893" s="146">
        <v>200</v>
      </c>
      <c r="E893" s="252">
        <v>13.534718281110086</v>
      </c>
      <c r="F893" s="146">
        <v>8.8601920812664829</v>
      </c>
      <c r="G893" s="146">
        <v>18.761363370611846</v>
      </c>
      <c r="H893" s="146">
        <v>5.6865815020136354</v>
      </c>
      <c r="I893" s="146"/>
      <c r="J893" s="146">
        <v>0.21986891873922662</v>
      </c>
      <c r="K893" s="146">
        <v>0.08</v>
      </c>
      <c r="L893" s="146">
        <v>116.02308517661722</v>
      </c>
      <c r="M893" s="146">
        <v>64.808535316639038</v>
      </c>
      <c r="N893" s="146">
        <v>1.3287055394975447</v>
      </c>
      <c r="O893" s="146"/>
      <c r="P893" s="146"/>
      <c r="Q893" s="146"/>
      <c r="R893" s="146"/>
      <c r="S893" s="146"/>
      <c r="T893" s="146"/>
      <c r="U893" s="146"/>
      <c r="V893" s="146"/>
      <c r="W893" s="146"/>
      <c r="X893" s="146"/>
      <c r="Y893" s="146"/>
      <c r="Z893" s="146">
        <v>0.23365629051954079</v>
      </c>
      <c r="AA893" s="146"/>
      <c r="AB893" s="146"/>
      <c r="AC893" s="146"/>
      <c r="AD893" s="146"/>
      <c r="AE893" s="146"/>
      <c r="AF893" s="146"/>
      <c r="AG893" s="146"/>
      <c r="AH893" s="146"/>
      <c r="AI893" s="146"/>
      <c r="AJ893" s="146"/>
      <c r="AK893" s="146"/>
      <c r="AL893" s="146">
        <v>783.27045395799462</v>
      </c>
      <c r="AM893" s="146">
        <v>0.47225736777452193</v>
      </c>
      <c r="AN893" s="146">
        <v>0.28552431456591831</v>
      </c>
      <c r="AO893" s="146">
        <v>152.59696778648475</v>
      </c>
      <c r="AP893" s="146">
        <v>118.91768420922234</v>
      </c>
      <c r="AQ893" t="s">
        <v>325</v>
      </c>
      <c r="AR893">
        <f t="shared" si="52"/>
        <v>4.8813386259591285</v>
      </c>
      <c r="AS893">
        <f t="shared" si="53"/>
        <v>1.3321822791215501</v>
      </c>
      <c r="AT893">
        <v>0.1</v>
      </c>
      <c r="AU893">
        <v>1</v>
      </c>
      <c r="AV893">
        <v>0.2</v>
      </c>
      <c r="AW893" s="146">
        <v>3</v>
      </c>
      <c r="AX893">
        <v>0.13990751795483175</v>
      </c>
      <c r="AY893">
        <v>0.08</v>
      </c>
      <c r="AZ893" s="209">
        <v>118.91768420922234</v>
      </c>
      <c r="BA893">
        <v>0.13990751795483175</v>
      </c>
      <c r="BB893" s="249">
        <v>78.746618110193708</v>
      </c>
      <c r="BC893" s="243">
        <v>223.4753918627936</v>
      </c>
      <c r="BD893" s="209">
        <v>130407.51396421065</v>
      </c>
      <c r="BE893" s="243">
        <v>95.144227684614108</v>
      </c>
      <c r="BF893">
        <v>268151.52854392776</v>
      </c>
      <c r="BG893" t="s">
        <v>388</v>
      </c>
      <c r="BH893">
        <v>4.6371156136007029E-6</v>
      </c>
      <c r="BI893">
        <v>2504075.1396421064</v>
      </c>
      <c r="BJ893">
        <f t="shared" si="51"/>
        <v>0.10708605516616133</v>
      </c>
    </row>
    <row r="894" spans="1:62" x14ac:dyDescent="0.3">
      <c r="A894">
        <v>-0.1</v>
      </c>
      <c r="B894" s="146">
        <v>1000</v>
      </c>
      <c r="C894" s="146">
        <v>25</v>
      </c>
      <c r="D894" s="146">
        <v>300</v>
      </c>
      <c r="E894" s="252">
        <v>16.444536469059656</v>
      </c>
      <c r="F894" s="146">
        <v>6.7930755191149963</v>
      </c>
      <c r="G894" s="146">
        <v>20.581672284805801</v>
      </c>
      <c r="H894" s="146">
        <v>5.5274834593708126</v>
      </c>
      <c r="I894" s="146"/>
      <c r="J894" s="146">
        <v>0.1966800707009535</v>
      </c>
      <c r="K894" s="146">
        <v>0.08</v>
      </c>
      <c r="L894" s="146">
        <v>112.35602950798629</v>
      </c>
      <c r="M894" s="146">
        <v>62.760179970401062</v>
      </c>
      <c r="N894" s="146">
        <v>1.5283492330294397</v>
      </c>
      <c r="O894" s="146"/>
      <c r="P894" s="146"/>
      <c r="Q894" s="146"/>
      <c r="R894" s="146"/>
      <c r="S894" s="146"/>
      <c r="T894" s="146"/>
      <c r="U894" s="146"/>
      <c r="V894" s="146"/>
      <c r="W894" s="146"/>
      <c r="X894" s="146"/>
      <c r="Y894" s="146"/>
      <c r="Z894" s="146">
        <v>0.27650001022407583</v>
      </c>
      <c r="AA894" s="146"/>
      <c r="AB894" s="146"/>
      <c r="AC894" s="146"/>
      <c r="AD894" s="146"/>
      <c r="AE894" s="146"/>
      <c r="AF894" s="146"/>
      <c r="AG894" s="146"/>
      <c r="AH894" s="146"/>
      <c r="AI894" s="146"/>
      <c r="AJ894" s="146"/>
      <c r="AK894" s="146"/>
      <c r="AL894" s="146">
        <v>964.6100264987241</v>
      </c>
      <c r="AM894" s="146">
        <v>0.33005459542419746</v>
      </c>
      <c r="AN894" s="146">
        <v>0.28040953360849907</v>
      </c>
      <c r="AO894" s="146">
        <v>241.3552875416172</v>
      </c>
      <c r="AP894" s="146">
        <v>200.43540998400269</v>
      </c>
      <c r="AQ894" t="s">
        <v>325</v>
      </c>
      <c r="AR894">
        <f t="shared" si="52"/>
        <v>4.8813386259591285</v>
      </c>
      <c r="AS894">
        <f t="shared" si="53"/>
        <v>1.3321822791215501</v>
      </c>
      <c r="AT894">
        <v>0.1</v>
      </c>
      <c r="AU894">
        <v>1</v>
      </c>
      <c r="AV894">
        <v>0.2</v>
      </c>
      <c r="AW894" s="146">
        <v>3</v>
      </c>
      <c r="AX894">
        <v>0.13278601208159899</v>
      </c>
      <c r="AY894">
        <v>0.08</v>
      </c>
      <c r="AZ894" s="209">
        <v>200.43540998400269</v>
      </c>
      <c r="BA894">
        <v>0.13278601208159899</v>
      </c>
      <c r="BB894" s="249">
        <v>66.876217842634262</v>
      </c>
      <c r="BC894" s="243">
        <v>211.87511123025666</v>
      </c>
      <c r="BD894" s="209">
        <v>118238.58175083491</v>
      </c>
      <c r="BE894" s="243">
        <v>84.364111245200831</v>
      </c>
      <c r="BF894">
        <v>319061.3219206144</v>
      </c>
      <c r="BG894" t="s">
        <v>388</v>
      </c>
      <c r="BH894">
        <v>5.8321895430244485E-6</v>
      </c>
      <c r="BI894">
        <v>2382385.8175083492</v>
      </c>
      <c r="BJ894">
        <f t="shared" si="51"/>
        <v>0.13392512647439661</v>
      </c>
    </row>
    <row r="895" spans="1:62" x14ac:dyDescent="0.3">
      <c r="A895">
        <v>-0.1</v>
      </c>
      <c r="B895" s="146">
        <v>1000</v>
      </c>
      <c r="C895" s="146">
        <v>25</v>
      </c>
      <c r="D895" s="146">
        <v>400</v>
      </c>
      <c r="E895" s="252">
        <v>18.32625999628517</v>
      </c>
      <c r="F895" s="146">
        <v>5.4187294112425342</v>
      </c>
      <c r="G895" s="146">
        <v>21.738225747717571</v>
      </c>
      <c r="H895" s="146">
        <v>5.4238797201527316</v>
      </c>
      <c r="I895" s="146"/>
      <c r="J895" s="146">
        <v>0.18716033332142523</v>
      </c>
      <c r="K895" s="146">
        <v>0.08</v>
      </c>
      <c r="L895" s="146">
        <v>110.08049232389553</v>
      </c>
      <c r="M895" s="146">
        <v>61.489103341685521</v>
      </c>
      <c r="N895" s="146">
        <v>1.6034750706338174</v>
      </c>
      <c r="O895" s="146"/>
      <c r="P895" s="146"/>
      <c r="Q895" s="146"/>
      <c r="R895" s="146"/>
      <c r="S895" s="146"/>
      <c r="T895" s="146"/>
      <c r="U895" s="146"/>
      <c r="V895" s="146"/>
      <c r="W895" s="146"/>
      <c r="X895" s="146"/>
      <c r="Y895" s="146"/>
      <c r="Z895" s="146">
        <v>0.29563249064613567</v>
      </c>
      <c r="AA895" s="146"/>
      <c r="AB895" s="146"/>
      <c r="AC895" s="146"/>
      <c r="AD895" s="146"/>
      <c r="AE895" s="146"/>
      <c r="AF895" s="146"/>
      <c r="AG895" s="146"/>
      <c r="AH895" s="146"/>
      <c r="AI895" s="146"/>
      <c r="AJ895" s="146"/>
      <c r="AK895" s="146"/>
      <c r="AL895" s="146">
        <v>1089.9487386071926</v>
      </c>
      <c r="AM895" s="146">
        <v>0.24927192651918612</v>
      </c>
      <c r="AN895" s="146">
        <v>0.27688913778394492</v>
      </c>
      <c r="AO895" s="146">
        <v>333.81372724492701</v>
      </c>
      <c r="AP895" s="146">
        <v>288.21120329028292</v>
      </c>
      <c r="AQ895" t="s">
        <v>325</v>
      </c>
      <c r="AR895">
        <f t="shared" si="52"/>
        <v>4.8813386259591285</v>
      </c>
      <c r="AS895">
        <f t="shared" si="53"/>
        <v>1.3321822791215501</v>
      </c>
      <c r="AT895">
        <v>0.1</v>
      </c>
      <c r="AU895">
        <v>1</v>
      </c>
      <c r="AV895">
        <v>0.2</v>
      </c>
      <c r="AW895" s="146">
        <v>3</v>
      </c>
      <c r="AX895">
        <v>0.13106989826209242</v>
      </c>
      <c r="AY895">
        <v>0.08</v>
      </c>
      <c r="AZ895" s="209">
        <v>288.21120329028292</v>
      </c>
      <c r="BA895">
        <v>0.13106989826209242</v>
      </c>
      <c r="BB895" s="249">
        <v>58.766570538944379</v>
      </c>
      <c r="BC895" s="243">
        <v>204.98088100527701</v>
      </c>
      <c r="BD895" s="209">
        <v>109783.12530411138</v>
      </c>
      <c r="BE895" s="243">
        <v>76.059537319176471</v>
      </c>
      <c r="BF895">
        <v>346898.97001855838</v>
      </c>
      <c r="BG895" t="s">
        <v>388</v>
      </c>
      <c r="BH895">
        <v>6.6681386297549325E-6</v>
      </c>
      <c r="BI895">
        <v>2297831.2530411137</v>
      </c>
      <c r="BJ895">
        <f t="shared" si="51"/>
        <v>0.15096799190952231</v>
      </c>
    </row>
    <row r="896" spans="1:62" x14ac:dyDescent="0.3">
      <c r="A896">
        <v>-0.1</v>
      </c>
      <c r="B896" s="146">
        <v>1000</v>
      </c>
      <c r="C896" s="146">
        <v>25</v>
      </c>
      <c r="D896" s="146">
        <v>500</v>
      </c>
      <c r="E896" s="252">
        <v>19.5891223649853</v>
      </c>
      <c r="F896" s="146">
        <v>4.4671809311298949</v>
      </c>
      <c r="G896" s="146">
        <v>22.499406986935391</v>
      </c>
      <c r="H896" s="146">
        <v>5.3559970721284937</v>
      </c>
      <c r="I896" s="146"/>
      <c r="J896" s="146">
        <v>0.18080917767074453</v>
      </c>
      <c r="K896" s="146">
        <v>0.08</v>
      </c>
      <c r="L896" s="146">
        <v>108.6135553048987</v>
      </c>
      <c r="M896" s="146">
        <v>60.669697104916175</v>
      </c>
      <c r="N896" s="146">
        <v>1.6531751494481384</v>
      </c>
      <c r="O896" s="146"/>
      <c r="P896" s="146"/>
      <c r="Q896" s="146"/>
      <c r="R896" s="146"/>
      <c r="S896" s="146"/>
      <c r="T896" s="146"/>
      <c r="U896" s="146"/>
      <c r="V896" s="146"/>
      <c r="W896" s="146"/>
      <c r="X896" s="146"/>
      <c r="Y896" s="146"/>
      <c r="Z896" s="146">
        <v>0.30865871044831628</v>
      </c>
      <c r="AA896" s="146"/>
      <c r="AB896" s="146"/>
      <c r="AC896" s="146"/>
      <c r="AD896" s="146"/>
      <c r="AE896" s="146"/>
      <c r="AF896" s="146"/>
      <c r="AG896" s="146"/>
      <c r="AH896" s="146"/>
      <c r="AI896" s="146"/>
      <c r="AJ896" s="146"/>
      <c r="AK896" s="146"/>
      <c r="AL896" s="146">
        <v>1206.4202529841655</v>
      </c>
      <c r="AM896" s="146">
        <v>0.19854660763831813</v>
      </c>
      <c r="AN896" s="146">
        <v>0.27427063675179864</v>
      </c>
      <c r="AO896" s="146">
        <v>428.57739859804065</v>
      </c>
      <c r="AP896" s="146">
        <v>379.83267826009671</v>
      </c>
      <c r="AQ896" t="s">
        <v>325</v>
      </c>
      <c r="AR896">
        <f t="shared" si="52"/>
        <v>4.8813386259591285</v>
      </c>
      <c r="AS896">
        <f t="shared" si="53"/>
        <v>1.3321822791215501</v>
      </c>
      <c r="AT896">
        <v>0.1</v>
      </c>
      <c r="AU896">
        <v>1</v>
      </c>
      <c r="AV896">
        <v>0.2</v>
      </c>
      <c r="AW896" s="146">
        <v>3</v>
      </c>
      <c r="AX896">
        <v>0.1304826170774378</v>
      </c>
      <c r="AY896">
        <v>0.08</v>
      </c>
      <c r="AZ896" s="209">
        <v>379.83267826009671</v>
      </c>
      <c r="BA896">
        <v>0.1304826170774378</v>
      </c>
      <c r="BB896" s="249">
        <v>53.075351318855084</v>
      </c>
      <c r="BC896" s="243">
        <v>200.65141425302986</v>
      </c>
      <c r="BD896" s="209">
        <v>103963.56916718972</v>
      </c>
      <c r="BE896" s="243">
        <v>70.026248301027579</v>
      </c>
      <c r="BF896">
        <v>362855.41528080241</v>
      </c>
      <c r="BG896" t="s">
        <v>388</v>
      </c>
      <c r="BH896">
        <v>7.262000460241039E-6</v>
      </c>
      <c r="BI896">
        <v>2239635.6916718972</v>
      </c>
      <c r="BJ896">
        <f t="shared" si="51"/>
        <v>0.16201537447812744</v>
      </c>
    </row>
    <row r="897" spans="1:62" s="146" customFormat="1" x14ac:dyDescent="0.3">
      <c r="A897">
        <v>-0.1</v>
      </c>
      <c r="B897" s="146">
        <v>1000</v>
      </c>
      <c r="C897" s="146">
        <v>25</v>
      </c>
      <c r="D897" s="146">
        <v>600</v>
      </c>
      <c r="E897" s="252">
        <v>20.495365679120138</v>
      </c>
      <c r="F897" s="146">
        <v>3.7887874599109042</v>
      </c>
      <c r="G897" s="146">
        <v>23.048134957496067</v>
      </c>
      <c r="H897" s="146">
        <v>5.3088728382924018</v>
      </c>
      <c r="J897" s="146">
        <v>0.17643082338310284</v>
      </c>
      <c r="K897" s="146">
        <v>0.08</v>
      </c>
      <c r="L897" s="146">
        <v>107.60385003966933</v>
      </c>
      <c r="M897" s="146">
        <v>60.105692801450175</v>
      </c>
      <c r="N897" s="146">
        <v>1.6808818614083805</v>
      </c>
      <c r="Z897" s="146">
        <v>0.31661746525257439</v>
      </c>
      <c r="AL897" s="146">
        <v>1314.1557250805656</v>
      </c>
      <c r="AM897" s="146">
        <v>0.16438585885139728</v>
      </c>
      <c r="AN897" s="146">
        <v>0.27223550046861589</v>
      </c>
      <c r="AO897" s="146">
        <v>524.71457380157915</v>
      </c>
      <c r="AP897" s="146">
        <v>473.71479437637521</v>
      </c>
      <c r="AQ897" t="s">
        <v>325</v>
      </c>
      <c r="AR897">
        <f t="shared" si="52"/>
        <v>4.8813386259591285</v>
      </c>
      <c r="AS897">
        <f t="shared" si="53"/>
        <v>1.3321822791215501</v>
      </c>
      <c r="AT897">
        <v>0.1</v>
      </c>
      <c r="AU897">
        <v>1</v>
      </c>
      <c r="AV897">
        <v>0.2</v>
      </c>
      <c r="AW897" s="146">
        <v>3</v>
      </c>
      <c r="AX897">
        <v>0.1304640469270997</v>
      </c>
      <c r="AY897">
        <v>0.08</v>
      </c>
      <c r="AZ897" s="209">
        <v>473.71479437637521</v>
      </c>
      <c r="BA897" s="146">
        <v>0.1304640469270997</v>
      </c>
      <c r="BB897" s="252">
        <v>49.00642852729365</v>
      </c>
      <c r="BC897" s="244">
        <v>197.72145594971795</v>
      </c>
      <c r="BD897" s="229">
        <v>99839.678489247774</v>
      </c>
      <c r="BE897" s="244">
        <v>65.6287634184729</v>
      </c>
      <c r="BF897" s="146">
        <v>373047.5321551119</v>
      </c>
      <c r="BG897" t="s">
        <v>388</v>
      </c>
      <c r="BH897" s="146">
        <v>7.7026703771338164E-6</v>
      </c>
      <c r="BI897" s="146">
        <v>2198396.784892478</v>
      </c>
      <c r="BJ897">
        <f t="shared" si="51"/>
        <v>0.16969071949100278</v>
      </c>
    </row>
    <row r="898" spans="1:62" s="140" customFormat="1" x14ac:dyDescent="0.3">
      <c r="A898">
        <v>-0.1</v>
      </c>
      <c r="B898" s="146">
        <v>1000</v>
      </c>
      <c r="C898" s="146">
        <v>25</v>
      </c>
      <c r="D898" s="146">
        <v>700</v>
      </c>
      <c r="E898" s="252">
        <v>21.176305855861798</v>
      </c>
      <c r="F898" s="146">
        <v>3.2851279997452747</v>
      </c>
      <c r="G898" s="146">
        <v>23.463847964420101</v>
      </c>
      <c r="H898" s="146">
        <v>5.2749885571525246</v>
      </c>
      <c r="I898" s="146"/>
      <c r="J898" s="146">
        <v>0.17314898706564832</v>
      </c>
      <c r="K898" s="146">
        <v>0.08</v>
      </c>
      <c r="L898" s="146">
        <v>106.88101234656311</v>
      </c>
      <c r="M898" s="146">
        <v>59.701927877508012</v>
      </c>
      <c r="N898" s="146">
        <v>1.6962838938076956</v>
      </c>
      <c r="O898" s="146"/>
      <c r="P898" s="146"/>
      <c r="Q898" s="146"/>
      <c r="R898" s="146"/>
      <c r="S898" s="146"/>
      <c r="T898" s="146"/>
      <c r="U898" s="146"/>
      <c r="V898" s="146"/>
      <c r="W898" s="146"/>
      <c r="X898" s="146"/>
      <c r="Y898" s="146"/>
      <c r="Z898" s="146">
        <v>0.32157110398043431</v>
      </c>
      <c r="AA898" s="146"/>
      <c r="AB898" s="146"/>
      <c r="AC898" s="146"/>
      <c r="AD898" s="146"/>
      <c r="AE898" s="146"/>
      <c r="AF898" s="146"/>
      <c r="AG898" s="146"/>
      <c r="AH898" s="146"/>
      <c r="AI898" s="146"/>
      <c r="AJ898" s="146"/>
      <c r="AK898" s="146"/>
      <c r="AL898" s="146">
        <v>1417.1798821633824</v>
      </c>
      <c r="AM898" s="146">
        <v>0.14000806707948107</v>
      </c>
      <c r="AN898" s="146">
        <v>0.27056218509684427</v>
      </c>
      <c r="AO898" s="146">
        <v>621.73220419445533</v>
      </c>
      <c r="AP898" s="146">
        <v>569.03793525953427</v>
      </c>
      <c r="AQ898" t="s">
        <v>325</v>
      </c>
      <c r="AR898">
        <f t="shared" si="52"/>
        <v>4.8813386259591285</v>
      </c>
      <c r="AS898">
        <f t="shared" si="53"/>
        <v>1.3321822791215501</v>
      </c>
      <c r="AT898">
        <v>0.1</v>
      </c>
      <c r="AU898">
        <v>1</v>
      </c>
      <c r="AV898">
        <v>0.2</v>
      </c>
      <c r="AW898" s="146">
        <v>3</v>
      </c>
      <c r="AX898">
        <v>0.13069945027537669</v>
      </c>
      <c r="AY898">
        <v>0.08</v>
      </c>
      <c r="AZ898" s="209">
        <v>569.03793525953427</v>
      </c>
      <c r="BA898" s="140">
        <v>0.13069945027537669</v>
      </c>
      <c r="BB898" s="253">
        <v>45.98573445540363</v>
      </c>
      <c r="BC898" s="245">
        <v>195.64825701481408</v>
      </c>
      <c r="BD898" s="210">
        <v>96820.208623295621</v>
      </c>
      <c r="BE898" s="245">
        <v>62.34298645945065</v>
      </c>
      <c r="BF898" s="140">
        <v>380107.04950967804</v>
      </c>
      <c r="BG898" t="s">
        <v>388</v>
      </c>
      <c r="BH898" s="140">
        <v>8.0403356294412308E-6</v>
      </c>
      <c r="BI898" s="140">
        <v>2168202.0862329565</v>
      </c>
      <c r="BJ898">
        <f t="shared" si="51"/>
        <v>0.17530978866000338</v>
      </c>
    </row>
    <row r="899" spans="1:62" x14ac:dyDescent="0.3">
      <c r="A899">
        <v>-0.1</v>
      </c>
      <c r="B899" s="146">
        <v>1000</v>
      </c>
      <c r="C899" s="146">
        <v>25</v>
      </c>
      <c r="D899" s="146">
        <v>800</v>
      </c>
      <c r="E899" s="252">
        <v>21.701378408171898</v>
      </c>
      <c r="F899" s="146">
        <v>2.8969791845539032</v>
      </c>
      <c r="G899" s="146">
        <v>23.784535177165758</v>
      </c>
      <c r="H899" s="146">
        <v>5.2492848159180063</v>
      </c>
      <c r="I899" s="146"/>
      <c r="J899" s="146">
        <v>0.17055508053694063</v>
      </c>
      <c r="K899" s="146">
        <v>0.08</v>
      </c>
      <c r="L899" s="146">
        <v>106.33461818847054</v>
      </c>
      <c r="M899" s="146">
        <v>59.396721331434499</v>
      </c>
      <c r="N899" s="146">
        <v>1.7044997763636358</v>
      </c>
      <c r="O899" s="146"/>
      <c r="P899" s="146"/>
      <c r="Q899" s="146"/>
      <c r="R899" s="146"/>
      <c r="S899" s="146"/>
      <c r="T899" s="146"/>
      <c r="U899" s="146"/>
      <c r="V899" s="146"/>
      <c r="W899" s="146"/>
      <c r="X899" s="146"/>
      <c r="Y899" s="146"/>
      <c r="Z899" s="146">
        <v>0.32471085798105037</v>
      </c>
      <c r="AA899" s="146"/>
      <c r="AB899" s="146"/>
      <c r="AC899" s="146"/>
      <c r="AD899" s="146"/>
      <c r="AE899" s="146"/>
      <c r="AF899" s="146"/>
      <c r="AG899" s="146"/>
      <c r="AH899" s="146"/>
      <c r="AI899" s="146"/>
      <c r="AJ899" s="146"/>
      <c r="AK899" s="146"/>
      <c r="AL899" s="146">
        <v>1517.6478410084096</v>
      </c>
      <c r="AM899" s="146">
        <v>0.1218009586050324</v>
      </c>
      <c r="AN899" s="146">
        <v>0.26924373825543663</v>
      </c>
      <c r="AO899" s="146">
        <v>719.39876281325667</v>
      </c>
      <c r="AP899" s="146">
        <v>665.3979528265919</v>
      </c>
      <c r="AQ899" t="s">
        <v>325</v>
      </c>
      <c r="AR899">
        <f t="shared" si="52"/>
        <v>4.8813386259591285</v>
      </c>
      <c r="AS899">
        <f t="shared" si="53"/>
        <v>1.3321822791215501</v>
      </c>
      <c r="AT899">
        <v>0.1</v>
      </c>
      <c r="AU899">
        <v>1</v>
      </c>
      <c r="AV899">
        <v>0.2</v>
      </c>
      <c r="AW899" s="146">
        <v>3</v>
      </c>
      <c r="AX899">
        <v>0.13106014713698647</v>
      </c>
      <c r="AY899">
        <v>0.08</v>
      </c>
      <c r="AZ899" s="209">
        <v>665.3979528265919</v>
      </c>
      <c r="BA899">
        <v>0.13106014713698647</v>
      </c>
      <c r="BB899" s="249">
        <v>43.653942165994195</v>
      </c>
      <c r="BC899" s="243">
        <v>194.09431390867323</v>
      </c>
      <c r="BD899" s="209">
        <v>94494.61303644428</v>
      </c>
      <c r="BE899" s="243">
        <v>59.772556778089708</v>
      </c>
      <c r="BF899">
        <v>385073.26503190474</v>
      </c>
      <c r="BG899" t="s">
        <v>388</v>
      </c>
      <c r="BH899">
        <v>8.3065267050197712E-6</v>
      </c>
      <c r="BI899">
        <v>2144946.1303644427</v>
      </c>
      <c r="BJ899">
        <f t="shared" si="51"/>
        <v>0.17952584430009805</v>
      </c>
    </row>
    <row r="900" spans="1:62" x14ac:dyDescent="0.3">
      <c r="A900">
        <v>-0.1</v>
      </c>
      <c r="B900" s="146">
        <v>1000</v>
      </c>
      <c r="C900" s="146">
        <v>25</v>
      </c>
      <c r="D900" s="146">
        <v>900</v>
      </c>
      <c r="E900" s="252">
        <v>22.122119385693804</v>
      </c>
      <c r="F900" s="146">
        <v>2.5902515529540882</v>
      </c>
      <c r="G900" s="146">
        <v>24.043908835533045</v>
      </c>
      <c r="H900" s="146">
        <v>5.2296127052979724</v>
      </c>
      <c r="I900" s="146"/>
      <c r="J900" s="146">
        <v>0.16842836684148613</v>
      </c>
      <c r="K900" s="146">
        <v>0.08</v>
      </c>
      <c r="L900" s="146">
        <v>105.91701261717783</v>
      </c>
      <c r="M900" s="146">
        <v>59.163453914227411</v>
      </c>
      <c r="N900" s="146">
        <v>1.7080020992755847</v>
      </c>
      <c r="O900" s="146"/>
      <c r="P900" s="146"/>
      <c r="Q900" s="146"/>
      <c r="R900" s="146"/>
      <c r="S900" s="146"/>
      <c r="T900" s="146"/>
      <c r="U900" s="146"/>
      <c r="V900" s="146"/>
      <c r="W900" s="146"/>
      <c r="X900" s="146"/>
      <c r="Y900" s="146"/>
      <c r="Z900" s="146">
        <v>0.3266020249540193</v>
      </c>
      <c r="AA900" s="146"/>
      <c r="AB900" s="146"/>
      <c r="AC900" s="146"/>
      <c r="AD900" s="146"/>
      <c r="AE900" s="146"/>
      <c r="AF900" s="146"/>
      <c r="AG900" s="146"/>
      <c r="AH900" s="146"/>
      <c r="AI900" s="146"/>
      <c r="AJ900" s="146"/>
      <c r="AK900" s="146"/>
      <c r="AL900" s="146">
        <v>1616.437507757661</v>
      </c>
      <c r="AM900" s="146">
        <v>0.10773005215882832</v>
      </c>
      <c r="AN900" s="146">
        <v>0.26809805756930183</v>
      </c>
      <c r="AO900" s="146">
        <v>817.48496954337179</v>
      </c>
      <c r="AP900" s="146">
        <v>762.43645811986869</v>
      </c>
      <c r="AQ900" t="s">
        <v>325</v>
      </c>
      <c r="AR900">
        <f t="shared" si="52"/>
        <v>4.8813386259591285</v>
      </c>
      <c r="AS900">
        <f t="shared" si="53"/>
        <v>1.3321822791215501</v>
      </c>
      <c r="AT900">
        <v>0.1</v>
      </c>
      <c r="AU900">
        <v>1</v>
      </c>
      <c r="AV900">
        <v>0.2</v>
      </c>
      <c r="AW900" s="146">
        <v>3</v>
      </c>
      <c r="AX900">
        <v>0.13147567358240911</v>
      </c>
      <c r="AY900">
        <v>0.08</v>
      </c>
      <c r="AZ900" s="209">
        <v>762.43645811986869</v>
      </c>
      <c r="BA900">
        <v>0.13147567358240911</v>
      </c>
      <c r="BB900" s="249">
        <v>41.814847108603679</v>
      </c>
      <c r="BC900" s="243">
        <v>192.91418482679634</v>
      </c>
      <c r="BD900" s="209">
        <v>92688.411375329917</v>
      </c>
      <c r="BE900" s="243">
        <v>57.751284518082613</v>
      </c>
      <c r="BF900">
        <v>388904.58201214741</v>
      </c>
      <c r="BG900" t="s">
        <v>388</v>
      </c>
      <c r="BH900">
        <v>8.521173848060085E-6</v>
      </c>
      <c r="BI900">
        <v>2126884.1137532992</v>
      </c>
      <c r="BJ900">
        <f t="shared" ref="BJ900:BJ963" si="54">BF900/BI900</f>
        <v>0.18285179690671999</v>
      </c>
    </row>
    <row r="901" spans="1:62" x14ac:dyDescent="0.3">
      <c r="A901">
        <v>-0.1</v>
      </c>
      <c r="B901" s="146">
        <v>1000</v>
      </c>
      <c r="C901" s="146">
        <v>25</v>
      </c>
      <c r="D901" s="146">
        <v>1000</v>
      </c>
      <c r="E901" s="252">
        <v>22.464318112919287</v>
      </c>
      <c r="F901" s="146">
        <v>2.3416353359389817</v>
      </c>
      <c r="G901" s="146">
        <v>24.255344699399828</v>
      </c>
      <c r="H901" s="146">
        <v>5.2139299292326973</v>
      </c>
      <c r="I901" s="146"/>
      <c r="J901" s="146">
        <v>0.1666439829063377</v>
      </c>
      <c r="K901" s="146">
        <v>0.08</v>
      </c>
      <c r="L901" s="146">
        <v>105.58462109277991</v>
      </c>
      <c r="M901" s="146">
        <v>58.977785624032386</v>
      </c>
      <c r="N901" s="146">
        <v>1.7084603395729197</v>
      </c>
      <c r="O901" s="146"/>
      <c r="P901" s="146"/>
      <c r="Q901" s="146"/>
      <c r="R901" s="146"/>
      <c r="S901" s="146"/>
      <c r="T901" s="146"/>
      <c r="U901" s="146"/>
      <c r="V901" s="146"/>
      <c r="W901" s="146"/>
      <c r="X901" s="146"/>
      <c r="Y901" s="146"/>
      <c r="Z901" s="146">
        <v>0.32767228611841809</v>
      </c>
      <c r="AA901" s="146"/>
      <c r="AB901" s="146"/>
      <c r="AC901" s="146"/>
      <c r="AD901" s="146"/>
      <c r="AE901" s="146"/>
      <c r="AF901" s="146"/>
      <c r="AG901" s="146"/>
      <c r="AH901" s="146"/>
      <c r="AI901" s="146"/>
      <c r="AJ901" s="146"/>
      <c r="AK901" s="146"/>
      <c r="AL901" s="146">
        <v>1714.2387505227982</v>
      </c>
      <c r="AM901" s="146">
        <v>9.6541004259441537E-2</v>
      </c>
      <c r="AN901" s="146">
        <v>0.26714132425604598</v>
      </c>
      <c r="AO901" s="146">
        <v>915.90848710704154</v>
      </c>
      <c r="AP901" s="146">
        <v>860.00858073633833</v>
      </c>
      <c r="AQ901" t="s">
        <v>325</v>
      </c>
      <c r="AR901">
        <f t="shared" si="52"/>
        <v>4.8813386259591285</v>
      </c>
      <c r="AS901">
        <f t="shared" si="53"/>
        <v>1.3321822791215501</v>
      </c>
      <c r="AT901">
        <v>0.1</v>
      </c>
      <c r="AU901">
        <v>1</v>
      </c>
      <c r="AV901">
        <v>0.2</v>
      </c>
      <c r="AW901" s="146">
        <v>3</v>
      </c>
      <c r="AX901">
        <v>0.13191836473972496</v>
      </c>
      <c r="AY901">
        <v>0.08</v>
      </c>
      <c r="AZ901" s="209">
        <v>860.00858073633833</v>
      </c>
      <c r="BA901">
        <v>0.13191836473972496</v>
      </c>
      <c r="BB901" s="249">
        <v>40.323958806554984</v>
      </c>
      <c r="BC901" s="243">
        <v>191.97947968607298</v>
      </c>
      <c r="BD901" s="209">
        <v>91231.101862349737</v>
      </c>
      <c r="BE901" s="243">
        <v>56.104087718347124</v>
      </c>
      <c r="BF901">
        <v>391850.93272794638</v>
      </c>
      <c r="BG901" t="s">
        <v>388</v>
      </c>
      <c r="BH901">
        <v>8.6977689051972369E-6</v>
      </c>
      <c r="BI901">
        <v>2112311.0186234973</v>
      </c>
      <c r="BJ901">
        <f t="shared" si="54"/>
        <v>0.18550816109613388</v>
      </c>
    </row>
    <row r="902" spans="1:62" s="140" customFormat="1" x14ac:dyDescent="0.3">
      <c r="A902" s="140">
        <v>-0.1</v>
      </c>
      <c r="B902" s="140">
        <v>1000</v>
      </c>
      <c r="C902" s="140">
        <v>25</v>
      </c>
      <c r="D902" s="140">
        <v>1100</v>
      </c>
      <c r="E902" s="253">
        <v>22.748532464049404</v>
      </c>
      <c r="F902" s="140">
        <v>2.136311054788437</v>
      </c>
      <c r="G902" s="140">
        <v>24.431608466967585</v>
      </c>
      <c r="H902" s="140">
        <v>5.2012171237050584</v>
      </c>
      <c r="J902" s="140">
        <v>0.16511743821914213</v>
      </c>
      <c r="K902" s="140">
        <v>0.08</v>
      </c>
      <c r="L902" s="140">
        <v>105.3154372329477</v>
      </c>
      <c r="M902" s="140">
        <v>58.827424067450352</v>
      </c>
      <c r="N902" s="140">
        <v>1.7068674271988886</v>
      </c>
      <c r="Z902" s="140">
        <v>0.32816692451074048</v>
      </c>
      <c r="AL902" s="140">
        <v>1811.408746868379</v>
      </c>
      <c r="AM902" s="140">
        <v>8.7440458849723568E-2</v>
      </c>
      <c r="AN902" s="140">
        <v>0.26631929638596974</v>
      </c>
      <c r="AO902" s="140">
        <v>1014.5817341335998</v>
      </c>
      <c r="AP902" s="140">
        <v>957.97503326893502</v>
      </c>
      <c r="AQ902" t="s">
        <v>325</v>
      </c>
      <c r="AR902">
        <f t="shared" si="52"/>
        <v>4.8813386259591285</v>
      </c>
      <c r="AS902">
        <f t="shared" si="53"/>
        <v>1.3321822791215501</v>
      </c>
      <c r="AT902">
        <v>0.1</v>
      </c>
      <c r="AU902" s="140">
        <v>1</v>
      </c>
      <c r="AV902">
        <v>0.2</v>
      </c>
      <c r="AW902" s="140">
        <v>3</v>
      </c>
      <c r="AX902">
        <v>0.13236812812261931</v>
      </c>
      <c r="AY902">
        <v>0.08</v>
      </c>
      <c r="AZ902" s="209">
        <v>957.97503326893502</v>
      </c>
      <c r="BA902" s="140">
        <v>0.13236812812261931</v>
      </c>
      <c r="BB902" s="253">
        <v>39.093431976584107</v>
      </c>
      <c r="BC902" s="245">
        <v>191.22548779194821</v>
      </c>
      <c r="BD902" s="210">
        <v>90036.661679493278</v>
      </c>
      <c r="BE902" s="245">
        <v>54.74270241763719</v>
      </c>
      <c r="BF902" s="140">
        <v>394205.70615407103</v>
      </c>
      <c r="BG902" t="s">
        <v>388</v>
      </c>
      <c r="BH902" s="140">
        <v>8.8454662683431012E-6</v>
      </c>
      <c r="BI902" s="140">
        <v>2100366.6167949326</v>
      </c>
      <c r="BJ902">
        <f t="shared" si="54"/>
        <v>0.18768423712409391</v>
      </c>
    </row>
    <row r="903" spans="1:62" x14ac:dyDescent="0.3">
      <c r="A903">
        <v>-0.1</v>
      </c>
      <c r="B903" s="146">
        <v>1000</v>
      </c>
      <c r="C903" s="146">
        <v>25</v>
      </c>
      <c r="D903" s="146">
        <v>400</v>
      </c>
      <c r="E903" s="252">
        <v>18.32415610591006</v>
      </c>
      <c r="F903" s="146">
        <v>5.4175849159755449</v>
      </c>
      <c r="G903" s="146">
        <v>21.735431305020526</v>
      </c>
      <c r="H903" s="146">
        <v>5.4235419339146063</v>
      </c>
      <c r="I903" s="146"/>
      <c r="J903" s="146">
        <v>0.18714453416053908</v>
      </c>
      <c r="K903" s="146">
        <v>0.08</v>
      </c>
      <c r="L903" s="146">
        <v>110.07367703130924</v>
      </c>
      <c r="M903" s="146">
        <v>61.485296434382548</v>
      </c>
      <c r="N903" s="146">
        <v>1.603792632439716</v>
      </c>
      <c r="O903" s="146"/>
      <c r="P903" s="146"/>
      <c r="Q903" s="146"/>
      <c r="R903" s="146"/>
      <c r="S903" s="146"/>
      <c r="T903" s="146"/>
      <c r="U903" s="146"/>
      <c r="V903" s="146"/>
      <c r="W903" s="146"/>
      <c r="X903" s="146"/>
      <c r="Y903" s="146"/>
      <c r="Z903" s="146">
        <v>0.29570945555170253</v>
      </c>
      <c r="AA903" s="146"/>
      <c r="AB903" s="146"/>
      <c r="AC903" s="146"/>
      <c r="AD903" s="146"/>
      <c r="AE903" s="146"/>
      <c r="AF903" s="146"/>
      <c r="AG903" s="146"/>
      <c r="AH903" s="146"/>
      <c r="AI903" s="146"/>
      <c r="AJ903" s="146"/>
      <c r="AK903" s="146"/>
      <c r="AL903" s="146">
        <v>1090.1306839293616</v>
      </c>
      <c r="AM903" s="146">
        <v>0.24925131873155754</v>
      </c>
      <c r="AN903" s="146">
        <v>0.27693135039707478</v>
      </c>
      <c r="AO903" s="146">
        <v>333.83141316562325</v>
      </c>
      <c r="AP903" s="146">
        <v>288.23436770950337</v>
      </c>
      <c r="AQ903" t="s">
        <v>325</v>
      </c>
      <c r="AR903">
        <f t="shared" si="52"/>
        <v>4.8813386259591285</v>
      </c>
      <c r="AS903">
        <f t="shared" si="53"/>
        <v>1.3321822791215501</v>
      </c>
      <c r="AT903">
        <v>0.1</v>
      </c>
      <c r="AU903">
        <v>1</v>
      </c>
      <c r="AV903">
        <v>0.2</v>
      </c>
      <c r="AW903" s="146">
        <v>3</v>
      </c>
      <c r="AX903">
        <v>0.13106578895655446</v>
      </c>
      <c r="AY903">
        <v>0.08</v>
      </c>
      <c r="AZ903" s="209">
        <v>288.23436770950337</v>
      </c>
      <c r="BA903">
        <v>0.13106578895655446</v>
      </c>
      <c r="BB903" s="249">
        <v>58.756177153066282</v>
      </c>
      <c r="BC903" s="243">
        <v>204.96056275948166</v>
      </c>
      <c r="BD903" s="209">
        <v>109756.6059552628</v>
      </c>
      <c r="BE903" s="243">
        <v>76.032533689595326</v>
      </c>
      <c r="BF903">
        <v>346796.59270335716</v>
      </c>
      <c r="BG903" t="s">
        <v>389</v>
      </c>
      <c r="BH903">
        <v>6.6683157661779133E-6</v>
      </c>
      <c r="BI903">
        <v>2297566.0595526281</v>
      </c>
      <c r="BJ903">
        <f t="shared" si="54"/>
        <v>0.15094085815790814</v>
      </c>
    </row>
    <row r="904" spans="1:62" x14ac:dyDescent="0.3">
      <c r="A904">
        <v>-0.1</v>
      </c>
      <c r="B904" s="146">
        <v>1000</v>
      </c>
      <c r="C904" s="146">
        <v>25</v>
      </c>
      <c r="D904" s="146">
        <v>400</v>
      </c>
      <c r="E904" s="252">
        <v>17.683207525822258</v>
      </c>
      <c r="F904" s="146">
        <v>5.1653499040516158</v>
      </c>
      <c r="G904" s="146">
        <v>20.930071308108701</v>
      </c>
      <c r="H904" s="146">
        <v>5.2270770253813854</v>
      </c>
      <c r="I904" s="146"/>
      <c r="J904" s="146">
        <v>0.18900203070836036</v>
      </c>
      <c r="K904" s="146">
        <v>0.08</v>
      </c>
      <c r="L904" s="146">
        <v>106.12186456962019</v>
      </c>
      <c r="M904" s="146">
        <v>59.277880754147517</v>
      </c>
      <c r="N904" s="146">
        <v>1.5443340020210066</v>
      </c>
      <c r="O904" s="146"/>
      <c r="P904" s="146"/>
      <c r="Q904" s="146"/>
      <c r="R904" s="146"/>
      <c r="S904" s="146"/>
      <c r="T904" s="146"/>
      <c r="U904" s="146"/>
      <c r="V904" s="146"/>
      <c r="W904" s="146"/>
      <c r="X904" s="146"/>
      <c r="Y904" s="146"/>
      <c r="Z904" s="146">
        <v>0.2954488702810586</v>
      </c>
      <c r="AA904" s="146"/>
      <c r="AB904" s="146"/>
      <c r="AC904" s="146"/>
      <c r="AD904" s="146"/>
      <c r="AE904" s="146"/>
      <c r="AF904" s="146"/>
      <c r="AG904" s="146"/>
      <c r="AH904" s="146"/>
      <c r="AI904" s="146"/>
      <c r="AJ904" s="146"/>
      <c r="AK904" s="146"/>
      <c r="AL904" s="146">
        <v>1064.6597426969361</v>
      </c>
      <c r="AM904" s="146">
        <v>0.24679084117837968</v>
      </c>
      <c r="AN904" s="146">
        <v>0.27845318748858278</v>
      </c>
      <c r="AO904" s="146">
        <v>336.49486405485192</v>
      </c>
      <c r="AP904" s="146">
        <v>292.49274168643291</v>
      </c>
      <c r="AQ904" t="s">
        <v>325</v>
      </c>
      <c r="AR904">
        <f t="shared" si="52"/>
        <v>4.8813386259591285</v>
      </c>
      <c r="AS904">
        <f t="shared" si="53"/>
        <v>1.3321822791215501</v>
      </c>
      <c r="AT904">
        <v>0.1</v>
      </c>
      <c r="AU904">
        <v>1</v>
      </c>
      <c r="AV904">
        <v>0.2</v>
      </c>
      <c r="AW904" s="146">
        <v>2.5</v>
      </c>
      <c r="AX904">
        <v>0.1320180470459964</v>
      </c>
      <c r="AY904">
        <v>0.08</v>
      </c>
      <c r="AZ904" s="209">
        <v>292.49274168643291</v>
      </c>
      <c r="BA904">
        <v>0.1320180470459964</v>
      </c>
      <c r="BB904" s="249">
        <v>56.23513147214527</v>
      </c>
      <c r="BC904" s="243">
        <v>193.49227393745821</v>
      </c>
      <c r="BD904" s="209">
        <v>102574.18949586175</v>
      </c>
      <c r="BE904" s="243">
        <v>72.183258166795895</v>
      </c>
      <c r="BF904">
        <v>394432.04721696448</v>
      </c>
      <c r="BG904" t="s">
        <v>389</v>
      </c>
      <c r="BH904">
        <v>6.4786173831616412E-6</v>
      </c>
      <c r="BI904">
        <v>2225741.8949586176</v>
      </c>
      <c r="BJ904">
        <f t="shared" si="54"/>
        <v>0.1772137407802615</v>
      </c>
    </row>
    <row r="905" spans="1:62" x14ac:dyDescent="0.3">
      <c r="A905">
        <v>-0.1</v>
      </c>
      <c r="B905" s="146">
        <v>1000</v>
      </c>
      <c r="C905" s="146">
        <v>25</v>
      </c>
      <c r="D905" s="146">
        <v>400</v>
      </c>
      <c r="E905" s="252">
        <v>15.383214699396227</v>
      </c>
      <c r="F905" s="146">
        <v>4.3214579816709184</v>
      </c>
      <c r="G905" s="146">
        <v>18.085541597226136</v>
      </c>
      <c r="H905" s="146">
        <v>4.5287140361485196</v>
      </c>
      <c r="I905" s="146"/>
      <c r="J905" s="146">
        <v>0.19606115803809426</v>
      </c>
      <c r="K905" s="146">
        <v>0.08</v>
      </c>
      <c r="L905" s="146">
        <v>92.046486891415924</v>
      </c>
      <c r="M905" s="146">
        <v>51.41561256877457</v>
      </c>
      <c r="N905" s="146">
        <v>1.3349177698615744</v>
      </c>
      <c r="O905" s="146"/>
      <c r="P905" s="146"/>
      <c r="Q905" s="146"/>
      <c r="R905" s="146"/>
      <c r="S905" s="146"/>
      <c r="T905" s="146"/>
      <c r="U905" s="146"/>
      <c r="V905" s="146"/>
      <c r="W905" s="146"/>
      <c r="X905" s="146"/>
      <c r="Y905" s="146"/>
      <c r="Z905" s="146">
        <v>0.29476751219135611</v>
      </c>
      <c r="AA905" s="146"/>
      <c r="AB905" s="146"/>
      <c r="AC905" s="146"/>
      <c r="AD905" s="146"/>
      <c r="AE905" s="146"/>
      <c r="AF905" s="146"/>
      <c r="AG905" s="146"/>
      <c r="AH905" s="146"/>
      <c r="AI905" s="146"/>
      <c r="AJ905" s="146"/>
      <c r="AK905" s="146"/>
      <c r="AL905" s="146">
        <v>974.83621548348185</v>
      </c>
      <c r="AM905" s="146">
        <v>0.23894545587364222</v>
      </c>
      <c r="AN905" s="146">
        <v>0.28307238981551841</v>
      </c>
      <c r="AO905" s="146">
        <v>345.65625171207392</v>
      </c>
      <c r="AP905" s="146">
        <v>307.37733055269553</v>
      </c>
      <c r="AQ905" t="s">
        <v>325</v>
      </c>
      <c r="AR905">
        <f t="shared" si="52"/>
        <v>4.8813386259591285</v>
      </c>
      <c r="AS905">
        <f t="shared" si="53"/>
        <v>1.3321822791215501</v>
      </c>
      <c r="AT905">
        <v>0.1</v>
      </c>
      <c r="AU905">
        <v>1</v>
      </c>
      <c r="AV905">
        <v>0.2</v>
      </c>
      <c r="AW905" s="146">
        <v>1.5</v>
      </c>
      <c r="AX905">
        <v>0.13562329154140487</v>
      </c>
      <c r="AY905">
        <v>0.08</v>
      </c>
      <c r="AZ905" s="209">
        <v>307.37733055269553</v>
      </c>
      <c r="BA905">
        <v>0.13562329154140487</v>
      </c>
      <c r="BB905" s="249">
        <v>47.65029092083676</v>
      </c>
      <c r="BC905" s="243">
        <v>156.98324602751489</v>
      </c>
      <c r="BD905" s="209">
        <v>80053.33026139735</v>
      </c>
      <c r="BE905" s="243">
        <v>59.655916770265691</v>
      </c>
      <c r="BF905">
        <v>515428.13854964427</v>
      </c>
      <c r="BG905" t="s">
        <v>389</v>
      </c>
      <c r="BH905">
        <v>5.8186461208521754E-6</v>
      </c>
      <c r="BI905">
        <v>2000533.3026139736</v>
      </c>
      <c r="BJ905">
        <f t="shared" si="54"/>
        <v>0.25764536780075897</v>
      </c>
    </row>
    <row r="906" spans="1:62" x14ac:dyDescent="0.3">
      <c r="A906">
        <v>-0.1</v>
      </c>
      <c r="B906" s="146">
        <v>1000</v>
      </c>
      <c r="C906" s="146">
        <v>25</v>
      </c>
      <c r="D906" s="146">
        <v>400</v>
      </c>
      <c r="E906" s="252">
        <v>13.282680504301352</v>
      </c>
      <c r="F906" s="146">
        <v>3.6192070018693023</v>
      </c>
      <c r="G906" s="146">
        <v>15.537324162211416</v>
      </c>
      <c r="H906" s="146">
        <v>3.8989128119969321</v>
      </c>
      <c r="I906" s="146"/>
      <c r="J906" s="146">
        <v>0.20313216419948979</v>
      </c>
      <c r="K906" s="146">
        <v>0.08</v>
      </c>
      <c r="L906" s="146">
        <v>79.318834590105865</v>
      </c>
      <c r="M906" s="146">
        <v>44.30616101082208</v>
      </c>
      <c r="N906" s="146">
        <v>1.1490468837543899</v>
      </c>
      <c r="O906" s="146"/>
      <c r="P906" s="146"/>
      <c r="Q906" s="146"/>
      <c r="R906" s="146"/>
      <c r="S906" s="146"/>
      <c r="T906" s="146"/>
      <c r="U906" s="146"/>
      <c r="V906" s="146"/>
      <c r="W906" s="146"/>
      <c r="X906" s="146"/>
      <c r="Y906" s="146"/>
      <c r="Z906" s="146">
        <v>0.29470956114196228</v>
      </c>
      <c r="AA906" s="146"/>
      <c r="AB906" s="146"/>
      <c r="AC906" s="146"/>
      <c r="AD906" s="146"/>
      <c r="AE906" s="146"/>
      <c r="AF906" s="146"/>
      <c r="AG906" s="146"/>
      <c r="AH906" s="146"/>
      <c r="AI906" s="146"/>
      <c r="AJ906" s="146"/>
      <c r="AK906" s="146"/>
      <c r="AL906" s="146">
        <v>895.10828849411064</v>
      </c>
      <c r="AM906" s="146">
        <v>0.23293631284797647</v>
      </c>
      <c r="AN906" s="146">
        <v>0.28649286819341024</v>
      </c>
      <c r="AO906" s="146">
        <v>353.63695931399496</v>
      </c>
      <c r="AP906" s="146">
        <v>320.58484661691557</v>
      </c>
      <c r="AQ906" t="s">
        <v>325</v>
      </c>
      <c r="AR906">
        <f t="shared" si="52"/>
        <v>4.8813386259591285</v>
      </c>
      <c r="AS906">
        <f t="shared" si="53"/>
        <v>1.3321822791215501</v>
      </c>
      <c r="AT906">
        <v>0.1</v>
      </c>
      <c r="AU906">
        <v>1</v>
      </c>
      <c r="AV906">
        <v>0.2</v>
      </c>
      <c r="AW906" s="146">
        <v>1</v>
      </c>
      <c r="AX906">
        <v>0.13928878936908057</v>
      </c>
      <c r="AY906">
        <v>0.08</v>
      </c>
      <c r="AZ906" s="209">
        <v>320.58484661691557</v>
      </c>
      <c r="BA906">
        <v>0.13928878936908057</v>
      </c>
      <c r="BB906" s="249">
        <v>40.32428020395885</v>
      </c>
      <c r="BC906" s="243">
        <v>128.48687932517907</v>
      </c>
      <c r="BD906" s="209">
        <v>62985.309961222061</v>
      </c>
      <c r="BE906" s="243">
        <v>49.529183464986048</v>
      </c>
      <c r="BF906">
        <v>583502.09626707004</v>
      </c>
      <c r="BG906" t="s">
        <v>389</v>
      </c>
      <c r="BH906">
        <v>5.1909924027172202E-6</v>
      </c>
      <c r="BI906">
        <v>1829853.0996122207</v>
      </c>
      <c r="BJ906">
        <f t="shared" si="54"/>
        <v>0.31887920204672432</v>
      </c>
    </row>
    <row r="907" spans="1:62" x14ac:dyDescent="0.3">
      <c r="A907">
        <v>-0.1</v>
      </c>
      <c r="B907" s="146">
        <v>1000</v>
      </c>
      <c r="C907" s="146">
        <v>25</v>
      </c>
      <c r="D907" s="146">
        <v>400</v>
      </c>
      <c r="E907" s="252">
        <v>12.127351883258344</v>
      </c>
      <c r="F907" s="146">
        <v>3.2558364071097996</v>
      </c>
      <c r="G907" s="146">
        <v>14.151921646770464</v>
      </c>
      <c r="H907" s="146">
        <v>3.5551933421227808</v>
      </c>
      <c r="I907" s="146"/>
      <c r="J907" s="146">
        <v>0.20737068197897859</v>
      </c>
      <c r="K907" s="146">
        <v>0.08</v>
      </c>
      <c r="L907" s="146">
        <v>72.360360872696418</v>
      </c>
      <c r="M907" s="146">
        <v>40.419275146874021</v>
      </c>
      <c r="N907" s="146">
        <v>1.0483476807043015</v>
      </c>
      <c r="O907" s="146"/>
      <c r="P907" s="146"/>
      <c r="Q907" s="146"/>
      <c r="R907" s="146"/>
      <c r="S907" s="146"/>
      <c r="T907" s="146"/>
      <c r="U907" s="146"/>
      <c r="V907" s="146"/>
      <c r="W907" s="146"/>
      <c r="X907" s="146"/>
      <c r="Y907" s="146"/>
      <c r="Z907" s="146">
        <v>0.29487782514757427</v>
      </c>
      <c r="AA907" s="146"/>
      <c r="AB907" s="146"/>
      <c r="AC907" s="146"/>
      <c r="AD907" s="146"/>
      <c r="AE907" s="146"/>
      <c r="AF907" s="146"/>
      <c r="AG907" s="146"/>
      <c r="AH907" s="146"/>
      <c r="AI907" s="146"/>
      <c r="AJ907" s="146"/>
      <c r="AK907" s="146"/>
      <c r="AL907" s="146">
        <v>851.9070793018858</v>
      </c>
      <c r="AM907" s="146">
        <v>0.23006320190112109</v>
      </c>
      <c r="AN907" s="146">
        <v>0.2881337693357871</v>
      </c>
      <c r="AO907" s="146">
        <v>357.91068880536079</v>
      </c>
      <c r="AP907" s="146">
        <v>327.73323894973487</v>
      </c>
      <c r="AQ907" t="s">
        <v>325</v>
      </c>
      <c r="AR907">
        <f t="shared" si="52"/>
        <v>4.8813386259591285</v>
      </c>
      <c r="AS907">
        <f t="shared" si="53"/>
        <v>1.3321822791215501</v>
      </c>
      <c r="AT907">
        <v>0.1</v>
      </c>
      <c r="AU907">
        <v>1</v>
      </c>
      <c r="AV907">
        <v>0.2</v>
      </c>
      <c r="AW907" s="146">
        <v>0.8</v>
      </c>
      <c r="AX907">
        <v>0.14154772441048935</v>
      </c>
      <c r="AY907">
        <v>0.08</v>
      </c>
      <c r="AZ907" s="209">
        <v>327.73323894973487</v>
      </c>
      <c r="BA907">
        <v>0.14154772441048935</v>
      </c>
      <c r="BB907" s="249">
        <v>36.465659322155659</v>
      </c>
      <c r="BC907" s="243">
        <v>114.29379265284106</v>
      </c>
      <c r="BD907" s="209">
        <v>54726.127239134417</v>
      </c>
      <c r="BE907" s="243">
        <v>44.36683133004717</v>
      </c>
      <c r="BF907">
        <v>609449.71827233746</v>
      </c>
      <c r="BG907" t="s">
        <v>389</v>
      </c>
      <c r="BH907">
        <v>4.8251991277878837E-6</v>
      </c>
      <c r="BI907">
        <v>1747261.2723913442</v>
      </c>
      <c r="BJ907">
        <f t="shared" si="54"/>
        <v>0.34880285387326748</v>
      </c>
    </row>
    <row r="908" spans="1:62" x14ac:dyDescent="0.3">
      <c r="A908">
        <v>-0.1</v>
      </c>
      <c r="B908" s="146">
        <v>1000</v>
      </c>
      <c r="C908" s="146">
        <v>25</v>
      </c>
      <c r="D908" s="146">
        <v>400</v>
      </c>
      <c r="E908" s="252">
        <v>10.680140149319694</v>
      </c>
      <c r="F908" s="146">
        <v>2.8192663378939731</v>
      </c>
      <c r="G908" s="146">
        <v>12.429686188343606</v>
      </c>
      <c r="H908" s="146">
        <v>3.1288841223745849</v>
      </c>
      <c r="I908" s="146"/>
      <c r="J908" s="146">
        <v>0.21298820992007361</v>
      </c>
      <c r="K908" s="146">
        <v>0.08</v>
      </c>
      <c r="L908" s="146">
        <v>63.718837652499353</v>
      </c>
      <c r="M908" s="146">
        <v>35.592266263657677</v>
      </c>
      <c r="N908" s="146">
        <v>0.92555934624323921</v>
      </c>
      <c r="O908" s="146"/>
      <c r="P908" s="146"/>
      <c r="Q908" s="146"/>
      <c r="R908" s="146"/>
      <c r="S908" s="146"/>
      <c r="T908" s="146"/>
      <c r="U908" s="146"/>
      <c r="V908" s="146"/>
      <c r="W908" s="146"/>
      <c r="X908" s="146"/>
      <c r="Y908" s="146"/>
      <c r="Z908" s="146">
        <v>0.29581132123896303</v>
      </c>
      <c r="AA908" s="146"/>
      <c r="AB908" s="146"/>
      <c r="AC908" s="146"/>
      <c r="AD908" s="146"/>
      <c r="AE908" s="146"/>
      <c r="AF908" s="146"/>
      <c r="AG908" s="146"/>
      <c r="AH908" s="146"/>
      <c r="AI908" s="146"/>
      <c r="AJ908" s="146"/>
      <c r="AK908" s="146"/>
      <c r="AL908" s="146">
        <v>799.41191119264113</v>
      </c>
      <c r="AM908" s="146">
        <v>0.22681717745519944</v>
      </c>
      <c r="AN908" s="146">
        <v>0.290286211868162</v>
      </c>
      <c r="AO908" s="146">
        <v>363.20824168469204</v>
      </c>
      <c r="AP908" s="146">
        <v>336.63223807102173</v>
      </c>
      <c r="AQ908" t="s">
        <v>325</v>
      </c>
      <c r="AR908">
        <f t="shared" si="52"/>
        <v>4.8813386259591285</v>
      </c>
      <c r="AS908">
        <f t="shared" si="53"/>
        <v>1.3321822791215501</v>
      </c>
      <c r="AT908">
        <v>0.1</v>
      </c>
      <c r="AU908">
        <v>1</v>
      </c>
      <c r="AV908">
        <v>0.2</v>
      </c>
      <c r="AW908" s="146">
        <v>0.6</v>
      </c>
      <c r="AX908">
        <v>0.14468653083465424</v>
      </c>
      <c r="AY908">
        <v>0.08</v>
      </c>
      <c r="AZ908" s="209">
        <v>336.63223807102173</v>
      </c>
      <c r="BA908">
        <v>0.14468653083465424</v>
      </c>
      <c r="BB908" s="249">
        <v>31.770776167927913</v>
      </c>
      <c r="BC908" s="243">
        <v>97.777882201674245</v>
      </c>
      <c r="BD908" s="209">
        <v>45335.704696978457</v>
      </c>
      <c r="BE908" s="243">
        <v>38.187265829096305</v>
      </c>
      <c r="BF908">
        <v>629817.51812539052</v>
      </c>
      <c r="BG908" t="s">
        <v>389</v>
      </c>
      <c r="BH908">
        <v>4.3490281235219051E-6</v>
      </c>
      <c r="BI908">
        <v>1653357.0469697844</v>
      </c>
      <c r="BJ908">
        <f t="shared" si="54"/>
        <v>0.38093255130807846</v>
      </c>
    </row>
    <row r="909" spans="1:62" x14ac:dyDescent="0.3">
      <c r="A909">
        <v>-0.1</v>
      </c>
      <c r="B909" s="146">
        <v>1000</v>
      </c>
      <c r="C909" s="146">
        <v>25</v>
      </c>
      <c r="D909" s="146">
        <v>400</v>
      </c>
      <c r="E909" s="252">
        <v>8.8533670167244285</v>
      </c>
      <c r="F909" s="146">
        <v>2.2974121190968964</v>
      </c>
      <c r="G909" s="146">
        <v>10.275168036715828</v>
      </c>
      <c r="H909" s="146">
        <v>2.586857308389177</v>
      </c>
      <c r="I909" s="146"/>
      <c r="J909" s="146">
        <v>0.22086111902182889</v>
      </c>
      <c r="K909" s="146">
        <v>0.08</v>
      </c>
      <c r="L909" s="146">
        <v>52.715702147421617</v>
      </c>
      <c r="M909" s="146">
        <v>29.446100654554311</v>
      </c>
      <c r="N909" s="146">
        <v>0.76834583810260071</v>
      </c>
      <c r="O909" s="146"/>
      <c r="P909" s="146"/>
      <c r="Q909" s="146"/>
      <c r="R909" s="146"/>
      <c r="S909" s="146"/>
      <c r="T909" s="146"/>
      <c r="U909" s="146"/>
      <c r="V909" s="146"/>
      <c r="W909" s="146"/>
      <c r="X909" s="146"/>
      <c r="Y909" s="146"/>
      <c r="Z909" s="146">
        <v>0.29701902598603158</v>
      </c>
      <c r="AA909" s="146"/>
      <c r="AB909" s="146"/>
      <c r="AC909" s="146"/>
      <c r="AD909" s="146"/>
      <c r="AE909" s="146"/>
      <c r="AF909" s="146"/>
      <c r="AG909" s="146"/>
      <c r="AH909" s="146"/>
      <c r="AI909" s="146"/>
      <c r="AJ909" s="146"/>
      <c r="AK909" s="146"/>
      <c r="AL909" s="146">
        <v>731.79552275406343</v>
      </c>
      <c r="AM909" s="146">
        <v>0.22358876379321971</v>
      </c>
      <c r="AN909" s="146">
        <v>0.29173724146040625</v>
      </c>
      <c r="AO909" s="146">
        <v>369.65294189934275</v>
      </c>
      <c r="AP909" s="146">
        <v>347.62260370276289</v>
      </c>
      <c r="AQ909" t="s">
        <v>325</v>
      </c>
      <c r="AR909">
        <f t="shared" si="52"/>
        <v>4.8813386259591285</v>
      </c>
      <c r="AS909">
        <f t="shared" si="53"/>
        <v>1.3321822791215501</v>
      </c>
      <c r="AT909">
        <v>0.1</v>
      </c>
      <c r="AU909">
        <v>1</v>
      </c>
      <c r="AV909">
        <v>0.2</v>
      </c>
      <c r="AW909" s="146">
        <v>0.4</v>
      </c>
      <c r="AX909">
        <v>0.14935318971406181</v>
      </c>
      <c r="AY909">
        <v>0.08</v>
      </c>
      <c r="AZ909" s="209">
        <v>347.62260370276289</v>
      </c>
      <c r="BA909">
        <v>0.14935318971406181</v>
      </c>
      <c r="BB909" s="249">
        <v>26.059530702730211</v>
      </c>
      <c r="BC909" s="243">
        <v>78.237712309761164</v>
      </c>
      <c r="BD909" s="209">
        <v>34823.491860654663</v>
      </c>
      <c r="BE909" s="243">
        <v>31.000271867418906</v>
      </c>
      <c r="BF909">
        <v>648725.02416132181</v>
      </c>
      <c r="BG909" t="s">
        <v>389</v>
      </c>
      <c r="BH909">
        <v>3.6920275721291442E-6</v>
      </c>
      <c r="BI909">
        <v>1548234.9186065467</v>
      </c>
      <c r="BJ909">
        <f t="shared" si="54"/>
        <v>0.419009425743473</v>
      </c>
    </row>
    <row r="910" spans="1:62" x14ac:dyDescent="0.3">
      <c r="A910">
        <v>-0.1</v>
      </c>
      <c r="B910" s="146">
        <v>1000</v>
      </c>
      <c r="C910" s="146">
        <v>25</v>
      </c>
      <c r="D910" s="146">
        <v>400</v>
      </c>
      <c r="E910" s="252">
        <v>7.6887690835692535</v>
      </c>
      <c r="F910" s="146">
        <v>1.976432484577227</v>
      </c>
      <c r="G910" s="146">
        <v>8.9098044073503466</v>
      </c>
      <c r="H910" s="146">
        <v>2.2379868221049857</v>
      </c>
      <c r="I910" s="146"/>
      <c r="J910" s="146">
        <v>0.22417946713807574</v>
      </c>
      <c r="K910" s="146">
        <v>0.08</v>
      </c>
      <c r="L910" s="146">
        <v>45.624885088761779</v>
      </c>
      <c r="M910" s="146">
        <v>25.485290035956854</v>
      </c>
      <c r="N910" s="146">
        <v>0.67971926291463935</v>
      </c>
      <c r="O910" s="146"/>
      <c r="P910" s="146"/>
      <c r="Q910" s="146"/>
      <c r="R910" s="146"/>
      <c r="S910" s="146"/>
      <c r="T910" s="146"/>
      <c r="U910" s="146"/>
      <c r="V910" s="146"/>
      <c r="W910" s="146"/>
      <c r="X910" s="146"/>
      <c r="Y910" s="146"/>
      <c r="Z910" s="146">
        <v>0.30371906402706833</v>
      </c>
      <c r="AA910" s="146"/>
      <c r="AB910" s="146"/>
      <c r="AC910" s="146"/>
      <c r="AD910" s="146"/>
      <c r="AE910" s="146"/>
      <c r="AF910" s="146"/>
      <c r="AG910" s="146"/>
      <c r="AH910" s="146"/>
      <c r="AI910" s="146"/>
      <c r="AJ910" s="146"/>
      <c r="AK910" s="146"/>
      <c r="AL910" s="146">
        <v>694.37289626597999</v>
      </c>
      <c r="AM910" s="146">
        <v>0.22182669722207637</v>
      </c>
      <c r="AN910" s="146">
        <v>0.29174603055806381</v>
      </c>
      <c r="AO910" s="146">
        <v>373.64567713616577</v>
      </c>
      <c r="AP910" s="146">
        <v>354.51326480866055</v>
      </c>
      <c r="AQ910" t="s">
        <v>325</v>
      </c>
      <c r="AR910">
        <f t="shared" si="52"/>
        <v>4.8813386259591285</v>
      </c>
      <c r="AS910">
        <f t="shared" si="53"/>
        <v>1.3321822791215501</v>
      </c>
      <c r="AT910">
        <v>0.1</v>
      </c>
      <c r="AU910">
        <v>1</v>
      </c>
      <c r="AV910">
        <v>0.2</v>
      </c>
      <c r="AW910" s="146">
        <v>0.3</v>
      </c>
      <c r="AX910">
        <v>0.15183765877195854</v>
      </c>
      <c r="AY910">
        <v>0.08</v>
      </c>
      <c r="AZ910" s="209">
        <v>354.51326480866055</v>
      </c>
      <c r="BA910">
        <v>0.15183765877195854</v>
      </c>
      <c r="BB910" s="249">
        <v>22.506960476228929</v>
      </c>
      <c r="BC910" s="243">
        <v>66.390340692460768</v>
      </c>
      <c r="BD910" s="209">
        <v>28817.156965806644</v>
      </c>
      <c r="BE910" s="243">
        <v>26.737291904531009</v>
      </c>
      <c r="BF910">
        <v>651961.57073151961</v>
      </c>
      <c r="BG910" t="s">
        <v>389</v>
      </c>
      <c r="BH910">
        <v>3.2504957711261584E-6</v>
      </c>
      <c r="BI910">
        <v>1488171.5696580664</v>
      </c>
      <c r="BJ910">
        <f t="shared" si="54"/>
        <v>0.43809570349561189</v>
      </c>
    </row>
    <row r="911" spans="1:62" x14ac:dyDescent="0.3">
      <c r="A911">
        <v>-0.1</v>
      </c>
      <c r="B911" s="146">
        <v>1000</v>
      </c>
      <c r="C911" s="146">
        <v>25</v>
      </c>
      <c r="D911" s="146">
        <v>400</v>
      </c>
      <c r="E911" s="252">
        <v>6.2235160499692421</v>
      </c>
      <c r="F911" s="146">
        <v>1.5842682359170521</v>
      </c>
      <c r="G911" s="146">
        <v>7.2003338725456061</v>
      </c>
      <c r="H911" s="146">
        <v>1.808328525729813</v>
      </c>
      <c r="I911" s="146"/>
      <c r="J911" s="146">
        <v>0.22983814793143323</v>
      </c>
      <c r="K911" s="146">
        <v>0.08</v>
      </c>
      <c r="L911" s="146">
        <v>36.883098624197672</v>
      </c>
      <c r="M911" s="146">
        <v>20.602275798257555</v>
      </c>
      <c r="N911" s="146">
        <v>0.56372551841944318</v>
      </c>
      <c r="O911" s="146"/>
      <c r="P911" s="146"/>
      <c r="Q911" s="146"/>
      <c r="R911" s="146"/>
      <c r="S911" s="146"/>
      <c r="T911" s="146"/>
      <c r="U911" s="146"/>
      <c r="V911" s="146"/>
      <c r="W911" s="146"/>
      <c r="X911" s="146"/>
      <c r="Y911" s="146"/>
      <c r="Z911" s="146">
        <v>0.31173844265490003</v>
      </c>
      <c r="AA911" s="146"/>
      <c r="AB911" s="146"/>
      <c r="AC911" s="146"/>
      <c r="AD911" s="146"/>
      <c r="AE911" s="146"/>
      <c r="AF911" s="146"/>
      <c r="AG911" s="146"/>
      <c r="AH911" s="146"/>
      <c r="AI911" s="146"/>
      <c r="AJ911" s="146"/>
      <c r="AK911" s="146"/>
      <c r="AL911" s="146">
        <v>645.11154445373677</v>
      </c>
      <c r="AM911" s="146">
        <v>0.220027052072927</v>
      </c>
      <c r="AN911" s="146">
        <v>0.2926679994650998</v>
      </c>
      <c r="AO911" s="146">
        <v>378.73523562075877</v>
      </c>
      <c r="AP911" s="146">
        <v>363.24878524401532</v>
      </c>
      <c r="AQ911" t="s">
        <v>325</v>
      </c>
      <c r="AR911">
        <f t="shared" si="52"/>
        <v>4.8813386259591285</v>
      </c>
      <c r="AS911">
        <f t="shared" si="53"/>
        <v>1.3321822791215501</v>
      </c>
      <c r="AT911">
        <v>0.1</v>
      </c>
      <c r="AU911">
        <v>1</v>
      </c>
      <c r="AV911">
        <v>0.2</v>
      </c>
      <c r="AW911" s="146">
        <v>0.2</v>
      </c>
      <c r="AX911">
        <v>0.15643664246284575</v>
      </c>
      <c r="AY911">
        <v>0.08</v>
      </c>
      <c r="AZ911" s="209">
        <v>363.24878524401532</v>
      </c>
      <c r="BA911">
        <v>0.15643664246284575</v>
      </c>
      <c r="BB911" s="249">
        <v>18.118362324589633</v>
      </c>
      <c r="BC911" s="243">
        <v>52.467579335067747</v>
      </c>
      <c r="BD911" s="209">
        <v>22010.807018761065</v>
      </c>
      <c r="BE911" s="243">
        <v>21.405902512067243</v>
      </c>
      <c r="BF911">
        <v>641713.30081922875</v>
      </c>
      <c r="BG911" t="s">
        <v>389</v>
      </c>
      <c r="BH911">
        <v>2.6732119698746773E-6</v>
      </c>
      <c r="BI911">
        <v>1420108.0701876106</v>
      </c>
      <c r="BJ911">
        <f t="shared" si="54"/>
        <v>0.45187638482643927</v>
      </c>
    </row>
    <row r="912" spans="1:62" s="140" customFormat="1" x14ac:dyDescent="0.3">
      <c r="A912" s="140">
        <v>-0.1</v>
      </c>
      <c r="B912" s="140">
        <v>1000</v>
      </c>
      <c r="C912" s="140">
        <v>25</v>
      </c>
      <c r="D912" s="140">
        <v>400</v>
      </c>
      <c r="E912" s="253">
        <v>4.2761997280632125</v>
      </c>
      <c r="F912" s="140">
        <v>1.081900744611527</v>
      </c>
      <c r="G912" s="140">
        <v>4.9411302259189238</v>
      </c>
      <c r="H912" s="140">
        <v>1.2359517896068803</v>
      </c>
      <c r="J912" s="140">
        <v>0.23937384022350669</v>
      </c>
      <c r="K912" s="140">
        <v>0.08</v>
      </c>
      <c r="L912" s="140">
        <v>25.223779790364247</v>
      </c>
      <c r="M912" s="140">
        <v>14.089577267097196</v>
      </c>
      <c r="N912" s="140">
        <v>0.39880544326107037</v>
      </c>
      <c r="Z912" s="140">
        <v>0.32267071144248965</v>
      </c>
      <c r="AL912" s="140">
        <v>574.12007531345273</v>
      </c>
      <c r="AM912" s="140">
        <v>0.21895815231429588</v>
      </c>
      <c r="AN912" s="140">
        <v>0.29205206101999726</v>
      </c>
      <c r="AO912" s="140">
        <v>385.3580909063661</v>
      </c>
      <c r="AP912" s="140">
        <v>374.71735368291752</v>
      </c>
      <c r="AQ912" t="s">
        <v>325</v>
      </c>
      <c r="AR912">
        <f t="shared" si="52"/>
        <v>4.8813386259591285</v>
      </c>
      <c r="AS912">
        <f t="shared" si="53"/>
        <v>1.3321822791215501</v>
      </c>
      <c r="AT912">
        <v>0.1</v>
      </c>
      <c r="AU912" s="140">
        <v>1</v>
      </c>
      <c r="AV912">
        <v>0.2</v>
      </c>
      <c r="AW912" s="140">
        <v>0.1</v>
      </c>
      <c r="AX912">
        <v>0.1660253863367992</v>
      </c>
      <c r="AY912">
        <v>0.08</v>
      </c>
      <c r="AZ912" s="209">
        <v>374.71735368291752</v>
      </c>
      <c r="BA912" s="140">
        <v>0.1660253863367992</v>
      </c>
      <c r="BB912" s="253">
        <v>12.416268935557422</v>
      </c>
      <c r="BC912" s="245">
        <v>34.902600673905951</v>
      </c>
      <c r="BD912" s="210">
        <v>13908.209291130073</v>
      </c>
      <c r="BE912" s="245">
        <v>14.689449546073314</v>
      </c>
      <c r="BF912" s="140">
        <v>611446.8017641732</v>
      </c>
      <c r="BG912" t="s">
        <v>389</v>
      </c>
      <c r="BH912" s="140">
        <v>1.8460388452250662E-6</v>
      </c>
      <c r="BI912" s="140">
        <v>1339082.0929113007</v>
      </c>
      <c r="BJ912">
        <f t="shared" si="54"/>
        <v>0.45661636803373695</v>
      </c>
    </row>
    <row r="913" spans="1:62" x14ac:dyDescent="0.3">
      <c r="A913">
        <v>-0.1</v>
      </c>
      <c r="B913" s="146">
        <v>1000</v>
      </c>
      <c r="C913" s="146">
        <v>25</v>
      </c>
      <c r="D913" s="146">
        <v>400</v>
      </c>
      <c r="E913" s="252">
        <v>18.322785492549187</v>
      </c>
      <c r="F913" s="146">
        <v>5.4168433522088986</v>
      </c>
      <c r="G913" s="146">
        <v>21.733613186777365</v>
      </c>
      <c r="H913" s="146">
        <v>5.4233237566037857</v>
      </c>
      <c r="I913" s="146"/>
      <c r="J913" s="146">
        <v>0.18713436017619497</v>
      </c>
      <c r="K913" s="146">
        <v>0.08</v>
      </c>
      <c r="L913" s="146">
        <v>110.06927514228686</v>
      </c>
      <c r="M913" s="146">
        <v>61.482837613538983</v>
      </c>
      <c r="N913" s="146">
        <v>1.6039982857813371</v>
      </c>
      <c r="O913" s="146"/>
      <c r="P913" s="146"/>
      <c r="Q913" s="146"/>
      <c r="R913" s="146"/>
      <c r="S913" s="146"/>
      <c r="T913" s="146"/>
      <c r="U913" s="146"/>
      <c r="V913" s="146"/>
      <c r="W913" s="146"/>
      <c r="X913" s="146"/>
      <c r="Y913" s="146"/>
      <c r="Z913" s="146">
        <v>0.29575927194613932</v>
      </c>
      <c r="AA913" s="146"/>
      <c r="AB913" s="146"/>
      <c r="AC913" s="146"/>
      <c r="AD913" s="146"/>
      <c r="AE913" s="146"/>
      <c r="AF913" s="146"/>
      <c r="AG913" s="146"/>
      <c r="AH913" s="146"/>
      <c r="AI913" s="146"/>
      <c r="AJ913" s="146"/>
      <c r="AK913" s="146"/>
      <c r="AL913" s="146">
        <v>1090.2483835548735</v>
      </c>
      <c r="AM913" s="146">
        <v>0.24923804917557299</v>
      </c>
      <c r="AN913" s="146">
        <v>0.27695888575692607</v>
      </c>
      <c r="AO913" s="146">
        <v>333.84294046940147</v>
      </c>
      <c r="AP913" s="146">
        <v>288.24924066420539</v>
      </c>
      <c r="AQ913" t="s">
        <v>325</v>
      </c>
      <c r="AR913">
        <f t="shared" si="52"/>
        <v>4.8813386259591285</v>
      </c>
      <c r="AS913">
        <f t="shared" si="53"/>
        <v>1.3321822791215501</v>
      </c>
      <c r="AT913">
        <v>0.1</v>
      </c>
      <c r="AU913">
        <v>1</v>
      </c>
      <c r="AV913">
        <v>0.2</v>
      </c>
      <c r="AW913" s="146">
        <v>3</v>
      </c>
      <c r="AX913">
        <v>0.13106316036395219</v>
      </c>
      <c r="AY913">
        <v>0.08</v>
      </c>
      <c r="AZ913" s="209">
        <v>288.24924066420539</v>
      </c>
      <c r="BA913">
        <v>0.13106316036395219</v>
      </c>
      <c r="BB913" s="249">
        <v>58.749435012659667</v>
      </c>
      <c r="BC913" s="243">
        <v>204.94744055319271</v>
      </c>
      <c r="BD913" s="209">
        <v>109739.39280165172</v>
      </c>
      <c r="BE913" s="243">
        <v>76.014966696298686</v>
      </c>
      <c r="BF913">
        <v>346730.03301001852</v>
      </c>
      <c r="BG913" t="s">
        <v>390</v>
      </c>
      <c r="BH913">
        <v>6.6684291703027763E-6</v>
      </c>
      <c r="BI913">
        <v>2297393.9280165173</v>
      </c>
      <c r="BJ913">
        <f t="shared" si="54"/>
        <v>0.15092319553110861</v>
      </c>
    </row>
    <row r="914" spans="1:62" s="140" customFormat="1" x14ac:dyDescent="0.3">
      <c r="A914">
        <v>-0.2</v>
      </c>
      <c r="B914" s="146">
        <v>1000</v>
      </c>
      <c r="C914" s="146">
        <v>25</v>
      </c>
      <c r="D914" s="146">
        <v>400</v>
      </c>
      <c r="E914" s="252">
        <v>18.201518189229688</v>
      </c>
      <c r="F914" s="146">
        <v>5.5141181478788495</v>
      </c>
      <c r="G914" s="146">
        <v>21.663820211069513</v>
      </c>
      <c r="H914" s="146">
        <v>5.4308810572103159</v>
      </c>
      <c r="I914" s="146"/>
      <c r="J914" s="146">
        <v>0.18782791251068967</v>
      </c>
      <c r="K914" s="146">
        <v>0.08</v>
      </c>
      <c r="L914" s="146">
        <v>110.23257064578758</v>
      </c>
      <c r="M914" s="146">
        <v>61.574051723123851</v>
      </c>
      <c r="N914" s="146">
        <v>1.5977424519410031</v>
      </c>
      <c r="O914" s="146"/>
      <c r="P914" s="146"/>
      <c r="Q914" s="146"/>
      <c r="R914" s="146"/>
      <c r="S914" s="146"/>
      <c r="T914" s="146"/>
      <c r="U914" s="146"/>
      <c r="V914" s="146"/>
      <c r="W914" s="146"/>
      <c r="X914" s="146"/>
      <c r="Y914" s="146"/>
      <c r="Z914" s="146">
        <v>0.29419581005548967</v>
      </c>
      <c r="AA914" s="146"/>
      <c r="AB914" s="146"/>
      <c r="AC914" s="146"/>
      <c r="AD914" s="146"/>
      <c r="AE914" s="146"/>
      <c r="AF914" s="146"/>
      <c r="AG914" s="146"/>
      <c r="AH914" s="146"/>
      <c r="AI914" s="146"/>
      <c r="AJ914" s="146"/>
      <c r="AK914" s="146"/>
      <c r="AL914" s="146">
        <v>1079.6882390675389</v>
      </c>
      <c r="AM914" s="146">
        <v>0.25453119967554538</v>
      </c>
      <c r="AN914" s="146">
        <v>0.24632888935790287</v>
      </c>
      <c r="AO914" s="146">
        <v>326.10887729541196</v>
      </c>
      <c r="AP914" s="146">
        <v>280.8170130970372</v>
      </c>
      <c r="AQ914" t="s">
        <v>325</v>
      </c>
      <c r="AR914">
        <f t="shared" si="52"/>
        <v>4.8813386259591285</v>
      </c>
      <c r="AS914">
        <f t="shared" si="53"/>
        <v>1.3321822791215501</v>
      </c>
      <c r="AT914">
        <v>0.1</v>
      </c>
      <c r="AU914">
        <v>1</v>
      </c>
      <c r="AV914">
        <v>0.2</v>
      </c>
      <c r="AW914" s="146">
        <v>3</v>
      </c>
      <c r="AX914">
        <v>0.13116442832909705</v>
      </c>
      <c r="AY914">
        <v>0.08</v>
      </c>
      <c r="AZ914" s="209">
        <v>280.8170130970372</v>
      </c>
      <c r="BA914" s="140">
        <v>0.13116442832909705</v>
      </c>
      <c r="BB914" s="253">
        <v>59.3371343022866</v>
      </c>
      <c r="BC914" s="245">
        <v>205.43477051169822</v>
      </c>
      <c r="BD914" s="210">
        <v>110375.51586257503</v>
      </c>
      <c r="BE914" s="245">
        <v>76.662408648462744</v>
      </c>
      <c r="BF914" s="140">
        <v>345243.86336657824</v>
      </c>
      <c r="BG914" t="s">
        <v>390</v>
      </c>
      <c r="BH914" s="140">
        <v>6.6102721958564504E-6</v>
      </c>
      <c r="BI914" s="140">
        <v>2303755.1586257503</v>
      </c>
      <c r="BJ914">
        <f t="shared" si="54"/>
        <v>0.14986135226823546</v>
      </c>
    </row>
    <row r="915" spans="1:62" x14ac:dyDescent="0.3">
      <c r="A915">
        <v>-0.3</v>
      </c>
      <c r="B915" s="146">
        <v>1000</v>
      </c>
      <c r="C915" s="146">
        <v>25</v>
      </c>
      <c r="D915" s="146">
        <v>400</v>
      </c>
      <c r="E915" s="252">
        <v>18.032768170998448</v>
      </c>
      <c r="F915" s="146">
        <v>5.6355714750820347</v>
      </c>
      <c r="G915" s="146">
        <v>21.558922274992476</v>
      </c>
      <c r="H915" s="146">
        <v>5.4391105400613764</v>
      </c>
      <c r="I915" s="146"/>
      <c r="J915" s="146">
        <v>0.18866319504160736</v>
      </c>
      <c r="K915" s="146">
        <v>0.08</v>
      </c>
      <c r="L915" s="146">
        <v>110.41309375707483</v>
      </c>
      <c r="M915" s="146">
        <v>61.67488888337968</v>
      </c>
      <c r="N915" s="146">
        <v>1.5909976404447352</v>
      </c>
      <c r="O915" s="146"/>
      <c r="P915" s="146"/>
      <c r="Q915" s="146"/>
      <c r="R915" s="146"/>
      <c r="S915" s="146"/>
      <c r="T915" s="146"/>
      <c r="U915" s="146"/>
      <c r="V915" s="146"/>
      <c r="W915" s="146"/>
      <c r="X915" s="146"/>
      <c r="Y915" s="146"/>
      <c r="Z915" s="146">
        <v>0.29251062811214384</v>
      </c>
      <c r="AA915" s="146"/>
      <c r="AB915" s="146"/>
      <c r="AC915" s="146"/>
      <c r="AD915" s="146"/>
      <c r="AE915" s="146"/>
      <c r="AF915" s="146"/>
      <c r="AG915" s="146"/>
      <c r="AH915" s="146"/>
      <c r="AI915" s="146"/>
      <c r="AJ915" s="146"/>
      <c r="AK915" s="146"/>
      <c r="AL915" s="146">
        <v>1067.0876039407965</v>
      </c>
      <c r="AM915" s="146">
        <v>0.26140320945537626</v>
      </c>
      <c r="AN915" s="146">
        <v>0.21586009194300068</v>
      </c>
      <c r="AO915" s="146">
        <v>316.46085198666492</v>
      </c>
      <c r="AP915" s="146">
        <v>271.58878371842832</v>
      </c>
      <c r="AQ915" t="s">
        <v>325</v>
      </c>
      <c r="AR915">
        <f t="shared" si="52"/>
        <v>4.8813386259591285</v>
      </c>
      <c r="AS915">
        <f t="shared" si="53"/>
        <v>1.3321822791215501</v>
      </c>
      <c r="AT915">
        <v>0.1</v>
      </c>
      <c r="AU915">
        <v>1</v>
      </c>
      <c r="AV915">
        <v>0.2</v>
      </c>
      <c r="AW915" s="146">
        <v>3</v>
      </c>
      <c r="AX915">
        <v>0.13128467113496498</v>
      </c>
      <c r="AY915">
        <v>0.08</v>
      </c>
      <c r="AZ915" s="209">
        <v>271.58878371842832</v>
      </c>
      <c r="BA915">
        <v>0.13128467113496498</v>
      </c>
      <c r="BB915" s="249">
        <v>60.053351548148385</v>
      </c>
      <c r="BC915" s="243">
        <v>205.9748084439108</v>
      </c>
      <c r="BD915" s="209">
        <v>111076.00575695843</v>
      </c>
      <c r="BE915" s="243">
        <v>77.372538137293589</v>
      </c>
      <c r="BF915">
        <v>342772.19741291314</v>
      </c>
      <c r="BG915" t="s">
        <v>390</v>
      </c>
      <c r="BH915">
        <v>6.5354778818483374E-6</v>
      </c>
      <c r="BI915">
        <v>2310760.0575695843</v>
      </c>
      <c r="BJ915">
        <f t="shared" si="54"/>
        <v>0.14833742529435737</v>
      </c>
    </row>
    <row r="916" spans="1:62" x14ac:dyDescent="0.3">
      <c r="A916">
        <v>-0.4</v>
      </c>
      <c r="B916" s="146">
        <v>1000</v>
      </c>
      <c r="C916" s="146">
        <v>25</v>
      </c>
      <c r="D916" s="146">
        <v>400</v>
      </c>
      <c r="E916" s="252">
        <v>17.805494428747267</v>
      </c>
      <c r="F916" s="146">
        <v>5.8021495813924497</v>
      </c>
      <c r="G916" s="146">
        <v>21.419324922381112</v>
      </c>
      <c r="H916" s="146">
        <v>5.45071623718297</v>
      </c>
      <c r="I916" s="146"/>
      <c r="J916" s="146">
        <v>0.1898336789885918</v>
      </c>
      <c r="K916" s="146">
        <v>0.08</v>
      </c>
      <c r="L916" s="146">
        <v>110.66762400247046</v>
      </c>
      <c r="M916" s="146">
        <v>61.817065178491674</v>
      </c>
      <c r="N916" s="146">
        <v>1.5811963110608582</v>
      </c>
      <c r="O916" s="146"/>
      <c r="P916" s="146"/>
      <c r="Q916" s="146"/>
      <c r="R916" s="146"/>
      <c r="S916" s="146"/>
      <c r="T916" s="146"/>
      <c r="U916" s="146"/>
      <c r="V916" s="146"/>
      <c r="W916" s="146"/>
      <c r="X916" s="146"/>
      <c r="Y916" s="146"/>
      <c r="Z916" s="146">
        <v>0.29008964001363047</v>
      </c>
      <c r="AA916" s="146"/>
      <c r="AB916" s="146"/>
      <c r="AC916" s="146"/>
      <c r="AD916" s="146"/>
      <c r="AE916" s="146"/>
      <c r="AF916" s="146"/>
      <c r="AG916" s="146"/>
      <c r="AH916" s="146"/>
      <c r="AI916" s="146"/>
      <c r="AJ916" s="146"/>
      <c r="AK916" s="146"/>
      <c r="AL916" s="146">
        <v>1050.2345025628219</v>
      </c>
      <c r="AM916" s="146">
        <v>0.27088386783515139</v>
      </c>
      <c r="AN916" s="146">
        <v>0.18536343724470017</v>
      </c>
      <c r="AO916" s="146">
        <v>303.94279101955772</v>
      </c>
      <c r="AP916" s="146">
        <v>259.63634703239347</v>
      </c>
      <c r="AQ916" t="s">
        <v>325</v>
      </c>
      <c r="AR916">
        <f t="shared" si="52"/>
        <v>4.8813386259591285</v>
      </c>
      <c r="AS916">
        <f t="shared" si="53"/>
        <v>1.3321822791215501</v>
      </c>
      <c r="AT916">
        <v>0.1</v>
      </c>
      <c r="AU916">
        <v>1</v>
      </c>
      <c r="AV916">
        <v>0.2</v>
      </c>
      <c r="AW916" s="146">
        <v>3</v>
      </c>
      <c r="AX916">
        <v>0.13146862069262985</v>
      </c>
      <c r="AY916">
        <v>0.08</v>
      </c>
      <c r="AZ916" s="209">
        <v>259.63634703239347</v>
      </c>
      <c r="BA916">
        <v>0.13146862069262985</v>
      </c>
      <c r="BB916" s="249">
        <v>61.038853745412979</v>
      </c>
      <c r="BC916" s="243">
        <v>206.73856330291758</v>
      </c>
      <c r="BD916" s="209">
        <v>112058.71281015732</v>
      </c>
      <c r="BE916" s="243">
        <v>78.363717872131176</v>
      </c>
      <c r="BF916">
        <v>339472.18430757383</v>
      </c>
      <c r="BG916" t="s">
        <v>390</v>
      </c>
      <c r="BH916">
        <v>6.4340904481892543E-6</v>
      </c>
      <c r="BI916">
        <v>2320587.1281015733</v>
      </c>
      <c r="BJ916">
        <f t="shared" si="54"/>
        <v>0.14628719611372201</v>
      </c>
    </row>
    <row r="917" spans="1:62" x14ac:dyDescent="0.3">
      <c r="A917">
        <v>-0.5</v>
      </c>
      <c r="B917" s="146">
        <v>1000</v>
      </c>
      <c r="C917" s="146">
        <v>25</v>
      </c>
      <c r="D917" s="146">
        <v>400</v>
      </c>
      <c r="E917" s="252">
        <v>17.489554553686975</v>
      </c>
      <c r="F917" s="146">
        <v>6.0461287532159576</v>
      </c>
      <c r="G917" s="146">
        <v>21.232785355855313</v>
      </c>
      <c r="H917" s="146">
        <v>5.4707436696311342</v>
      </c>
      <c r="I917" s="146"/>
      <c r="J917" s="146">
        <v>0.19030180901533056</v>
      </c>
      <c r="K917" s="146">
        <v>0.08</v>
      </c>
      <c r="L917" s="146">
        <v>111.10241684469744</v>
      </c>
      <c r="M917" s="146">
        <v>62.059933114885496</v>
      </c>
      <c r="N917" s="146">
        <v>1.585639793533451</v>
      </c>
      <c r="O917" s="146"/>
      <c r="P917" s="146"/>
      <c r="Q917" s="146"/>
      <c r="R917" s="146"/>
      <c r="S917" s="146"/>
      <c r="T917" s="146"/>
      <c r="U917" s="146"/>
      <c r="V917" s="146"/>
      <c r="W917" s="146"/>
      <c r="X917" s="146"/>
      <c r="Y917" s="146"/>
      <c r="Z917" s="146">
        <v>0.28983989915951647</v>
      </c>
      <c r="AA917" s="146"/>
      <c r="AB917" s="146"/>
      <c r="AC917" s="146"/>
      <c r="AD917" s="146"/>
      <c r="AE917" s="146"/>
      <c r="AF917" s="146"/>
      <c r="AG917" s="146"/>
      <c r="AH917" s="146"/>
      <c r="AI917" s="146"/>
      <c r="AJ917" s="146"/>
      <c r="AK917" s="146"/>
      <c r="AL917" s="146">
        <v>1036.265150854467</v>
      </c>
      <c r="AM917" s="146">
        <v>0.28475438581818618</v>
      </c>
      <c r="AN917" s="146">
        <v>0.15472771151692918</v>
      </c>
      <c r="AO917" s="146">
        <v>286.96559664573471</v>
      </c>
      <c r="AP917" s="146">
        <v>243.44525408774211</v>
      </c>
      <c r="AQ917" t="s">
        <v>325</v>
      </c>
      <c r="AR917">
        <f t="shared" si="52"/>
        <v>4.8813386259591285</v>
      </c>
      <c r="AS917">
        <f t="shared" si="53"/>
        <v>1.3321822791215501</v>
      </c>
      <c r="AT917">
        <v>0.1</v>
      </c>
      <c r="AU917">
        <v>1</v>
      </c>
      <c r="AV917">
        <v>0.2</v>
      </c>
      <c r="AW917" s="146">
        <v>3</v>
      </c>
      <c r="AX917">
        <v>0.13125131961991618</v>
      </c>
      <c r="AY917">
        <v>0.08</v>
      </c>
      <c r="AZ917" s="209">
        <v>243.44525408774211</v>
      </c>
      <c r="BA917">
        <v>0.13125131961991618</v>
      </c>
      <c r="BB917" s="249">
        <v>62.509289333788104</v>
      </c>
      <c r="BC917" s="243">
        <v>208.0495628290943</v>
      </c>
      <c r="BD917" s="209">
        <v>113715.27503803137</v>
      </c>
      <c r="BE917" s="243">
        <v>80.017007395048438</v>
      </c>
      <c r="BF917">
        <v>335334.20198952168</v>
      </c>
      <c r="BG917" t="s">
        <v>390</v>
      </c>
      <c r="BH917">
        <v>6.2857436419119081E-6</v>
      </c>
      <c r="BI917">
        <v>2337152.750380314</v>
      </c>
      <c r="BJ917">
        <f t="shared" si="54"/>
        <v>0.14347979691740487</v>
      </c>
    </row>
    <row r="918" spans="1:62" x14ac:dyDescent="0.3">
      <c r="A918">
        <v>-0.6</v>
      </c>
      <c r="B918" s="146">
        <v>1000</v>
      </c>
      <c r="C918" s="146">
        <v>25</v>
      </c>
      <c r="D918" s="146">
        <v>400</v>
      </c>
      <c r="E918" s="252">
        <v>16.973624817573199</v>
      </c>
      <c r="F918" s="146">
        <v>6.4104139040121906</v>
      </c>
      <c r="G918" s="146">
        <v>20.908825105559206</v>
      </c>
      <c r="H918" s="146">
        <v>5.4979398118490455</v>
      </c>
      <c r="I918" s="146"/>
      <c r="J918" s="146">
        <v>0.1933915554022744</v>
      </c>
      <c r="K918" s="146">
        <v>0.08</v>
      </c>
      <c r="L918" s="146">
        <v>111.70191511665331</v>
      </c>
      <c r="M918" s="146">
        <v>62.394802721836328</v>
      </c>
      <c r="N918" s="146">
        <v>1.5578666799831096</v>
      </c>
      <c r="O918" s="146"/>
      <c r="P918" s="146"/>
      <c r="Q918" s="146"/>
      <c r="R918" s="146"/>
      <c r="S918" s="146"/>
      <c r="T918" s="146"/>
      <c r="U918" s="146"/>
      <c r="V918" s="146"/>
      <c r="W918" s="146"/>
      <c r="X918" s="146"/>
      <c r="Y918" s="146"/>
      <c r="Z918" s="146">
        <v>0.28335462615025864</v>
      </c>
      <c r="AA918" s="146"/>
      <c r="AB918" s="146"/>
      <c r="AC918" s="146"/>
      <c r="AD918" s="146"/>
      <c r="AE918" s="146"/>
      <c r="AF918" s="146"/>
      <c r="AG918" s="146"/>
      <c r="AH918" s="146"/>
      <c r="AI918" s="146"/>
      <c r="AJ918" s="146"/>
      <c r="AK918" s="146"/>
      <c r="AL918" s="146">
        <v>1000.0573825711115</v>
      </c>
      <c r="AM918" s="146">
        <v>0.30658891026391527</v>
      </c>
      <c r="AN918" s="146">
        <v>0.12422192601811548</v>
      </c>
      <c r="AO918" s="146">
        <v>263.36047619244039</v>
      </c>
      <c r="AP918" s="146">
        <v>221.12404257955714</v>
      </c>
      <c r="AQ918" t="s">
        <v>325</v>
      </c>
      <c r="AR918">
        <f t="shared" si="52"/>
        <v>4.8813386259591285</v>
      </c>
      <c r="AS918">
        <f t="shared" si="53"/>
        <v>1.3321822791215501</v>
      </c>
      <c r="AT918">
        <v>0.1</v>
      </c>
      <c r="AU918">
        <v>1</v>
      </c>
      <c r="AV918">
        <v>0.2</v>
      </c>
      <c r="AW918" s="146">
        <v>3</v>
      </c>
      <c r="AX918">
        <v>0.13197621939039883</v>
      </c>
      <c r="AY918">
        <v>0.08</v>
      </c>
      <c r="AZ918" s="209">
        <v>221.12404257955714</v>
      </c>
      <c r="BA918">
        <v>0.13197621939039883</v>
      </c>
      <c r="BB918" s="249">
        <v>64.635748879341406</v>
      </c>
      <c r="BC918" s="243">
        <v>209.8704671140687</v>
      </c>
      <c r="BD918" s="209">
        <v>115893.45368424842</v>
      </c>
      <c r="BE918" s="243">
        <v>82.126867277896892</v>
      </c>
      <c r="BF918">
        <v>327340.27374909952</v>
      </c>
      <c r="BG918" t="s">
        <v>390</v>
      </c>
      <c r="BH918">
        <v>6.0617815410526016E-6</v>
      </c>
      <c r="BI918">
        <v>2358934.536842484</v>
      </c>
      <c r="BJ918">
        <f t="shared" si="54"/>
        <v>0.1387661542262448</v>
      </c>
    </row>
    <row r="919" spans="1:62" x14ac:dyDescent="0.3">
      <c r="A919">
        <v>-0.7</v>
      </c>
      <c r="B919" s="146">
        <v>1000</v>
      </c>
      <c r="C919" s="146">
        <v>25</v>
      </c>
      <c r="D919" s="146">
        <v>400</v>
      </c>
      <c r="E919" s="252">
        <v>16.101975467093165</v>
      </c>
      <c r="F919" s="146">
        <v>7.0524266331693273</v>
      </c>
      <c r="G919" s="146">
        <v>20.376347699667733</v>
      </c>
      <c r="H919" s="146">
        <v>5.5488147466984472</v>
      </c>
      <c r="I919" s="146"/>
      <c r="J919" s="146">
        <v>0.19914537275746394</v>
      </c>
      <c r="K919" s="146">
        <v>0.08</v>
      </c>
      <c r="L919" s="146">
        <v>112.82814631685997</v>
      </c>
      <c r="M919" s="146">
        <v>63.023896444022604</v>
      </c>
      <c r="N919" s="146">
        <v>1.5052222657560836</v>
      </c>
      <c r="O919" s="146"/>
      <c r="P919" s="146"/>
      <c r="Q919" s="146"/>
      <c r="R919" s="146"/>
      <c r="S919" s="146"/>
      <c r="T919" s="146"/>
      <c r="U919" s="146"/>
      <c r="V919" s="146"/>
      <c r="W919" s="146"/>
      <c r="X919" s="146"/>
      <c r="Y919" s="146"/>
      <c r="Z919" s="146">
        <v>0.27126915106540422</v>
      </c>
      <c r="AA919" s="146"/>
      <c r="AB919" s="146"/>
      <c r="AC919" s="146"/>
      <c r="AD919" s="146"/>
      <c r="AE919" s="146"/>
      <c r="AF919" s="146"/>
      <c r="AG919" s="146"/>
      <c r="AH919" s="146"/>
      <c r="AI919" s="146"/>
      <c r="AJ919" s="146"/>
      <c r="AK919" s="146"/>
      <c r="AL919" s="146">
        <v>940.53731757418154</v>
      </c>
      <c r="AM919" s="146">
        <v>0.3461084752339757</v>
      </c>
      <c r="AN919" s="146">
        <v>9.3612675199225448E-2</v>
      </c>
      <c r="AO919" s="146">
        <v>227.99364046775588</v>
      </c>
      <c r="AP919" s="146">
        <v>187.92618469613927</v>
      </c>
      <c r="AQ919" t="s">
        <v>325</v>
      </c>
      <c r="AR919">
        <f t="shared" si="52"/>
        <v>4.8813386259591285</v>
      </c>
      <c r="AS919">
        <f t="shared" si="53"/>
        <v>1.3321822791215501</v>
      </c>
      <c r="AT919">
        <v>0.1</v>
      </c>
      <c r="AU919">
        <v>1</v>
      </c>
      <c r="AV919">
        <v>0.2</v>
      </c>
      <c r="AW919" s="146">
        <v>3</v>
      </c>
      <c r="AX919">
        <v>0.13344213740437</v>
      </c>
      <c r="AY919">
        <v>0.08</v>
      </c>
      <c r="AZ919" s="209">
        <v>187.92618469613927</v>
      </c>
      <c r="BA919">
        <v>0.13344213740437</v>
      </c>
      <c r="BB919" s="249">
        <v>68.40473760848414</v>
      </c>
      <c r="BC919" s="243">
        <v>213.33376154386707</v>
      </c>
      <c r="BD919" s="209">
        <v>119905.74357245848</v>
      </c>
      <c r="BE919" s="243">
        <v>85.929804852094932</v>
      </c>
      <c r="BF919">
        <v>313791.1297953343</v>
      </c>
      <c r="BG919" t="s">
        <v>390</v>
      </c>
      <c r="BH919">
        <v>5.6814707939527469E-6</v>
      </c>
      <c r="BI919">
        <v>2399057.4357245849</v>
      </c>
      <c r="BJ919">
        <f t="shared" si="54"/>
        <v>0.13079767292047356</v>
      </c>
    </row>
    <row r="920" spans="1:62" x14ac:dyDescent="0.3">
      <c r="A920">
        <v>-0.8</v>
      </c>
      <c r="B920" s="146">
        <v>1000</v>
      </c>
      <c r="C920" s="146">
        <v>25</v>
      </c>
      <c r="D920" s="146">
        <v>400</v>
      </c>
      <c r="E920" s="252">
        <v>14.328543908476465</v>
      </c>
      <c r="F920" s="146">
        <v>8.3361145966203658</v>
      </c>
      <c r="G920" s="146">
        <v>19.27946061777039</v>
      </c>
      <c r="H920" s="146">
        <v>5.6438261215515713</v>
      </c>
      <c r="I920" s="146"/>
      <c r="J920" s="146">
        <v>0.21463528443920893</v>
      </c>
      <c r="K920" s="146">
        <v>0.08</v>
      </c>
      <c r="L920" s="146">
        <v>115.00875615150215</v>
      </c>
      <c r="M920" s="146">
        <v>64.241948259013483</v>
      </c>
      <c r="N920" s="146">
        <v>1.3631258641805335</v>
      </c>
      <c r="O920" s="146"/>
      <c r="P920" s="146"/>
      <c r="Q920" s="146"/>
      <c r="R920" s="146"/>
      <c r="S920" s="146"/>
      <c r="T920" s="146"/>
      <c r="U920" s="146"/>
      <c r="V920" s="146"/>
      <c r="W920" s="146"/>
      <c r="X920" s="146"/>
      <c r="Y920" s="146"/>
      <c r="Z920" s="146">
        <v>0.24152513469103651</v>
      </c>
      <c r="AA920" s="146"/>
      <c r="AB920" s="146"/>
      <c r="AC920" s="146"/>
      <c r="AD920" s="146"/>
      <c r="AE920" s="146"/>
      <c r="AF920" s="146"/>
      <c r="AG920" s="146"/>
      <c r="AH920" s="146"/>
      <c r="AI920" s="146"/>
      <c r="AJ920" s="146"/>
      <c r="AK920" s="146"/>
      <c r="AL920" s="146">
        <v>818.20497242560157</v>
      </c>
      <c r="AM920" s="146">
        <v>0.43238318549932608</v>
      </c>
      <c r="AN920" s="146">
        <v>6.2926343049402339E-2</v>
      </c>
      <c r="AO920" s="146">
        <v>172.29657383351542</v>
      </c>
      <c r="AP920" s="146">
        <v>136.64204033533366</v>
      </c>
      <c r="AQ920" t="s">
        <v>325</v>
      </c>
      <c r="AR920">
        <f t="shared" si="52"/>
        <v>4.8813386259591285</v>
      </c>
      <c r="AS920">
        <f t="shared" si="53"/>
        <v>1.3321822791215501</v>
      </c>
      <c r="AT920">
        <v>0.1</v>
      </c>
      <c r="AU920">
        <v>1</v>
      </c>
      <c r="AV920">
        <v>0.2</v>
      </c>
      <c r="AW920" s="146">
        <v>3</v>
      </c>
      <c r="AX920">
        <v>0.13812007112010949</v>
      </c>
      <c r="AY920">
        <v>0.08</v>
      </c>
      <c r="AZ920" s="209">
        <v>136.64204033533366</v>
      </c>
      <c r="BA920">
        <v>0.13812007112010949</v>
      </c>
      <c r="BB920" s="249">
        <v>75.80411750137516</v>
      </c>
      <c r="BC920" s="243">
        <v>220.2032028821653</v>
      </c>
      <c r="BD920" s="209">
        <v>127541.52703262253</v>
      </c>
      <c r="BE920" s="243">
        <v>92.940561511331097</v>
      </c>
      <c r="BF920">
        <v>289577.95195199904</v>
      </c>
      <c r="BG920" t="s">
        <v>390</v>
      </c>
      <c r="BH920">
        <v>4.933252196258249E-6</v>
      </c>
      <c r="BI920">
        <v>2475415.2703262251</v>
      </c>
      <c r="BJ920">
        <f t="shared" si="54"/>
        <v>0.11698156484016385</v>
      </c>
    </row>
    <row r="921" spans="1:62" x14ac:dyDescent="0.3">
      <c r="A921">
        <v>-0.85</v>
      </c>
      <c r="B921" s="146">
        <v>1000</v>
      </c>
      <c r="C921" s="146">
        <v>25</v>
      </c>
      <c r="D921" s="146">
        <v>400</v>
      </c>
      <c r="E921" s="252">
        <v>9.9163003307440984</v>
      </c>
      <c r="F921" s="146">
        <v>4.8671780016971038</v>
      </c>
      <c r="G921" s="146">
        <v>12.782356340657557</v>
      </c>
      <c r="H921" s="146">
        <v>3.6403278910163346</v>
      </c>
      <c r="I921" s="146"/>
      <c r="J921" s="146">
        <v>0.22255549249640927</v>
      </c>
      <c r="K921" s="146">
        <v>0.08</v>
      </c>
      <c r="L921" s="146">
        <v>74.404322120367894</v>
      </c>
      <c r="M921" s="146">
        <v>41.560997369687797</v>
      </c>
      <c r="N921" s="146">
        <v>1.0348926070741928</v>
      </c>
      <c r="O921" s="146"/>
      <c r="P921" s="146"/>
      <c r="Q921" s="146"/>
      <c r="R921" s="146"/>
      <c r="S921" s="146"/>
      <c r="T921" s="146"/>
      <c r="U921" s="146"/>
      <c r="V921" s="146"/>
      <c r="W921" s="146"/>
      <c r="X921" s="146"/>
      <c r="Y921" s="146"/>
      <c r="Z921" s="146">
        <v>0.28428554736185141</v>
      </c>
      <c r="AA921" s="146"/>
      <c r="AB921" s="146"/>
      <c r="AC921" s="146"/>
      <c r="AD921" s="146"/>
      <c r="AE921" s="146"/>
      <c r="AF921" s="146"/>
      <c r="AG921" s="146"/>
      <c r="AH921" s="146"/>
      <c r="AI921" s="146"/>
      <c r="AJ921" s="146"/>
      <c r="AK921" s="146"/>
      <c r="AL921" s="146">
        <v>687.69498110467964</v>
      </c>
      <c r="AM921" s="146">
        <v>0.38077314322835748</v>
      </c>
      <c r="AN921" s="146">
        <v>4.8354324607970012E-2</v>
      </c>
      <c r="AO921" s="146">
        <v>194.9242304356446</v>
      </c>
      <c r="AP921" s="146">
        <v>170.24867756758323</v>
      </c>
      <c r="AQ921" t="s">
        <v>325</v>
      </c>
      <c r="AR921">
        <f t="shared" si="52"/>
        <v>4.8813386259591285</v>
      </c>
      <c r="AS921">
        <f t="shared" si="53"/>
        <v>1.3321822791215501</v>
      </c>
      <c r="AT921">
        <v>0.1</v>
      </c>
      <c r="AU921">
        <v>1</v>
      </c>
      <c r="AV921">
        <v>0.2</v>
      </c>
      <c r="AW921" s="146">
        <v>3</v>
      </c>
      <c r="AX921">
        <v>0.14347398194889052</v>
      </c>
      <c r="AY921">
        <v>0.08</v>
      </c>
      <c r="AZ921" s="209">
        <v>170.24867756758323</v>
      </c>
      <c r="BA921">
        <v>0.14347398194889052</v>
      </c>
      <c r="BB921" s="249">
        <v>46.031293848085937</v>
      </c>
      <c r="BC921" s="243">
        <v>118.3738552648645</v>
      </c>
      <c r="BD921" s="209">
        <v>62604.678729832121</v>
      </c>
      <c r="BE921" s="243">
        <v>54.612948361097821</v>
      </c>
      <c r="BF921">
        <v>660456.67423298245</v>
      </c>
      <c r="BG921" t="s">
        <v>390</v>
      </c>
      <c r="BH921">
        <v>3.6640956526901177E-6</v>
      </c>
      <c r="BI921">
        <v>1826046.7872983213</v>
      </c>
      <c r="BJ921">
        <f t="shared" si="54"/>
        <v>0.36168661111369632</v>
      </c>
    </row>
    <row r="922" spans="1:62" s="160" customFormat="1" ht="15" thickBot="1" x14ac:dyDescent="0.35">
      <c r="A922" s="160">
        <v>-0.87</v>
      </c>
      <c r="B922" s="160">
        <v>1000</v>
      </c>
      <c r="C922" s="160">
        <v>25</v>
      </c>
      <c r="D922" s="160">
        <v>400</v>
      </c>
      <c r="E922" s="250">
        <v>3.4966618651997816</v>
      </c>
      <c r="F922" s="160">
        <v>1.0838774544437864</v>
      </c>
      <c r="G922" s="160">
        <v>4.147943124105776</v>
      </c>
      <c r="H922" s="160">
        <v>1.0694804933540485</v>
      </c>
      <c r="J922" s="160">
        <v>0.24819727909721073</v>
      </c>
      <c r="K922" s="160">
        <v>0.08</v>
      </c>
      <c r="L922" s="160">
        <v>21.854271227698561</v>
      </c>
      <c r="M922" s="160">
        <v>12.207426707570043</v>
      </c>
      <c r="N922" s="160">
        <v>0.37363227666693932</v>
      </c>
      <c r="Z922" s="160">
        <v>0.34935866431296325</v>
      </c>
      <c r="AL922" s="160">
        <v>494.90543871038778</v>
      </c>
      <c r="AM922" s="160">
        <v>0.26130480144359536</v>
      </c>
      <c r="AN922" s="160">
        <v>4.2022260030327468E-2</v>
      </c>
      <c r="AO922" s="160">
        <v>316.79024729568948</v>
      </c>
      <c r="AP922" s="160">
        <v>308.08930037691835</v>
      </c>
      <c r="AQ922" s="160" t="s">
        <v>325</v>
      </c>
      <c r="AR922" s="160">
        <f t="shared" si="52"/>
        <v>4.8813386259591285</v>
      </c>
      <c r="AS922" s="160">
        <f t="shared" si="53"/>
        <v>1.3321822791215501</v>
      </c>
      <c r="AT922" s="160">
        <v>0.1</v>
      </c>
      <c r="AU922" s="160">
        <v>1</v>
      </c>
      <c r="AV922" s="160">
        <v>0.2</v>
      </c>
      <c r="AW922" s="160">
        <v>3</v>
      </c>
      <c r="AX922" s="160">
        <v>0.16903070277111232</v>
      </c>
      <c r="AY922" s="160">
        <v>0.08</v>
      </c>
      <c r="AZ922" s="248">
        <v>308.08930037691835</v>
      </c>
      <c r="BA922" s="160">
        <v>0.16903070277111232</v>
      </c>
      <c r="BB922" s="250">
        <v>11.641247701045771</v>
      </c>
      <c r="BC922" s="246">
        <v>30.013987699623673</v>
      </c>
      <c r="BD922" s="248">
        <v>12207.662156503686</v>
      </c>
      <c r="BE922" s="246">
        <v>13.723024974016807</v>
      </c>
      <c r="BF922" s="160">
        <v>835224.67896419356</v>
      </c>
      <c r="BG922" t="s">
        <v>390</v>
      </c>
      <c r="BH922" s="160">
        <v>1.240174512288868E-6</v>
      </c>
      <c r="BI922" s="160">
        <v>1322076.6215650369</v>
      </c>
      <c r="BJ922">
        <f t="shared" si="54"/>
        <v>0.63175209767757501</v>
      </c>
    </row>
    <row r="923" spans="1:62" x14ac:dyDescent="0.3">
      <c r="A923">
        <v>-0.1</v>
      </c>
      <c r="B923" s="146">
        <v>100</v>
      </c>
      <c r="C923" s="146">
        <v>25</v>
      </c>
      <c r="D923" s="146">
        <v>400</v>
      </c>
      <c r="E923" s="249">
        <v>3.1127853264087859</v>
      </c>
      <c r="F923">
        <v>0.38527353774737982</v>
      </c>
      <c r="G923">
        <v>3.5077545623580604</v>
      </c>
      <c r="H923">
        <v>4.2990905738047109</v>
      </c>
      <c r="J923">
        <v>0.91282781106501554</v>
      </c>
      <c r="K923">
        <v>0.36</v>
      </c>
      <c r="L923">
        <v>21.648702561148582</v>
      </c>
      <c r="M923">
        <v>7.9851771741941509</v>
      </c>
      <c r="N923">
        <v>1.2812743056337972</v>
      </c>
      <c r="Z923">
        <v>0.29803380125110152</v>
      </c>
      <c r="AL923">
        <v>1015.1933127576999</v>
      </c>
      <c r="AM923">
        <v>0.10983480482978339</v>
      </c>
      <c r="AN923">
        <v>0.17588531357922282</v>
      </c>
      <c r="AO923">
        <v>382.30218735683854</v>
      </c>
      <c r="AP923">
        <v>374.55615994080119</v>
      </c>
      <c r="AQ923" t="s">
        <v>303</v>
      </c>
      <c r="AR923">
        <f t="shared" ref="AR923:AR962" si="55">0.6*Jsat_t</f>
        <v>19.525354503836514</v>
      </c>
      <c r="AS923">
        <f t="shared" ref="AS923:AS962" si="56">0.2*Jatp</f>
        <v>5.3287291164862003</v>
      </c>
      <c r="AT923">
        <v>0.4</v>
      </c>
      <c r="AU923">
        <v>1</v>
      </c>
      <c r="AV923">
        <v>0.5</v>
      </c>
      <c r="AW923">
        <v>3</v>
      </c>
      <c r="AX923">
        <v>0.86965036907921511</v>
      </c>
      <c r="AY923">
        <v>0.36</v>
      </c>
      <c r="AZ923" s="209">
        <v>374.55615994080119</v>
      </c>
      <c r="BA923">
        <v>0.86965036907921511</v>
      </c>
      <c r="BB923" s="249">
        <v>6.0071717388907295</v>
      </c>
      <c r="BC923" s="243">
        <v>70.527856199167402</v>
      </c>
      <c r="BD923" s="209">
        <v>24011.837280475327</v>
      </c>
      <c r="BE923" s="243">
        <v>10.405130631066354</v>
      </c>
      <c r="BF923">
        <v>16643.022275217474</v>
      </c>
      <c r="BG923" t="s">
        <v>387</v>
      </c>
      <c r="BH923">
        <v>1.9314530939432928E-6</v>
      </c>
      <c r="BI923">
        <v>1440118.3728047532</v>
      </c>
      <c r="BJ923">
        <f t="shared" si="54"/>
        <v>1.1556704358131178E-2</v>
      </c>
    </row>
    <row r="924" spans="1:62" s="146" customFormat="1" x14ac:dyDescent="0.3">
      <c r="A924">
        <v>-0.1</v>
      </c>
      <c r="B924" s="146">
        <v>200</v>
      </c>
      <c r="C924" s="146">
        <v>25</v>
      </c>
      <c r="D924" s="146">
        <v>400</v>
      </c>
      <c r="E924" s="252">
        <v>5.9269083451859634</v>
      </c>
      <c r="F924" s="146">
        <v>0.58720245499125356</v>
      </c>
      <c r="G924" s="146">
        <v>6.5147314739042912</v>
      </c>
      <c r="H924" s="146">
        <v>7.9438022168865388</v>
      </c>
      <c r="J924" s="146">
        <v>0.97914980736513457</v>
      </c>
      <c r="K924" s="146">
        <v>0.36</v>
      </c>
      <c r="L924" s="146">
        <v>40.097426589458784</v>
      </c>
      <c r="M924" s="146">
        <v>14.790034397751192</v>
      </c>
      <c r="N924" s="146">
        <v>1.9458450248815504</v>
      </c>
      <c r="Z924" s="146">
        <v>0.24495134341904562</v>
      </c>
      <c r="AL924" s="146">
        <v>1328.4256107236745</v>
      </c>
      <c r="AM924" s="146">
        <v>9.0134560011165279E-2</v>
      </c>
      <c r="AN924" s="146">
        <v>0.19923291090809453</v>
      </c>
      <c r="AO924" s="146">
        <v>370.25135898395808</v>
      </c>
      <c r="AP924" s="146">
        <v>355.5030982828992</v>
      </c>
      <c r="AQ924" s="146" t="s">
        <v>303</v>
      </c>
      <c r="AR924" s="146">
        <f t="shared" si="55"/>
        <v>19.525354503836514</v>
      </c>
      <c r="AS924" s="146">
        <f t="shared" si="56"/>
        <v>5.3287291164862003</v>
      </c>
      <c r="AT924" s="146">
        <v>0.4</v>
      </c>
      <c r="AU924" s="146">
        <v>1</v>
      </c>
      <c r="AV924" s="146">
        <v>0.5</v>
      </c>
      <c r="AW924" s="146">
        <v>3</v>
      </c>
      <c r="AX924" s="146">
        <v>0.96972976039650027</v>
      </c>
      <c r="AY924" s="146">
        <v>0.36</v>
      </c>
      <c r="AZ924" s="209">
        <v>355.5030982828992</v>
      </c>
      <c r="BA924" s="146">
        <v>0.96972976039650027</v>
      </c>
      <c r="BB924" s="252">
        <v>10.066297555776655</v>
      </c>
      <c r="BC924" s="244">
        <v>102.57201908178224</v>
      </c>
      <c r="BD924" s="229">
        <v>37588.42311411933</v>
      </c>
      <c r="BE924" s="244">
        <v>15.1167414072982</v>
      </c>
      <c r="BF924" s="146">
        <v>47027.465258548458</v>
      </c>
      <c r="BG924" t="s">
        <v>387</v>
      </c>
      <c r="BH924" s="146">
        <v>3.438498759871846E-6</v>
      </c>
      <c r="BI924" s="146">
        <v>1575884.2311411933</v>
      </c>
      <c r="BJ924">
        <f t="shared" si="54"/>
        <v>2.9841954332199275E-2</v>
      </c>
    </row>
    <row r="925" spans="1:62" s="146" customFormat="1" x14ac:dyDescent="0.3">
      <c r="A925">
        <v>-0.1</v>
      </c>
      <c r="B925" s="146">
        <v>300</v>
      </c>
      <c r="C925" s="146">
        <v>25</v>
      </c>
      <c r="D925" s="146">
        <v>400</v>
      </c>
      <c r="E925" s="252">
        <v>8.419679782556706</v>
      </c>
      <c r="F925" s="146">
        <v>0.73134550660659448</v>
      </c>
      <c r="G925" s="146">
        <v>9.1463250371350693</v>
      </c>
      <c r="H925" s="146">
        <v>11.14743947839294</v>
      </c>
      <c r="J925" s="146">
        <v>0.99999999928676842</v>
      </c>
      <c r="K925" s="146">
        <v>0.36</v>
      </c>
      <c r="L925" s="146">
        <v>56.370634053560174</v>
      </c>
      <c r="M925" s="146">
        <v>20.792446986968919</v>
      </c>
      <c r="N925" s="146">
        <v>2.5472734485458641</v>
      </c>
      <c r="Z925" s="146">
        <v>0.228507492997225</v>
      </c>
      <c r="AL925" s="146">
        <v>1613.1112617619156</v>
      </c>
      <c r="AM925" s="146">
        <v>7.9960585660060465E-2</v>
      </c>
      <c r="AN925" s="146">
        <v>0.21275632536958566</v>
      </c>
      <c r="AO925" s="146">
        <v>360.42571346383886</v>
      </c>
      <c r="AP925" s="146">
        <v>339.47453748898471</v>
      </c>
      <c r="AQ925" s="146" t="s">
        <v>303</v>
      </c>
      <c r="AR925" s="146">
        <f t="shared" si="55"/>
        <v>19.525354503836514</v>
      </c>
      <c r="AS925" s="146">
        <f t="shared" si="56"/>
        <v>5.3287291164862003</v>
      </c>
      <c r="AT925" s="146">
        <v>0.4</v>
      </c>
      <c r="AU925" s="146">
        <v>1</v>
      </c>
      <c r="AV925" s="146">
        <v>0.5</v>
      </c>
      <c r="AW925" s="146">
        <v>3</v>
      </c>
      <c r="AX925" s="146">
        <v>0.99999999900000003</v>
      </c>
      <c r="AY925" s="146">
        <v>0.36</v>
      </c>
      <c r="AZ925" s="209">
        <v>339.47453748898471</v>
      </c>
      <c r="BA925" s="146">
        <v>0.99999999900000003</v>
      </c>
      <c r="BB925" s="252">
        <v>13.339489418327709</v>
      </c>
      <c r="BC925" s="244">
        <v>125.47029389754151</v>
      </c>
      <c r="BD925" s="229">
        <v>48297.335343803352</v>
      </c>
      <c r="BE925" s="244">
        <v>18.918706612485209</v>
      </c>
      <c r="BF925" s="146">
        <v>82494.580716114389</v>
      </c>
      <c r="BG925" t="s">
        <v>387</v>
      </c>
      <c r="BH925" s="146">
        <v>4.5472866254981593E-6</v>
      </c>
      <c r="BI925" s="146">
        <v>1682973.3534380335</v>
      </c>
      <c r="BJ925">
        <f t="shared" si="54"/>
        <v>4.9017163906720056E-2</v>
      </c>
    </row>
    <row r="926" spans="1:62" s="146" customFormat="1" x14ac:dyDescent="0.3">
      <c r="A926">
        <v>-0.1</v>
      </c>
      <c r="B926" s="146">
        <v>400</v>
      </c>
      <c r="C926" s="146">
        <v>25</v>
      </c>
      <c r="D926" s="146">
        <v>400</v>
      </c>
      <c r="E926" s="252">
        <v>10.647714075244435</v>
      </c>
      <c r="F926" s="146">
        <v>0.84210945662637737</v>
      </c>
      <c r="G926" s="146">
        <v>11.483386306192211</v>
      </c>
      <c r="H926" s="146">
        <v>14.001634930878495</v>
      </c>
      <c r="J926" s="146">
        <v>0.99999999926132332</v>
      </c>
      <c r="K926" s="146">
        <v>0.36</v>
      </c>
      <c r="L926" s="146">
        <v>70.910903468178105</v>
      </c>
      <c r="M926" s="146">
        <v>26.155661115311602</v>
      </c>
      <c r="N926" s="146">
        <v>3.1466121083970524</v>
      </c>
      <c r="Z926" s="146">
        <v>0.22473176339269307</v>
      </c>
      <c r="AL926" s="146">
        <v>1898.8476064002236</v>
      </c>
      <c r="AM926" s="146">
        <v>7.3332850970300012E-2</v>
      </c>
      <c r="AN926" s="146">
        <v>0.22199787814319641</v>
      </c>
      <c r="AO926" s="146">
        <v>352.0368655578938</v>
      </c>
      <c r="AP926" s="146">
        <v>325.5415522016973</v>
      </c>
      <c r="AQ926" s="146" t="s">
        <v>303</v>
      </c>
      <c r="AR926" s="146">
        <f t="shared" si="55"/>
        <v>19.525354503836514</v>
      </c>
      <c r="AS926" s="146">
        <f t="shared" si="56"/>
        <v>5.3287291164862003</v>
      </c>
      <c r="AT926" s="146">
        <v>0.4</v>
      </c>
      <c r="AU926" s="146">
        <v>1</v>
      </c>
      <c r="AV926" s="146">
        <v>0.5</v>
      </c>
      <c r="AW926" s="146">
        <v>3</v>
      </c>
      <c r="AX926" s="146">
        <v>0.99999999900000003</v>
      </c>
      <c r="AY926" s="146">
        <v>0.36</v>
      </c>
      <c r="AZ926" s="209">
        <v>325.5415522016973</v>
      </c>
      <c r="BA926" s="146">
        <v>0.99999999900000003</v>
      </c>
      <c r="BB926" s="252">
        <v>16.136644964104061</v>
      </c>
      <c r="BC926" s="244">
        <v>143.52232325672293</v>
      </c>
      <c r="BD926" s="229">
        <v>57372.778013640956</v>
      </c>
      <c r="BE926" s="244">
        <v>22.324677797111377</v>
      </c>
      <c r="BF926" s="146">
        <v>120441.86250030209</v>
      </c>
      <c r="BG926" t="s">
        <v>387</v>
      </c>
      <c r="BH926" s="146">
        <v>5.3916363742377158E-6</v>
      </c>
      <c r="BI926" s="146">
        <v>1773727.7801364097</v>
      </c>
      <c r="BJ926">
        <f t="shared" si="54"/>
        <v>6.7903239634122106E-2</v>
      </c>
    </row>
    <row r="927" spans="1:62" s="146" customFormat="1" x14ac:dyDescent="0.3">
      <c r="A927">
        <v>-0.1</v>
      </c>
      <c r="B927" s="146">
        <v>600</v>
      </c>
      <c r="C927" s="146">
        <v>25</v>
      </c>
      <c r="D927" s="146">
        <v>400</v>
      </c>
      <c r="E927" s="252">
        <v>14.434021629112133</v>
      </c>
      <c r="F927" s="146">
        <v>1.0106383306704902</v>
      </c>
      <c r="G927" s="146">
        <v>15.435772251597523</v>
      </c>
      <c r="H927" s="146">
        <v>18.8630874249736</v>
      </c>
      <c r="J927" s="146">
        <v>0.9999999992284081</v>
      </c>
      <c r="K927" s="146">
        <v>0.36</v>
      </c>
      <c r="L927" s="146">
        <v>95.769372590858993</v>
      </c>
      <c r="M927" s="146">
        <v>35.324768578595538</v>
      </c>
      <c r="N927" s="146">
        <v>4.1808500724984654</v>
      </c>
      <c r="Z927" s="146">
        <v>0.22164187538903468</v>
      </c>
      <c r="AL927" s="146">
        <v>2392.8175795946586</v>
      </c>
      <c r="AM927" s="146">
        <v>6.5473778324624754E-2</v>
      </c>
      <c r="AN927" s="146">
        <v>0.2339756607762116</v>
      </c>
      <c r="AO927" s="146">
        <v>338.30973024618277</v>
      </c>
      <c r="AP927" s="146">
        <v>302.39254334542466</v>
      </c>
      <c r="AQ927" s="146" t="s">
        <v>303</v>
      </c>
      <c r="AR927" s="146">
        <f t="shared" si="55"/>
        <v>19.525354503836514</v>
      </c>
      <c r="AS927" s="146">
        <f t="shared" si="56"/>
        <v>5.3287291164862003</v>
      </c>
      <c r="AT927" s="146">
        <v>0.4</v>
      </c>
      <c r="AU927" s="146">
        <v>1</v>
      </c>
      <c r="AV927" s="146">
        <v>0.5</v>
      </c>
      <c r="AW927" s="146">
        <v>3</v>
      </c>
      <c r="AX927" s="146">
        <v>0.99999999899999992</v>
      </c>
      <c r="AY927" s="146">
        <v>0.36</v>
      </c>
      <c r="AZ927" s="209">
        <v>302.39254334542466</v>
      </c>
      <c r="BA927" s="146">
        <v>0.99999999899999992</v>
      </c>
      <c r="BB927" s="252">
        <v>20.726834616043853</v>
      </c>
      <c r="BC927" s="244">
        <v>170.7565516988486</v>
      </c>
      <c r="BD927" s="229">
        <v>71853.339687414598</v>
      </c>
      <c r="BE927" s="244">
        <v>27.816031161210233</v>
      </c>
      <c r="BF927" s="146">
        <v>197686.9745741146</v>
      </c>
      <c r="BG927" t="s">
        <v>387</v>
      </c>
      <c r="BH927" s="146">
        <v>6.5770672190577447E-6</v>
      </c>
      <c r="BI927" s="146">
        <v>1918533.3968741461</v>
      </c>
      <c r="BJ927">
        <f t="shared" si="54"/>
        <v>0.1030406741400513</v>
      </c>
    </row>
    <row r="928" spans="1:62" s="146" customFormat="1" x14ac:dyDescent="0.3">
      <c r="A928">
        <v>-0.1</v>
      </c>
      <c r="B928" s="146">
        <v>800</v>
      </c>
      <c r="C928" s="146">
        <v>25</v>
      </c>
      <c r="D928" s="146">
        <v>400</v>
      </c>
      <c r="E928" s="252">
        <v>17.474906241996209</v>
      </c>
      <c r="F928" s="146">
        <v>1.1331318592964328</v>
      </c>
      <c r="G928" s="146">
        <v>18.59636008679939</v>
      </c>
      <c r="H928" s="146">
        <v>22.784822874940748</v>
      </c>
      <c r="J928" s="146">
        <v>0.99999999920793681</v>
      </c>
      <c r="K928" s="146">
        <v>0.36</v>
      </c>
      <c r="L928" s="146">
        <v>115.91832887759756</v>
      </c>
      <c r="M928" s="146">
        <v>42.756760651572868</v>
      </c>
      <c r="N928" s="146">
        <v>5.0324726813838225</v>
      </c>
      <c r="Z928" s="146">
        <v>0.22086951077063879</v>
      </c>
      <c r="AL928" s="146">
        <v>2800.4515342903996</v>
      </c>
      <c r="AM928" s="146">
        <v>6.0932991940760788E-2</v>
      </c>
      <c r="AN928" s="146">
        <v>0.24169696978314301</v>
      </c>
      <c r="AO928" s="146">
        <v>327.6991091047804</v>
      </c>
      <c r="AP928" s="146">
        <v>284.2151935984881</v>
      </c>
      <c r="AQ928" s="146" t="s">
        <v>303</v>
      </c>
      <c r="AR928" s="146">
        <f t="shared" si="55"/>
        <v>19.525354503836514</v>
      </c>
      <c r="AS928" s="146">
        <f t="shared" si="56"/>
        <v>5.3287291164862003</v>
      </c>
      <c r="AT928" s="146">
        <v>0.4</v>
      </c>
      <c r="AU928" s="146">
        <v>1</v>
      </c>
      <c r="AV928" s="146">
        <v>0.5</v>
      </c>
      <c r="AW928" s="146">
        <v>3</v>
      </c>
      <c r="AX928" s="146">
        <v>0.99999999900000003</v>
      </c>
      <c r="AY928" s="146">
        <v>0.36</v>
      </c>
      <c r="AZ928" s="209">
        <v>284.2151935984881</v>
      </c>
      <c r="BA928" s="146">
        <v>0.99999999900000003</v>
      </c>
      <c r="BB928" s="252">
        <v>24.313352379707847</v>
      </c>
      <c r="BC928" s="244">
        <v>189.95094346539</v>
      </c>
      <c r="BD928" s="229">
        <v>82616.779818575626</v>
      </c>
      <c r="BE928" s="244">
        <v>32.00422259659593</v>
      </c>
      <c r="BF928" s="146">
        <v>271087.62036884041</v>
      </c>
      <c r="BG928" t="s">
        <v>387</v>
      </c>
      <c r="BH928" s="146">
        <v>7.3517935644872587E-6</v>
      </c>
      <c r="BI928" s="146">
        <v>2026167.7981857562</v>
      </c>
      <c r="BJ928">
        <f t="shared" si="54"/>
        <v>0.13379327250762449</v>
      </c>
    </row>
    <row r="929" spans="1:62" s="146" customFormat="1" x14ac:dyDescent="0.3">
      <c r="A929">
        <v>-0.1</v>
      </c>
      <c r="B929" s="146">
        <v>1000</v>
      </c>
      <c r="C929" s="146">
        <v>25</v>
      </c>
      <c r="D929" s="146">
        <v>400</v>
      </c>
      <c r="E929" s="252">
        <v>19.899983593283565</v>
      </c>
      <c r="F929" s="146">
        <v>1.2241661932902814</v>
      </c>
      <c r="G929" s="146">
        <v>21.10896344403448</v>
      </c>
      <c r="H929" s="146">
        <v>25.927284175969614</v>
      </c>
      <c r="J929" s="146">
        <v>0.99999999919405802</v>
      </c>
      <c r="K929" s="146">
        <v>0.36</v>
      </c>
      <c r="L929" s="146">
        <v>132.13904742459562</v>
      </c>
      <c r="M929" s="146">
        <v>48.739812574645931</v>
      </c>
      <c r="N929" s="146">
        <v>5.728852212224524</v>
      </c>
      <c r="Z929" s="146">
        <v>0.22095843796606512</v>
      </c>
      <c r="AL929" s="146">
        <v>3134.4073389398295</v>
      </c>
      <c r="AM929" s="146">
        <v>5.7992719374206796E-2</v>
      </c>
      <c r="AN929" s="146">
        <v>0.24720318334614846</v>
      </c>
      <c r="AO929" s="146">
        <v>319.49948490178446</v>
      </c>
      <c r="AP929" s="146">
        <v>269.98123282756779</v>
      </c>
      <c r="AQ929" s="146" t="s">
        <v>303</v>
      </c>
      <c r="AR929" s="146">
        <f t="shared" si="55"/>
        <v>19.525354503836514</v>
      </c>
      <c r="AS929" s="146">
        <f t="shared" si="56"/>
        <v>5.3287291164862003</v>
      </c>
      <c r="AT929" s="146">
        <v>0.4</v>
      </c>
      <c r="AU929" s="146">
        <v>1</v>
      </c>
      <c r="AV929" s="146">
        <v>0.5</v>
      </c>
      <c r="AW929" s="146">
        <v>3</v>
      </c>
      <c r="AX929" s="146">
        <v>0.99999999900000014</v>
      </c>
      <c r="AY929" s="146">
        <v>0.36</v>
      </c>
      <c r="AZ929" s="209">
        <v>269.98123282756779</v>
      </c>
      <c r="BA929" s="146">
        <v>0.99999999900000014</v>
      </c>
      <c r="BB929" s="252">
        <v>27.125477073865444</v>
      </c>
      <c r="BC929" s="244">
        <v>203.54965483684657</v>
      </c>
      <c r="BD929" s="229">
        <v>90551.811156177297</v>
      </c>
      <c r="BE929" s="244">
        <v>35.20904680546294</v>
      </c>
      <c r="BF929" s="146">
        <v>336700.89849998464</v>
      </c>
      <c r="BG929" t="s">
        <v>387</v>
      </c>
      <c r="BH929" s="146">
        <v>7.8839828147999133E-6</v>
      </c>
      <c r="BI929" s="146">
        <v>2105518.1115617729</v>
      </c>
      <c r="BJ929">
        <f t="shared" si="54"/>
        <v>0.15991356077684651</v>
      </c>
    </row>
    <row r="930" spans="1:62" s="146" customFormat="1" x14ac:dyDescent="0.3">
      <c r="A930">
        <v>-0.1</v>
      </c>
      <c r="B930" s="146">
        <v>1300</v>
      </c>
      <c r="C930" s="146">
        <v>25</v>
      </c>
      <c r="D930" s="146">
        <v>400</v>
      </c>
      <c r="E930" s="252">
        <v>22.625230321258957</v>
      </c>
      <c r="F930" s="146">
        <v>1.3199288234875872</v>
      </c>
      <c r="G930" s="146">
        <v>23.923961507693338</v>
      </c>
      <c r="H930" s="146">
        <v>29.478462084412854</v>
      </c>
      <c r="J930" s="146">
        <v>0.99999999918021509</v>
      </c>
      <c r="K930" s="146">
        <v>0.36</v>
      </c>
      <c r="L930" s="146">
        <v>150.57301968090627</v>
      </c>
      <c r="M930" s="146">
        <v>55.539228570826083</v>
      </c>
      <c r="N930" s="146">
        <v>6.5338483829743446</v>
      </c>
      <c r="Z930" s="146">
        <v>0.22164821096380083</v>
      </c>
      <c r="AL930" s="146">
        <v>3521.209276705797</v>
      </c>
      <c r="AM930" s="146">
        <v>5.5171833605531073E-2</v>
      </c>
      <c r="AN930" s="146">
        <v>0.25303574824768327</v>
      </c>
      <c r="AO930" s="146">
        <v>310.58484629961328</v>
      </c>
      <c r="AP930" s="146">
        <v>254.28508521862472</v>
      </c>
      <c r="AQ930" s="146" t="s">
        <v>303</v>
      </c>
      <c r="AR930" s="146">
        <f t="shared" si="55"/>
        <v>19.525354503836514</v>
      </c>
      <c r="AS930" s="146">
        <f t="shared" si="56"/>
        <v>5.3287291164862003</v>
      </c>
      <c r="AT930" s="146">
        <v>0.4</v>
      </c>
      <c r="AU930" s="146">
        <v>1</v>
      </c>
      <c r="AV930" s="146">
        <v>0.5</v>
      </c>
      <c r="AW930" s="146">
        <v>3</v>
      </c>
      <c r="AX930" s="146">
        <v>0.99999999900000014</v>
      </c>
      <c r="AY930" s="146">
        <v>0.36</v>
      </c>
      <c r="AZ930" s="209">
        <v>254.28508521862472</v>
      </c>
      <c r="BA930" s="146">
        <v>0.99999999900000014</v>
      </c>
      <c r="BB930" s="252">
        <v>30.241246085130534</v>
      </c>
      <c r="BC930" s="244">
        <v>216.84510336086959</v>
      </c>
      <c r="BD930" s="229">
        <v>98633.657606662833</v>
      </c>
      <c r="BE930" s="244">
        <v>38.661606515365854</v>
      </c>
      <c r="BF930" s="146">
        <v>417567.14232422487</v>
      </c>
      <c r="BG930" t="s">
        <v>387</v>
      </c>
      <c r="BH930" s="146">
        <v>8.4141301986013469E-6</v>
      </c>
      <c r="BI930" s="146">
        <v>2186336.5760666281</v>
      </c>
      <c r="BJ930">
        <f t="shared" si="54"/>
        <v>0.19098941439083331</v>
      </c>
    </row>
    <row r="931" spans="1:62" s="146" customFormat="1" x14ac:dyDescent="0.3">
      <c r="A931">
        <v>-0.1</v>
      </c>
      <c r="B931" s="227">
        <v>1600</v>
      </c>
      <c r="C931" s="146">
        <v>25</v>
      </c>
      <c r="D931" s="146">
        <v>400</v>
      </c>
      <c r="E931" s="252">
        <v>24.546860636455335</v>
      </c>
      <c r="F931" s="146">
        <v>1.3833100660666999</v>
      </c>
      <c r="G931" s="146">
        <v>25.902977097576869</v>
      </c>
      <c r="H931" s="146">
        <v>31.997576905094007</v>
      </c>
      <c r="J931" s="146">
        <v>0.99999999917121529</v>
      </c>
      <c r="K931" s="146">
        <v>0.36</v>
      </c>
      <c r="L931" s="146">
        <v>163.73585992124748</v>
      </c>
      <c r="M931" s="146">
        <v>60.394374561115882</v>
      </c>
      <c r="N931" s="146">
        <v>7.1184855621202239</v>
      </c>
      <c r="Z931" s="146">
        <v>0.22246951958999628</v>
      </c>
      <c r="AL931" s="146">
        <v>3802.6711149410548</v>
      </c>
      <c r="AM931" s="146">
        <v>5.3403516547760203E-2</v>
      </c>
      <c r="AN931" s="146">
        <v>0.25706122451521501</v>
      </c>
      <c r="AO931" s="146">
        <v>304.50967203339354</v>
      </c>
      <c r="AP931" s="146">
        <v>243.4283338809424</v>
      </c>
      <c r="AQ931" s="146" t="s">
        <v>303</v>
      </c>
      <c r="AR931" s="146">
        <f t="shared" si="55"/>
        <v>19.525354503836514</v>
      </c>
      <c r="AS931" s="146">
        <f t="shared" si="56"/>
        <v>5.3287291164862003</v>
      </c>
      <c r="AT931" s="146">
        <v>0.4</v>
      </c>
      <c r="AU931" s="146">
        <v>1</v>
      </c>
      <c r="AV931" s="146">
        <v>0.5</v>
      </c>
      <c r="AW931" s="146">
        <v>3</v>
      </c>
      <c r="AX931" s="146">
        <v>0.99999999900000003</v>
      </c>
      <c r="AY931" s="146">
        <v>0.36</v>
      </c>
      <c r="AZ931" s="209">
        <v>243.4283338809424</v>
      </c>
      <c r="BA931" s="146">
        <v>0.99999999900000003</v>
      </c>
      <c r="BB931" s="252">
        <v>32.411350507238581</v>
      </c>
      <c r="BC931" s="244">
        <v>224.78884720010083</v>
      </c>
      <c r="BD931" s="229">
        <v>103694.18470925637</v>
      </c>
      <c r="BE931" s="244">
        <v>40.995724035173659</v>
      </c>
      <c r="BF931" s="146">
        <v>478729.36558571586</v>
      </c>
      <c r="BG931" t="s">
        <v>387</v>
      </c>
      <c r="BH931" s="146">
        <v>8.7567004597708479E-6</v>
      </c>
      <c r="BI931" s="146">
        <v>2236941.8470925638</v>
      </c>
      <c r="BJ931">
        <f t="shared" si="54"/>
        <v>0.21401064413361401</v>
      </c>
    </row>
    <row r="932" spans="1:62" s="140" customFormat="1" x14ac:dyDescent="0.3">
      <c r="A932" s="140">
        <v>-0.1</v>
      </c>
      <c r="B932" s="140">
        <v>1900</v>
      </c>
      <c r="C932" s="140">
        <v>25</v>
      </c>
      <c r="D932" s="140">
        <v>400</v>
      </c>
      <c r="E932" s="253">
        <v>25.922750572264718</v>
      </c>
      <c r="F932" s="140">
        <v>1.4265298750147084</v>
      </c>
      <c r="G932" s="140">
        <v>27.316669175073528</v>
      </c>
      <c r="H932" s="140">
        <v>33.810187872438057</v>
      </c>
      <c r="J932" s="140">
        <v>0.99999999916502502</v>
      </c>
      <c r="K932" s="140">
        <v>0.36</v>
      </c>
      <c r="L932" s="140">
        <v>173.26399930534006</v>
      </c>
      <c r="M932" s="140">
        <v>63.908852202789376</v>
      </c>
      <c r="N932" s="140">
        <v>7.5471104752833753</v>
      </c>
      <c r="Z932" s="140">
        <v>0.22322001000875102</v>
      </c>
      <c r="AL932" s="140">
        <v>4009.3286420989357</v>
      </c>
      <c r="AM932" s="140">
        <v>5.2221955241761958E-2</v>
      </c>
      <c r="AN932" s="140">
        <v>0.25995133399529824</v>
      </c>
      <c r="AO932" s="140">
        <v>300.27844760845278</v>
      </c>
      <c r="AP932" s="140">
        <v>235.77340445724977</v>
      </c>
      <c r="AQ932" s="140" t="s">
        <v>303</v>
      </c>
      <c r="AR932" s="140">
        <f t="shared" si="55"/>
        <v>19.525354503836514</v>
      </c>
      <c r="AS932" s="140">
        <f t="shared" si="56"/>
        <v>5.3287291164862003</v>
      </c>
      <c r="AT932" s="140">
        <v>0.4</v>
      </c>
      <c r="AU932" s="140">
        <v>1</v>
      </c>
      <c r="AV932" s="140">
        <v>0.5</v>
      </c>
      <c r="AW932" s="140">
        <v>3</v>
      </c>
      <c r="AX932" s="140">
        <v>0.99999999900000003</v>
      </c>
      <c r="AY932" s="140">
        <v>0.36</v>
      </c>
      <c r="AZ932" s="209">
        <v>235.77340445724977</v>
      </c>
      <c r="BA932" s="140">
        <v>0.99999999900000003</v>
      </c>
      <c r="BB932" s="253">
        <v>33.951540326321847</v>
      </c>
      <c r="BC932" s="245">
        <v>229.64844809167707</v>
      </c>
      <c r="BD932" s="210">
        <v>106935.99188967173</v>
      </c>
      <c r="BE932" s="245">
        <v>42.613018028905664</v>
      </c>
      <c r="BF932" s="140">
        <v>524338.34166251903</v>
      </c>
      <c r="BG932" t="s">
        <v>387</v>
      </c>
      <c r="BH932" s="140">
        <v>8.9914218899987299E-6</v>
      </c>
      <c r="BI932" s="140">
        <v>2269359.918896717</v>
      </c>
      <c r="BJ932">
        <f t="shared" si="54"/>
        <v>0.23105120404057983</v>
      </c>
    </row>
    <row r="933" spans="1:62" s="146" customFormat="1" x14ac:dyDescent="0.3">
      <c r="A933">
        <v>-0.1</v>
      </c>
      <c r="B933" s="146">
        <v>1000</v>
      </c>
      <c r="C933" s="146">
        <v>25</v>
      </c>
      <c r="D933" s="146">
        <v>200</v>
      </c>
      <c r="E933" s="252">
        <v>19.890893968177139</v>
      </c>
      <c r="F933" s="146">
        <v>1.3499023785083653</v>
      </c>
      <c r="G933" s="146">
        <v>21.174770519699216</v>
      </c>
      <c r="H933" s="146">
        <v>25.753861340972012</v>
      </c>
      <c r="J933" s="146">
        <v>0.99999999917671101</v>
      </c>
      <c r="K933" s="146">
        <v>0.36</v>
      </c>
      <c r="L933" s="146">
        <v>133.86554144575024</v>
      </c>
      <c r="M933" s="146">
        <v>49.37663413982591</v>
      </c>
      <c r="N933" s="146">
        <v>5.5585046940198133</v>
      </c>
      <c r="Z933" s="146">
        <v>0.21583189489246593</v>
      </c>
      <c r="AL933" s="146">
        <v>2851.0958439134679</v>
      </c>
      <c r="AM933" s="146">
        <v>6.3750508051670748E-2</v>
      </c>
      <c r="AN933" s="146">
        <v>0.25286910461423689</v>
      </c>
      <c r="AO933" s="146">
        <v>121.33916874296848</v>
      </c>
      <c r="AP933" s="146">
        <v>71.843496903559313</v>
      </c>
      <c r="AQ933" s="146" t="s">
        <v>303</v>
      </c>
      <c r="AR933" s="146">
        <f t="shared" si="55"/>
        <v>19.525354503836514</v>
      </c>
      <c r="AS933" s="146">
        <f t="shared" si="56"/>
        <v>5.3287291164862003</v>
      </c>
      <c r="AT933" s="146">
        <v>0.4</v>
      </c>
      <c r="AU933" s="146">
        <v>1</v>
      </c>
      <c r="AV933" s="146">
        <v>0.5</v>
      </c>
      <c r="AW933" s="146">
        <v>3</v>
      </c>
      <c r="AX933" s="146">
        <v>0.99999999900000003</v>
      </c>
      <c r="AY933" s="146">
        <v>0.36</v>
      </c>
      <c r="AZ933" s="209">
        <v>71.843496903559313</v>
      </c>
      <c r="BA933" s="146">
        <v>0.99999999900000003</v>
      </c>
      <c r="BB933" s="252">
        <v>27.809458422938018</v>
      </c>
      <c r="BC933" s="244">
        <v>207.8331397455477</v>
      </c>
      <c r="BD933" s="229">
        <v>92755.643293511472</v>
      </c>
      <c r="BE933" s="244">
        <v>35.737005161608948</v>
      </c>
      <c r="BF933" s="146">
        <v>342142.79060008301</v>
      </c>
      <c r="BG933" t="s">
        <v>388</v>
      </c>
      <c r="BH933" s="146">
        <v>7.7893240215381055E-6</v>
      </c>
      <c r="BI933" s="146">
        <v>2127556.4329351149</v>
      </c>
      <c r="BJ933">
        <f t="shared" si="54"/>
        <v>0.16081490732919021</v>
      </c>
    </row>
    <row r="934" spans="1:62" s="146" customFormat="1" x14ac:dyDescent="0.3">
      <c r="A934">
        <v>-0.1</v>
      </c>
      <c r="B934" s="146">
        <v>1000</v>
      </c>
      <c r="C934" s="146">
        <v>25</v>
      </c>
      <c r="D934" s="146">
        <v>300</v>
      </c>
      <c r="E934" s="252">
        <v>19.88421214981047</v>
      </c>
      <c r="F934" s="146">
        <v>1.263980813571002</v>
      </c>
      <c r="G934" s="146">
        <v>21.115773397807331</v>
      </c>
      <c r="H934" s="146">
        <v>25.914351314215146</v>
      </c>
      <c r="J934" s="146">
        <v>0.99999999919398597</v>
      </c>
      <c r="K934" s="146">
        <v>0.36</v>
      </c>
      <c r="L934" s="146">
        <v>132.53851368848456</v>
      </c>
      <c r="M934" s="146">
        <v>48.887156688375455</v>
      </c>
      <c r="N934" s="146">
        <v>5.7303537485147977</v>
      </c>
      <c r="Z934" s="146">
        <v>0.22112665214087185</v>
      </c>
      <c r="AL934" s="146">
        <v>3035.5572728832244</v>
      </c>
      <c r="AM934" s="146">
        <v>5.9859555686568137E-2</v>
      </c>
      <c r="AN934" s="146">
        <v>0.24811660836604549</v>
      </c>
      <c r="AO934" s="146">
        <v>219.85940691049842</v>
      </c>
      <c r="AP934" s="146">
        <v>170.38039862582684</v>
      </c>
      <c r="AQ934" s="146" t="s">
        <v>303</v>
      </c>
      <c r="AR934" s="146">
        <f t="shared" si="55"/>
        <v>19.525354503836514</v>
      </c>
      <c r="AS934" s="146">
        <f t="shared" si="56"/>
        <v>5.3287291164862003</v>
      </c>
      <c r="AT934" s="146">
        <v>0.4</v>
      </c>
      <c r="AU934" s="146">
        <v>1</v>
      </c>
      <c r="AV934" s="146">
        <v>0.5</v>
      </c>
      <c r="AW934" s="146">
        <v>3</v>
      </c>
      <c r="AX934" s="146">
        <v>0.99999999900000003</v>
      </c>
      <c r="AY934" s="146">
        <v>0.36</v>
      </c>
      <c r="AZ934" s="209">
        <v>170.38039862582684</v>
      </c>
      <c r="BA934" s="146">
        <v>0.99999999900000003</v>
      </c>
      <c r="BB934" s="252">
        <v>27.328881531028792</v>
      </c>
      <c r="BC934" s="244">
        <v>204.53314574680513</v>
      </c>
      <c r="BD934" s="229">
        <v>91033.841702116406</v>
      </c>
      <c r="BE934" s="244">
        <v>35.29519073773875</v>
      </c>
      <c r="BF934" s="146">
        <v>337617.8626283289</v>
      </c>
      <c r="BG934" t="s">
        <v>388</v>
      </c>
      <c r="BH934" s="146">
        <v>7.858418898753826E-6</v>
      </c>
      <c r="BI934" s="146">
        <v>2110338.4170211642</v>
      </c>
      <c r="BJ934">
        <f t="shared" si="54"/>
        <v>0.15998280650403524</v>
      </c>
    </row>
    <row r="935" spans="1:62" s="146" customFormat="1" x14ac:dyDescent="0.3">
      <c r="A935">
        <v>-0.1</v>
      </c>
      <c r="B935" s="146">
        <v>1000</v>
      </c>
      <c r="C935" s="146">
        <v>25</v>
      </c>
      <c r="D935" s="146">
        <v>400</v>
      </c>
      <c r="E935" s="252">
        <v>19.90001592020781</v>
      </c>
      <c r="F935" s="146">
        <v>1.2241671208487952</v>
      </c>
      <c r="G935" s="146">
        <v>21.10899769534905</v>
      </c>
      <c r="H935" s="146">
        <v>25.927328322016127</v>
      </c>
      <c r="J935" s="146">
        <v>0.9999999991940578</v>
      </c>
      <c r="K935" s="146">
        <v>0.36</v>
      </c>
      <c r="L935" s="146">
        <v>132.13926971921512</v>
      </c>
      <c r="M935" s="146">
        <v>48.739894568562953</v>
      </c>
      <c r="N935" s="146">
        <v>5.7288633010412653</v>
      </c>
      <c r="Z935" s="146">
        <v>0.2209584894320413</v>
      </c>
      <c r="AL935" s="146">
        <v>3134.4126442195361</v>
      </c>
      <c r="AM935" s="146">
        <v>5.7992669217000116E-2</v>
      </c>
      <c r="AN935" s="146">
        <v>0.24720326256719102</v>
      </c>
      <c r="AO935" s="146">
        <v>319.4993799291023</v>
      </c>
      <c r="AP935" s="146">
        <v>269.98099369890497</v>
      </c>
      <c r="AQ935" s="146" t="s">
        <v>303</v>
      </c>
      <c r="AR935" s="146">
        <f t="shared" si="55"/>
        <v>19.525354503836514</v>
      </c>
      <c r="AS935" s="146">
        <f t="shared" si="56"/>
        <v>5.3287291164862003</v>
      </c>
      <c r="AT935" s="146">
        <v>0.4</v>
      </c>
      <c r="AU935" s="146">
        <v>1</v>
      </c>
      <c r="AV935" s="146">
        <v>0.5</v>
      </c>
      <c r="AW935" s="146">
        <v>3</v>
      </c>
      <c r="AX935" s="146">
        <v>0.99999999900000003</v>
      </c>
      <c r="AY935" s="146">
        <v>0.36</v>
      </c>
      <c r="AZ935" s="209">
        <v>269.98099369890497</v>
      </c>
      <c r="BA935" s="146">
        <v>0.99999999900000003</v>
      </c>
      <c r="BB935" s="252">
        <v>27.125513856928599</v>
      </c>
      <c r="BC935" s="244">
        <v>203.55020087420922</v>
      </c>
      <c r="BD935" s="229">
        <v>90552.072303297929</v>
      </c>
      <c r="BE935" s="244">
        <v>35.209085012527446</v>
      </c>
      <c r="BF935" s="146">
        <v>336702.2246123841</v>
      </c>
      <c r="BG935" t="s">
        <v>388</v>
      </c>
      <c r="BH935" s="146">
        <v>7.8839827643186893E-6</v>
      </c>
      <c r="BI935" s="146">
        <v>2105520.7230329793</v>
      </c>
      <c r="BJ935">
        <f t="shared" si="54"/>
        <v>0.15991399226285852</v>
      </c>
    </row>
    <row r="936" spans="1:62" s="146" customFormat="1" x14ac:dyDescent="0.3">
      <c r="A936">
        <v>-0.1</v>
      </c>
      <c r="B936" s="146">
        <v>1000</v>
      </c>
      <c r="C936" s="146">
        <v>25</v>
      </c>
      <c r="D936" s="146">
        <v>500</v>
      </c>
      <c r="E936" s="252">
        <v>19.916974243288845</v>
      </c>
      <c r="F936" s="146">
        <v>1.1927688777766583</v>
      </c>
      <c r="G936" s="146">
        <v>21.108470673501021</v>
      </c>
      <c r="H936" s="146">
        <v>25.911339833140165</v>
      </c>
      <c r="J936" s="146">
        <v>0.99999999919188431</v>
      </c>
      <c r="K936" s="146">
        <v>0.36</v>
      </c>
      <c r="L936" s="146">
        <v>131.85761717524534</v>
      </c>
      <c r="M936" s="146">
        <v>48.636006335131484</v>
      </c>
      <c r="N936" s="146">
        <v>5.6968096022864536</v>
      </c>
      <c r="Z936" s="146">
        <v>0.21985777806056678</v>
      </c>
      <c r="AL936" s="146">
        <v>3218.1360393885479</v>
      </c>
      <c r="AM936" s="146">
        <v>5.6506645897091291E-2</v>
      </c>
      <c r="AN936" s="146">
        <v>0.2467778775669783</v>
      </c>
      <c r="AO936" s="146">
        <v>419.29189747617005</v>
      </c>
      <c r="AP936" s="146">
        <v>369.73123824532206</v>
      </c>
      <c r="AQ936" s="146" t="s">
        <v>303</v>
      </c>
      <c r="AR936" s="146">
        <f t="shared" si="55"/>
        <v>19.525354503836514</v>
      </c>
      <c r="AS936" s="146">
        <f t="shared" si="56"/>
        <v>5.3287291164862003</v>
      </c>
      <c r="AT936" s="146">
        <v>0.4</v>
      </c>
      <c r="AU936" s="146">
        <v>1</v>
      </c>
      <c r="AV936" s="146">
        <v>0.5</v>
      </c>
      <c r="AW936" s="146">
        <v>3</v>
      </c>
      <c r="AX936" s="146">
        <v>0.99999999900000003</v>
      </c>
      <c r="AY936" s="146">
        <v>0.36</v>
      </c>
      <c r="AZ936" s="209">
        <v>369.73123824532206</v>
      </c>
      <c r="BA936" s="146">
        <v>0.99999999900000003</v>
      </c>
      <c r="BB936" s="252">
        <v>26.969711839893925</v>
      </c>
      <c r="BC936" s="244">
        <v>202.85947332460958</v>
      </c>
      <c r="BD936" s="229">
        <v>90238.066103353674</v>
      </c>
      <c r="BE936" s="244">
        <v>35.185323204928608</v>
      </c>
      <c r="BF936" s="146">
        <v>336236.54955714184</v>
      </c>
      <c r="BG936" t="s">
        <v>388</v>
      </c>
      <c r="BH936" s="146">
        <v>7.9029789208734614E-6</v>
      </c>
      <c r="BI936" s="146">
        <v>2102380.6610335368</v>
      </c>
      <c r="BJ936">
        <f t="shared" si="54"/>
        <v>0.15993133678838489</v>
      </c>
    </row>
    <row r="937" spans="1:62" s="146" customFormat="1" x14ac:dyDescent="0.3">
      <c r="A937">
        <v>-0.1</v>
      </c>
      <c r="B937" s="146">
        <v>1000</v>
      </c>
      <c r="C937" s="146">
        <v>25</v>
      </c>
      <c r="D937" s="146">
        <v>600</v>
      </c>
      <c r="E937" s="252">
        <v>19.934128323260232</v>
      </c>
      <c r="F937" s="146">
        <v>1.164742249661652</v>
      </c>
      <c r="G937" s="146">
        <v>21.110149465503245</v>
      </c>
      <c r="H937" s="146">
        <v>25.886270334861241</v>
      </c>
      <c r="J937" s="146">
        <v>0.99999999918904359</v>
      </c>
      <c r="K937" s="146">
        <v>0.36</v>
      </c>
      <c r="L937" s="146">
        <v>131.6193965759195</v>
      </c>
      <c r="M937" s="146">
        <v>48.548138081281785</v>
      </c>
      <c r="N937" s="146">
        <v>5.655317012225602</v>
      </c>
      <c r="Z937" s="146">
        <v>0.2184678186184876</v>
      </c>
      <c r="AL937" s="146">
        <v>3297.1893234773347</v>
      </c>
      <c r="AM937" s="146">
        <v>5.5174514589060288E-2</v>
      </c>
      <c r="AN937" s="146">
        <v>0.24650838789007259</v>
      </c>
      <c r="AO937" s="146">
        <v>519.13407696232389</v>
      </c>
      <c r="AP937" s="146">
        <v>469.53081736453237</v>
      </c>
      <c r="AQ937" s="146" t="s">
        <v>303</v>
      </c>
      <c r="AR937" s="146">
        <f t="shared" si="55"/>
        <v>19.525354503836514</v>
      </c>
      <c r="AS937" s="146">
        <f t="shared" si="56"/>
        <v>5.3287291164862003</v>
      </c>
      <c r="AT937" s="146">
        <v>0.4</v>
      </c>
      <c r="AU937" s="146">
        <v>1</v>
      </c>
      <c r="AV937" s="146">
        <v>0.5</v>
      </c>
      <c r="AW937" s="146">
        <v>3</v>
      </c>
      <c r="AX937" s="146">
        <v>0.99999999900000003</v>
      </c>
      <c r="AY937" s="146">
        <v>0.36</v>
      </c>
      <c r="AZ937" s="209">
        <v>469.53081736453237</v>
      </c>
      <c r="BA937" s="146">
        <v>0.99999999900000003</v>
      </c>
      <c r="BB937" s="252">
        <v>26.832711389147629</v>
      </c>
      <c r="BC937" s="244">
        <v>202.27699329365299</v>
      </c>
      <c r="BD937" s="229">
        <v>89985.121517706837</v>
      </c>
      <c r="BE937" s="244">
        <v>35.183013671222525</v>
      </c>
      <c r="BF937" s="146">
        <v>335929.41726916126</v>
      </c>
      <c r="BG937" t="s">
        <v>388</v>
      </c>
      <c r="BH937" s="146">
        <v>7.9195165929231289E-6</v>
      </c>
      <c r="BI937" s="146">
        <v>2099851.2151770685</v>
      </c>
      <c r="BJ937">
        <f t="shared" si="54"/>
        <v>0.15997772358401796</v>
      </c>
    </row>
    <row r="938" spans="1:62" s="146" customFormat="1" x14ac:dyDescent="0.3">
      <c r="A938">
        <v>-0.1</v>
      </c>
      <c r="B938" s="146">
        <v>1000</v>
      </c>
      <c r="C938" s="146">
        <v>25</v>
      </c>
      <c r="D938" s="146">
        <v>700</v>
      </c>
      <c r="E938" s="252">
        <v>19.952225058922814</v>
      </c>
      <c r="F938" s="146">
        <v>1.1380165669758238</v>
      </c>
      <c r="G938" s="146">
        <v>21.113616631975603</v>
      </c>
      <c r="H938" s="146">
        <v>25.857054890954952</v>
      </c>
      <c r="J938" s="146">
        <v>0.99912917296810511</v>
      </c>
      <c r="K938" s="146">
        <v>0.36</v>
      </c>
      <c r="L938" s="146">
        <v>131.40107158856071</v>
      </c>
      <c r="M938" s="146">
        <v>48.467608372829766</v>
      </c>
      <c r="N938" s="146">
        <v>5.6197210600912371</v>
      </c>
      <c r="Z938" s="146">
        <v>0.2173380179525809</v>
      </c>
      <c r="AL938" s="146">
        <v>3379.2099098037038</v>
      </c>
      <c r="AM938" s="146">
        <v>5.389965096043043E-2</v>
      </c>
      <c r="AN938" s="146">
        <v>0.24631708860107021</v>
      </c>
      <c r="AO938" s="146">
        <v>618.99780412216137</v>
      </c>
      <c r="AP938" s="146">
        <v>569.34937975808293</v>
      </c>
      <c r="AQ938" s="146" t="s">
        <v>303</v>
      </c>
      <c r="AR938" s="146">
        <f t="shared" si="55"/>
        <v>19.525354503836514</v>
      </c>
      <c r="AS938" s="146">
        <f t="shared" si="56"/>
        <v>5.3287291164862003</v>
      </c>
      <c r="AT938" s="146">
        <v>0.4</v>
      </c>
      <c r="AU938" s="146">
        <v>1</v>
      </c>
      <c r="AV938" s="146">
        <v>0.5</v>
      </c>
      <c r="AW938" s="146">
        <v>3</v>
      </c>
      <c r="AX938" s="146">
        <v>0.99893079109786032</v>
      </c>
      <c r="AY938" s="146">
        <v>0.36</v>
      </c>
      <c r="AZ938" s="209">
        <v>569.34937975808293</v>
      </c>
      <c r="BA938" s="146">
        <v>0.99893079109786032</v>
      </c>
      <c r="BB938" s="252">
        <v>26.708041616434542</v>
      </c>
      <c r="BC938" s="244">
        <v>201.74454864480731</v>
      </c>
      <c r="BD938" s="229">
        <v>89772.411866056646</v>
      </c>
      <c r="BE938" s="244">
        <v>35.208767181144744</v>
      </c>
      <c r="BF938" s="146">
        <v>335743.12423546938</v>
      </c>
      <c r="BG938" t="s">
        <v>388</v>
      </c>
      <c r="BH938" s="146">
        <v>7.9347077886781789E-6</v>
      </c>
      <c r="BI938" s="146">
        <v>2097724.1186605664</v>
      </c>
      <c r="BJ938">
        <f t="shared" si="54"/>
        <v>0.16005113410711377</v>
      </c>
    </row>
    <row r="939" spans="1:62" s="146" customFormat="1" x14ac:dyDescent="0.3">
      <c r="A939">
        <v>-0.1</v>
      </c>
      <c r="B939" s="146">
        <v>1000</v>
      </c>
      <c r="C939" s="146">
        <v>25</v>
      </c>
      <c r="D939" s="146">
        <v>800</v>
      </c>
      <c r="E939" s="252">
        <v>20.018422985737388</v>
      </c>
      <c r="F939" s="146">
        <v>1.0797245043676231</v>
      </c>
      <c r="G939" s="146">
        <v>21.150245544326179</v>
      </c>
      <c r="H939" s="146">
        <v>25.786787358603416</v>
      </c>
      <c r="J939" s="146">
        <v>0.95855462950603065</v>
      </c>
      <c r="K939" s="146">
        <v>0.36</v>
      </c>
      <c r="L939" s="146">
        <v>130.99872956834415</v>
      </c>
      <c r="M939" s="146">
        <v>48.319203529307266</v>
      </c>
      <c r="N939" s="146">
        <v>6.0428744158050911</v>
      </c>
      <c r="Z939" s="146">
        <v>0.23433994827544763</v>
      </c>
      <c r="AL939" s="146">
        <v>3690.3940835289609</v>
      </c>
      <c r="AM939" s="146">
        <v>5.1050211313375171E-2</v>
      </c>
      <c r="AN939" s="146">
        <v>0.24644099162613631</v>
      </c>
      <c r="AO939" s="146">
        <v>718.76991382948836</v>
      </c>
      <c r="AP939" s="146">
        <v>668.95687562641751</v>
      </c>
      <c r="AQ939" s="146" t="s">
        <v>303</v>
      </c>
      <c r="AR939" s="146">
        <f t="shared" si="55"/>
        <v>19.525354503836514</v>
      </c>
      <c r="AS939" s="146">
        <f t="shared" si="56"/>
        <v>5.3287291164862003</v>
      </c>
      <c r="AT939" s="146">
        <v>0.4</v>
      </c>
      <c r="AU939" s="146">
        <v>1</v>
      </c>
      <c r="AV939" s="146">
        <v>0.5</v>
      </c>
      <c r="AW939" s="146">
        <v>3</v>
      </c>
      <c r="AX939" s="146">
        <v>0.95042643151000372</v>
      </c>
      <c r="AY939" s="146">
        <v>0.36</v>
      </c>
      <c r="AZ939" s="209">
        <v>668.95687562641751</v>
      </c>
      <c r="BA939" s="146">
        <v>0.95042643151000372</v>
      </c>
      <c r="BB939" s="252">
        <v>26.634827441059524</v>
      </c>
      <c r="BC939" s="244">
        <v>200.7667829775518</v>
      </c>
      <c r="BD939" s="229">
        <v>89884.768668166857</v>
      </c>
      <c r="BE939" s="244">
        <v>36.017339584439547</v>
      </c>
      <c r="BF939" s="146">
        <v>337368.8373196313</v>
      </c>
      <c r="BG939" t="s">
        <v>388</v>
      </c>
      <c r="BH939" s="146">
        <v>7.9523887549896758E-6</v>
      </c>
      <c r="BI939" s="146">
        <v>2098847.6866816683</v>
      </c>
      <c r="BJ939">
        <f t="shared" si="54"/>
        <v>0.16074002866450021</v>
      </c>
    </row>
    <row r="940" spans="1:62" s="146" customFormat="1" x14ac:dyDescent="0.3">
      <c r="A940">
        <v>-0.1</v>
      </c>
      <c r="B940" s="146">
        <v>1000</v>
      </c>
      <c r="C940" s="146">
        <v>25</v>
      </c>
      <c r="D940" s="146">
        <v>900</v>
      </c>
      <c r="E940" s="252">
        <v>20.079794046104606</v>
      </c>
      <c r="F940" s="146">
        <v>1.0251781692126518</v>
      </c>
      <c r="G940" s="146">
        <v>21.183670261489862</v>
      </c>
      <c r="H940" s="146">
        <v>25.728721876474541</v>
      </c>
      <c r="J940" s="146">
        <v>0.92748277992251871</v>
      </c>
      <c r="K940" s="146">
        <v>0.36</v>
      </c>
      <c r="L940" s="146">
        <v>130.67080707604964</v>
      </c>
      <c r="M940" s="146">
        <v>48.198248511657653</v>
      </c>
      <c r="N940" s="146">
        <v>6.4133205319251054</v>
      </c>
      <c r="Z940" s="146">
        <v>0.249266969525961</v>
      </c>
      <c r="AL940" s="146">
        <v>3975.228695436339</v>
      </c>
      <c r="AM940" s="146">
        <v>4.8394737859772101E-2</v>
      </c>
      <c r="AN940" s="146">
        <v>0.24648225716138902</v>
      </c>
      <c r="AO940" s="146">
        <v>818.53452545690959</v>
      </c>
      <c r="AP940" s="146">
        <v>768.56842947378766</v>
      </c>
      <c r="AQ940" s="146" t="s">
        <v>303</v>
      </c>
      <c r="AR940" s="146">
        <f t="shared" si="55"/>
        <v>19.525354503836514</v>
      </c>
      <c r="AS940" s="146">
        <f t="shared" si="56"/>
        <v>5.3287291164862003</v>
      </c>
      <c r="AT940" s="146">
        <v>0.4</v>
      </c>
      <c r="AU940" s="146">
        <v>1</v>
      </c>
      <c r="AV940" s="146">
        <v>0.5</v>
      </c>
      <c r="AW940" s="146">
        <v>3</v>
      </c>
      <c r="AX940" s="146">
        <v>0.91491410750495994</v>
      </c>
      <c r="AY940" s="146">
        <v>0.36</v>
      </c>
      <c r="AZ940" s="209">
        <v>768.56842947378766</v>
      </c>
      <c r="BA940" s="146">
        <v>0.91491410750495994</v>
      </c>
      <c r="BB940" s="252">
        <v>26.513693412465958</v>
      </c>
      <c r="BC940" s="244">
        <v>199.97315885528681</v>
      </c>
      <c r="BD940" s="229">
        <v>89888.799739513561</v>
      </c>
      <c r="BE940" s="244">
        <v>36.541693456285238</v>
      </c>
      <c r="BF940" s="146">
        <v>338617.90394835715</v>
      </c>
      <c r="BG940" t="s">
        <v>388</v>
      </c>
      <c r="BH940" s="146">
        <v>7.9730150259800361E-6</v>
      </c>
      <c r="BI940" s="146">
        <v>2098887.9973951355</v>
      </c>
      <c r="BJ940">
        <f t="shared" si="54"/>
        <v>0.16133205028977501</v>
      </c>
    </row>
    <row r="941" spans="1:62" s="146" customFormat="1" x14ac:dyDescent="0.3">
      <c r="A941">
        <v>-0.1</v>
      </c>
      <c r="B941" s="146">
        <v>1000</v>
      </c>
      <c r="C941" s="146">
        <v>25</v>
      </c>
      <c r="D941" s="146">
        <v>1000</v>
      </c>
      <c r="E941" s="252">
        <v>20.13607788047079</v>
      </c>
      <c r="F941" s="146">
        <v>0.97531286233140346</v>
      </c>
      <c r="G941" s="146">
        <v>21.21426837997732</v>
      </c>
      <c r="H941" s="146">
        <v>25.680819663217513</v>
      </c>
      <c r="J941" s="146">
        <v>0.90293087892769608</v>
      </c>
      <c r="K941" s="146">
        <v>0.36</v>
      </c>
      <c r="L941" s="146">
        <v>130.40243822734485</v>
      </c>
      <c r="M941" s="146">
        <v>48.099260001889498</v>
      </c>
      <c r="N941" s="146">
        <v>6.7374801820356893</v>
      </c>
      <c r="Z941" s="146">
        <v>0.26235456151291553</v>
      </c>
      <c r="AL941" s="146">
        <v>4236.9385190116773</v>
      </c>
      <c r="AM941" s="146">
        <v>4.5974381244838679E-2</v>
      </c>
      <c r="AN941" s="146">
        <v>0.24647619424131051</v>
      </c>
      <c r="AO941" s="146">
        <v>918.30416749799076</v>
      </c>
      <c r="AP941" s="146">
        <v>868.19842799383446</v>
      </c>
      <c r="AQ941" s="146" t="s">
        <v>303</v>
      </c>
      <c r="AR941" s="146">
        <f t="shared" si="55"/>
        <v>19.525354503836514</v>
      </c>
      <c r="AS941" s="146">
        <f t="shared" si="56"/>
        <v>5.3287291164862003</v>
      </c>
      <c r="AT941" s="146">
        <v>0.4</v>
      </c>
      <c r="AU941" s="146">
        <v>1</v>
      </c>
      <c r="AV941" s="146">
        <v>0.5</v>
      </c>
      <c r="AW941" s="146">
        <v>3</v>
      </c>
      <c r="AX941" s="146">
        <v>0.88777091612981074</v>
      </c>
      <c r="AY941" s="146">
        <v>0.36</v>
      </c>
      <c r="AZ941" s="209">
        <v>868.19842799383446</v>
      </c>
      <c r="BA941" s="146">
        <v>0.88777091612981074</v>
      </c>
      <c r="BB941" s="252">
        <v>26.372856856846205</v>
      </c>
      <c r="BC941" s="244">
        <v>199.32584441732436</v>
      </c>
      <c r="BD941" s="229">
        <v>89838.177882472548</v>
      </c>
      <c r="BE941" s="244">
        <v>36.887782919006284</v>
      </c>
      <c r="BF941" s="146">
        <v>339622.07785137004</v>
      </c>
      <c r="BG941" t="s">
        <v>388</v>
      </c>
      <c r="BH941" s="146">
        <v>7.9942395303305051E-6</v>
      </c>
      <c r="BI941" s="146">
        <v>2098381.7788247252</v>
      </c>
      <c r="BJ941">
        <f t="shared" si="54"/>
        <v>0.16184951722254645</v>
      </c>
    </row>
    <row r="942" spans="1:62" s="140" customFormat="1" x14ac:dyDescent="0.3">
      <c r="A942" s="140">
        <v>-0.1</v>
      </c>
      <c r="B942" s="140">
        <v>1000</v>
      </c>
      <c r="C942" s="140">
        <v>25</v>
      </c>
      <c r="D942" s="140">
        <v>1100</v>
      </c>
      <c r="E942" s="253">
        <v>20.187409651590041</v>
      </c>
      <c r="F942" s="140">
        <v>0.92953346354160094</v>
      </c>
      <c r="G942" s="140">
        <v>21.241930785490183</v>
      </c>
      <c r="H942" s="140">
        <v>25.639392907688201</v>
      </c>
      <c r="J942" s="140">
        <v>0.88222212938629174</v>
      </c>
      <c r="K942" s="140">
        <v>0.36</v>
      </c>
      <c r="L942" s="140">
        <v>130.17242340757412</v>
      </c>
      <c r="M942" s="140">
        <v>48.014418470006838</v>
      </c>
      <c r="N942" s="140">
        <v>7.0334150452048796</v>
      </c>
      <c r="Z942" s="140">
        <v>0.27432065456962701</v>
      </c>
      <c r="AL942" s="140">
        <v>4484.5606550769426</v>
      </c>
      <c r="AM942" s="140">
        <v>4.3759367871424447E-2</v>
      </c>
      <c r="AN942" s="140">
        <v>0.24644885290356119</v>
      </c>
      <c r="AO942" s="140">
        <v>1018.0868183651492</v>
      </c>
      <c r="AP942" s="140">
        <v>967.85313247450654</v>
      </c>
      <c r="AQ942" s="140" t="s">
        <v>303</v>
      </c>
      <c r="AR942" s="140">
        <f t="shared" si="55"/>
        <v>19.525354503836514</v>
      </c>
      <c r="AS942" s="140">
        <f t="shared" si="56"/>
        <v>5.3287291164862003</v>
      </c>
      <c r="AT942" s="140">
        <v>0.4</v>
      </c>
      <c r="AU942" s="140">
        <v>1</v>
      </c>
      <c r="AV942" s="140">
        <v>0.5</v>
      </c>
      <c r="AW942" s="140">
        <v>3</v>
      </c>
      <c r="AX942" s="140">
        <v>0.86544531094658794</v>
      </c>
      <c r="AY942" s="140">
        <v>0.36</v>
      </c>
      <c r="AZ942" s="209">
        <v>967.85313247450654</v>
      </c>
      <c r="BA942" s="140">
        <v>0.86544531094658794</v>
      </c>
      <c r="BB942" s="253">
        <v>26.226099523986662</v>
      </c>
      <c r="BC942" s="245">
        <v>198.77259321129702</v>
      </c>
      <c r="BD942" s="210">
        <v>89758.971089361105</v>
      </c>
      <c r="BE942" s="245">
        <v>37.129167640439476</v>
      </c>
      <c r="BF942" s="140">
        <v>340450.83925105573</v>
      </c>
      <c r="BG942" t="s">
        <v>388</v>
      </c>
      <c r="BH942" s="140">
        <v>8.015012089148576E-6</v>
      </c>
      <c r="BI942" s="140">
        <v>2097589.710893611</v>
      </c>
      <c r="BJ942">
        <f t="shared" si="54"/>
        <v>0.16230573475973886</v>
      </c>
    </row>
    <row r="943" spans="1:62" s="146" customFormat="1" x14ac:dyDescent="0.3">
      <c r="A943">
        <v>-0.1</v>
      </c>
      <c r="B943" s="146">
        <v>1000</v>
      </c>
      <c r="C943" s="146">
        <v>25</v>
      </c>
      <c r="D943" s="146">
        <v>400</v>
      </c>
      <c r="E943" s="252">
        <v>19.899985985786515</v>
      </c>
      <c r="F943" s="146">
        <v>1.2241657240066366</v>
      </c>
      <c r="G943" s="146">
        <v>21.108965740231518</v>
      </c>
      <c r="H943" s="146">
        <v>25.927290202386637</v>
      </c>
      <c r="J943" s="146">
        <v>0.99999999919405802</v>
      </c>
      <c r="K943" s="146">
        <v>0.36</v>
      </c>
      <c r="L943" s="146">
        <v>132.13907780971718</v>
      </c>
      <c r="M943" s="146">
        <v>48.739823782272737</v>
      </c>
      <c r="N943" s="146">
        <v>5.7288557769706401</v>
      </c>
      <c r="Z943" s="146">
        <v>0.22095852409764336</v>
      </c>
      <c r="AL943" s="146">
        <v>3134.4090746642128</v>
      </c>
      <c r="AM943" s="146">
        <v>5.7992690834373882E-2</v>
      </c>
      <c r="AN943" s="146">
        <v>0.24720329416483514</v>
      </c>
      <c r="AO943" s="146">
        <v>319.49951131105394</v>
      </c>
      <c r="AP943" s="146">
        <v>269.98118617889293</v>
      </c>
      <c r="AQ943" s="146" t="s">
        <v>303</v>
      </c>
      <c r="AR943" s="146">
        <f t="shared" si="55"/>
        <v>19.525354503836514</v>
      </c>
      <c r="AS943" s="146">
        <f t="shared" si="56"/>
        <v>5.3287291164862003</v>
      </c>
      <c r="AT943" s="146">
        <v>0.4</v>
      </c>
      <c r="AU943" s="146">
        <v>1</v>
      </c>
      <c r="AV943" s="146">
        <v>0.5</v>
      </c>
      <c r="AW943" s="146">
        <v>3</v>
      </c>
      <c r="AX943" s="146">
        <v>0.99999999900000003</v>
      </c>
      <c r="AY943" s="146">
        <v>0.36</v>
      </c>
      <c r="AZ943" s="209">
        <v>269.98118617889293</v>
      </c>
      <c r="BA943" s="146">
        <v>0.99999999900000003</v>
      </c>
      <c r="BB943" s="252">
        <v>27.125476912689678</v>
      </c>
      <c r="BC943" s="244">
        <v>203.54972947380088</v>
      </c>
      <c r="BD943" s="229">
        <v>90551.830628641605</v>
      </c>
      <c r="BE943" s="244">
        <v>35.209027502873283</v>
      </c>
      <c r="BF943" s="146">
        <v>336700.9970184663</v>
      </c>
      <c r="BG943" t="s">
        <v>389</v>
      </c>
      <c r="BH943" s="146">
        <v>7.8839828049544733E-6</v>
      </c>
      <c r="BI943" s="146">
        <v>2105518.306286416</v>
      </c>
      <c r="BJ943">
        <f t="shared" si="54"/>
        <v>0.15991359277816913</v>
      </c>
    </row>
    <row r="944" spans="1:62" s="146" customFormat="1" x14ac:dyDescent="0.3">
      <c r="A944">
        <v>-0.1</v>
      </c>
      <c r="B944" s="146">
        <v>1000</v>
      </c>
      <c r="C944" s="146">
        <v>25</v>
      </c>
      <c r="D944" s="146">
        <v>400</v>
      </c>
      <c r="E944" s="252">
        <v>19.183818195478928</v>
      </c>
      <c r="F944" s="146">
        <v>1.1852821782755087</v>
      </c>
      <c r="G944" s="146">
        <v>20.342691952640781</v>
      </c>
      <c r="H944" s="146">
        <v>25.041675328302375</v>
      </c>
      <c r="J944" s="146">
        <v>0.99999999919537852</v>
      </c>
      <c r="K944" s="146">
        <v>0.36</v>
      </c>
      <c r="L944" s="146">
        <v>127.67593526295421</v>
      </c>
      <c r="M944" s="146">
        <v>47.093582678958519</v>
      </c>
      <c r="N944" s="146">
        <v>5.5747408052559564</v>
      </c>
      <c r="Z944" s="146">
        <v>0.22261852420693767</v>
      </c>
      <c r="AL944" s="146">
        <v>3062.5800928643484</v>
      </c>
      <c r="AM944" s="146">
        <v>5.8265748753160554E-2</v>
      </c>
      <c r="AN944" s="146">
        <v>0.2489654951025429</v>
      </c>
      <c r="AO944" s="146">
        <v>322.94587574242939</v>
      </c>
      <c r="AP944" s="146">
        <v>275.20969023637281</v>
      </c>
      <c r="AQ944" s="146" t="s">
        <v>303</v>
      </c>
      <c r="AR944" s="146">
        <f t="shared" si="55"/>
        <v>19.525354503836514</v>
      </c>
      <c r="AS944" s="146">
        <f t="shared" si="56"/>
        <v>5.3287291164862003</v>
      </c>
      <c r="AT944" s="146">
        <v>0.4</v>
      </c>
      <c r="AU944" s="146">
        <v>1</v>
      </c>
      <c r="AV944" s="146">
        <v>0.5</v>
      </c>
      <c r="AW944" s="146">
        <v>2.5</v>
      </c>
      <c r="AX944" s="146">
        <v>0.99999999900000003</v>
      </c>
      <c r="AY944" s="146">
        <v>0.36</v>
      </c>
      <c r="AZ944" s="209">
        <v>275.20969023637281</v>
      </c>
      <c r="BA944" s="146">
        <v>0.99999999900000003</v>
      </c>
      <c r="BB944" s="252">
        <v>26.212338495374841</v>
      </c>
      <c r="BC944" s="244">
        <v>192.85789839624357</v>
      </c>
      <c r="BD944" s="229">
        <v>84921.45473199882</v>
      </c>
      <c r="BE944" s="244">
        <v>33.635168813395907</v>
      </c>
      <c r="BF944" s="146">
        <v>381859.25643680524</v>
      </c>
      <c r="BG944" t="s">
        <v>389</v>
      </c>
      <c r="BH944" s="146">
        <v>7.6177870123777988E-6</v>
      </c>
      <c r="BI944" s="146">
        <v>2049214.5473199883</v>
      </c>
      <c r="BJ944">
        <f t="shared" si="54"/>
        <v>0.18634420536210319</v>
      </c>
    </row>
    <row r="945" spans="1:62" s="146" customFormat="1" x14ac:dyDescent="0.3">
      <c r="A945">
        <v>-0.1</v>
      </c>
      <c r="B945" s="146">
        <v>1000</v>
      </c>
      <c r="C945" s="146">
        <v>25</v>
      </c>
      <c r="D945" s="146">
        <v>400</v>
      </c>
      <c r="E945" s="252">
        <v>16.681084952491592</v>
      </c>
      <c r="F945" s="146">
        <v>1.053409567565732</v>
      </c>
      <c r="G945" s="146">
        <v>17.676293019329641</v>
      </c>
      <c r="H945" s="146">
        <v>21.928303807435114</v>
      </c>
      <c r="J945" s="146">
        <v>0.99999999920116855</v>
      </c>
      <c r="K945" s="146">
        <v>0.36</v>
      </c>
      <c r="L945" s="146">
        <v>111.9502655241747</v>
      </c>
      <c r="M945" s="146">
        <v>41.293130726130009</v>
      </c>
      <c r="N945" s="146">
        <v>5.0129672192871517</v>
      </c>
      <c r="Z945" s="146">
        <v>0.22860715827858202</v>
      </c>
      <c r="AL945" s="146">
        <v>2799.4263432297935</v>
      </c>
      <c r="AM945" s="146">
        <v>5.9594484342038914E-2</v>
      </c>
      <c r="AN945" s="146">
        <v>0.25448355619740309</v>
      </c>
      <c r="AO945" s="146">
        <v>334.45122662639915</v>
      </c>
      <c r="AP945" s="146">
        <v>292.94273358621672</v>
      </c>
      <c r="AQ945" s="146" t="s">
        <v>303</v>
      </c>
      <c r="AR945" s="146">
        <f t="shared" si="55"/>
        <v>19.525354503836514</v>
      </c>
      <c r="AS945" s="146">
        <f t="shared" si="56"/>
        <v>5.3287291164862003</v>
      </c>
      <c r="AT945" s="146">
        <v>0.4</v>
      </c>
      <c r="AU945" s="146">
        <v>1</v>
      </c>
      <c r="AV945" s="146">
        <v>0.5</v>
      </c>
      <c r="AW945" s="146">
        <v>1.5</v>
      </c>
      <c r="AX945" s="146">
        <v>0.99999999900000003</v>
      </c>
      <c r="AY945" s="146">
        <v>0.36</v>
      </c>
      <c r="AZ945" s="209">
        <v>292.94273358621672</v>
      </c>
      <c r="BA945" s="146">
        <v>0.99999999900000003</v>
      </c>
      <c r="BB945" s="252">
        <v>23.042322367528733</v>
      </c>
      <c r="BC945" s="244">
        <v>158.9199235366101</v>
      </c>
      <c r="BD945" s="229">
        <v>67391.907823670947</v>
      </c>
      <c r="BE945" s="244">
        <v>28.481389685463366</v>
      </c>
      <c r="BF945" s="146">
        <v>499436.31675437221</v>
      </c>
      <c r="BG945" t="s">
        <v>389</v>
      </c>
      <c r="BH945" s="146">
        <v>6.7302788390026857E-6</v>
      </c>
      <c r="BI945" s="146">
        <v>1873919.0782367093</v>
      </c>
      <c r="BJ945">
        <f t="shared" si="54"/>
        <v>0.26651968196210685</v>
      </c>
    </row>
    <row r="946" spans="1:62" s="146" customFormat="1" x14ac:dyDescent="0.3">
      <c r="A946">
        <v>-0.1</v>
      </c>
      <c r="B946" s="146">
        <v>1000</v>
      </c>
      <c r="C946" s="146">
        <v>25</v>
      </c>
      <c r="D946" s="146">
        <v>400</v>
      </c>
      <c r="E946" s="252">
        <v>14.417619849408339</v>
      </c>
      <c r="F946" s="146">
        <v>0.93828615316510811</v>
      </c>
      <c r="G946" s="146">
        <v>15.276880650935835</v>
      </c>
      <c r="H946" s="146">
        <v>19.087150532041203</v>
      </c>
      <c r="J946" s="146">
        <v>0.99999999920828131</v>
      </c>
      <c r="K946" s="146">
        <v>0.36</v>
      </c>
      <c r="L946" s="146">
        <v>97.55483253108892</v>
      </c>
      <c r="M946" s="146">
        <v>35.983339868024608</v>
      </c>
      <c r="N946" s="146">
        <v>4.4744718254402613</v>
      </c>
      <c r="Z946" s="146">
        <v>0.23442324813905871</v>
      </c>
      <c r="AL946" s="146">
        <v>2545.645270315933</v>
      </c>
      <c r="AM946" s="146">
        <v>6.1418700231033768E-2</v>
      </c>
      <c r="AN946" s="146">
        <v>0.25877747012670943</v>
      </c>
      <c r="AO946" s="146">
        <v>344.28564495066433</v>
      </c>
      <c r="AP946" s="146">
        <v>308.40935759580299</v>
      </c>
      <c r="AQ946" s="146" t="s">
        <v>303</v>
      </c>
      <c r="AR946" s="146">
        <f t="shared" si="55"/>
        <v>19.525354503836514</v>
      </c>
      <c r="AS946" s="146">
        <f t="shared" si="56"/>
        <v>5.3287291164862003</v>
      </c>
      <c r="AT946" s="146">
        <v>0.4</v>
      </c>
      <c r="AU946" s="146">
        <v>1</v>
      </c>
      <c r="AV946" s="146">
        <v>0.5</v>
      </c>
      <c r="AW946" s="146">
        <v>1</v>
      </c>
      <c r="AX946" s="146">
        <v>0.99999999900000003</v>
      </c>
      <c r="AY946" s="146">
        <v>0.36</v>
      </c>
      <c r="AZ946" s="209">
        <v>308.40935759580299</v>
      </c>
      <c r="BA946" s="146">
        <v>0.99999999900000003</v>
      </c>
      <c r="BB946" s="252">
        <v>20.193562599391704</v>
      </c>
      <c r="BC946" s="244">
        <v>131.86715569926224</v>
      </c>
      <c r="BD946" s="229">
        <v>53896.446960143017</v>
      </c>
      <c r="BE946" s="244">
        <v>24.179934278714509</v>
      </c>
      <c r="BF946" s="146">
        <v>569842.26721137762</v>
      </c>
      <c r="BG946" t="s">
        <v>389</v>
      </c>
      <c r="BH946" s="146">
        <v>5.9294404734710427E-6</v>
      </c>
      <c r="BI946" s="146">
        <v>1738964.4696014302</v>
      </c>
      <c r="BJ946">
        <f t="shared" si="54"/>
        <v>0.32769057515130551</v>
      </c>
    </row>
    <row r="947" spans="1:62" s="146" customFormat="1" x14ac:dyDescent="0.3">
      <c r="A947">
        <v>-0.1</v>
      </c>
      <c r="B947" s="146">
        <v>1000</v>
      </c>
      <c r="C947" s="146">
        <v>25</v>
      </c>
      <c r="D947" s="146">
        <v>400</v>
      </c>
      <c r="E947" s="252">
        <v>13.167927453169785</v>
      </c>
      <c r="F947" s="146">
        <v>0.87582630235999781</v>
      </c>
      <c r="G947" s="146">
        <v>13.955857042780094</v>
      </c>
      <c r="H947" s="146">
        <v>17.507955979403068</v>
      </c>
      <c r="J947" s="146">
        <v>0.99999999921314697</v>
      </c>
      <c r="K947" s="146">
        <v>0.36</v>
      </c>
      <c r="L947" s="146">
        <v>89.536491710392752</v>
      </c>
      <c r="M947" s="146">
        <v>33.025755139079301</v>
      </c>
      <c r="N947" s="146">
        <v>4.165020311944593</v>
      </c>
      <c r="Z947" s="146">
        <v>0.23789300800415875</v>
      </c>
      <c r="AL947" s="146">
        <v>2399.277429173062</v>
      </c>
      <c r="AM947" s="146">
        <v>6.2756898388630078E-2</v>
      </c>
      <c r="AN947" s="146">
        <v>0.26092626970737265</v>
      </c>
      <c r="AO947" s="146">
        <v>349.53391443514852</v>
      </c>
      <c r="AP947" s="146">
        <v>316.7672732007656</v>
      </c>
      <c r="AQ947" s="146" t="s">
        <v>303</v>
      </c>
      <c r="AR947" s="146">
        <f t="shared" si="55"/>
        <v>19.525354503836514</v>
      </c>
      <c r="AS947" s="146">
        <f t="shared" si="56"/>
        <v>5.3287291164862003</v>
      </c>
      <c r="AT947" s="146">
        <v>0.4</v>
      </c>
      <c r="AU947" s="146">
        <v>1</v>
      </c>
      <c r="AV947" s="146">
        <v>0.5</v>
      </c>
      <c r="AW947" s="146">
        <v>0.8</v>
      </c>
      <c r="AX947" s="146">
        <v>0.99999999900000003</v>
      </c>
      <c r="AY947" s="146">
        <v>0.36</v>
      </c>
      <c r="AZ947" s="209">
        <v>316.7672732007656</v>
      </c>
      <c r="BA947" s="146">
        <v>0.99999999900000003</v>
      </c>
      <c r="BB947" s="252">
        <v>18.623425737108622</v>
      </c>
      <c r="BC947" s="244">
        <v>118.09026509366478</v>
      </c>
      <c r="BD947" s="229">
        <v>47231.98032319676</v>
      </c>
      <c r="BE947" s="244">
        <v>21.916310278459509</v>
      </c>
      <c r="BF947" s="146">
        <v>598257.96548087848</v>
      </c>
      <c r="BG947" t="s">
        <v>389</v>
      </c>
      <c r="BH947" s="146">
        <v>5.4764144264120318E-6</v>
      </c>
      <c r="BI947" s="146">
        <v>1672319.8032319676</v>
      </c>
      <c r="BJ947">
        <f t="shared" si="54"/>
        <v>0.35774136282107644</v>
      </c>
    </row>
    <row r="948" spans="1:62" s="146" customFormat="1" x14ac:dyDescent="0.3">
      <c r="A948">
        <v>-0.1</v>
      </c>
      <c r="B948" s="146">
        <v>1000</v>
      </c>
      <c r="C948" s="146">
        <v>25</v>
      </c>
      <c r="D948" s="146">
        <v>400</v>
      </c>
      <c r="E948" s="252">
        <v>11.626483276915474</v>
      </c>
      <c r="F948" s="146">
        <v>0.80937174938079437</v>
      </c>
      <c r="G948" s="146">
        <v>12.33395888609224</v>
      </c>
      <c r="H948" s="146">
        <v>15.496894123665513</v>
      </c>
      <c r="J948" s="146">
        <v>0.99999999922197447</v>
      </c>
      <c r="K948" s="146">
        <v>0.36</v>
      </c>
      <c r="L948" s="146">
        <v>79.310166175454938</v>
      </c>
      <c r="M948" s="146">
        <v>29.253749818815351</v>
      </c>
      <c r="N948" s="146">
        <v>3.7190159839748844</v>
      </c>
      <c r="Z948" s="146">
        <v>0.23998460299832117</v>
      </c>
      <c r="AL948" s="146">
        <v>2185.9958161902323</v>
      </c>
      <c r="AM948" s="146">
        <v>6.5621408086047786E-2</v>
      </c>
      <c r="AN948" s="146">
        <v>0.26079258537442368</v>
      </c>
      <c r="AO948" s="146">
        <v>355.41865862396673</v>
      </c>
      <c r="AP948" s="146">
        <v>326.48782420279099</v>
      </c>
      <c r="AQ948" s="146" t="s">
        <v>303</v>
      </c>
      <c r="AR948" s="146">
        <f t="shared" si="55"/>
        <v>19.525354503836514</v>
      </c>
      <c r="AS948" s="146">
        <f t="shared" si="56"/>
        <v>5.3287291164862003</v>
      </c>
      <c r="AT948" s="146">
        <v>0.4</v>
      </c>
      <c r="AU948" s="146">
        <v>1</v>
      </c>
      <c r="AV948" s="146">
        <v>0.5</v>
      </c>
      <c r="AW948" s="146">
        <v>0.6</v>
      </c>
      <c r="AX948" s="146">
        <v>0.99999999900000003</v>
      </c>
      <c r="AY948" s="146">
        <v>0.36</v>
      </c>
      <c r="AZ948" s="209">
        <v>326.48782420279099</v>
      </c>
      <c r="BA948" s="146">
        <v>0.99999999900000003</v>
      </c>
      <c r="BB948" s="252">
        <v>16.744430680876505</v>
      </c>
      <c r="BC948" s="244">
        <v>101.61840615907265</v>
      </c>
      <c r="BD948" s="229">
        <v>39686.286177353228</v>
      </c>
      <c r="BE948" s="244">
        <v>19.497487635475171</v>
      </c>
      <c r="BF948" s="146">
        <v>626797.95503926405</v>
      </c>
      <c r="BG948" t="s">
        <v>389</v>
      </c>
      <c r="BH948" s="146">
        <v>4.896990277864841E-6</v>
      </c>
      <c r="BI948" s="146">
        <v>1596862.8617735323</v>
      </c>
      <c r="BJ948">
        <f t="shared" si="54"/>
        <v>0.39251833707443112</v>
      </c>
    </row>
    <row r="949" spans="1:62" s="146" customFormat="1" x14ac:dyDescent="0.3">
      <c r="A949">
        <v>-0.1</v>
      </c>
      <c r="B949" s="146">
        <v>1000</v>
      </c>
      <c r="C949" s="146">
        <v>25</v>
      </c>
      <c r="D949" s="146">
        <v>400</v>
      </c>
      <c r="E949" s="252">
        <v>9.6186371417337462</v>
      </c>
      <c r="F949" s="146">
        <v>0.72545199060903465</v>
      </c>
      <c r="G949" s="146">
        <v>10.226335854442915</v>
      </c>
      <c r="H949" s="146">
        <v>12.846320166328496</v>
      </c>
      <c r="J949" s="146">
        <v>0.99999999923681104</v>
      </c>
      <c r="K949" s="146">
        <v>0.36</v>
      </c>
      <c r="L949" s="146">
        <v>65.805619958178738</v>
      </c>
      <c r="M949" s="146">
        <v>24.272564738672489</v>
      </c>
      <c r="N949" s="146">
        <v>3.105196669729068</v>
      </c>
      <c r="Z949" s="146">
        <v>0.24171876689389249</v>
      </c>
      <c r="AL949" s="146">
        <v>1891.4432023842055</v>
      </c>
      <c r="AM949" s="146">
        <v>7.093958197098095E-2</v>
      </c>
      <c r="AN949" s="146">
        <v>0.25842398987859871</v>
      </c>
      <c r="AO949" s="146">
        <v>362.77962759474326</v>
      </c>
      <c r="AP949" s="146">
        <v>338.84486751967131</v>
      </c>
      <c r="AQ949" s="146" t="s">
        <v>303</v>
      </c>
      <c r="AR949" s="146">
        <f t="shared" si="55"/>
        <v>19.525354503836514</v>
      </c>
      <c r="AS949" s="146">
        <f t="shared" si="56"/>
        <v>5.3287291164862003</v>
      </c>
      <c r="AT949" s="146">
        <v>0.4</v>
      </c>
      <c r="AU949" s="146">
        <v>1</v>
      </c>
      <c r="AV949" s="146">
        <v>0.5</v>
      </c>
      <c r="AW949" s="146">
        <v>0.4</v>
      </c>
      <c r="AX949" s="146">
        <v>0.99999999900000003</v>
      </c>
      <c r="AY949" s="146">
        <v>0.36</v>
      </c>
      <c r="AZ949" s="209">
        <v>338.84486751967131</v>
      </c>
      <c r="BA949" s="146">
        <v>0.99999999900000003</v>
      </c>
      <c r="BB949" s="252">
        <v>14.306557944045217</v>
      </c>
      <c r="BC949" s="244">
        <v>81.444952039296609</v>
      </c>
      <c r="BD949" s="229">
        <v>30870.264407823041</v>
      </c>
      <c r="BE949" s="244">
        <v>16.544134922564055</v>
      </c>
      <c r="BF949" s="146">
        <v>650814.37528948497</v>
      </c>
      <c r="BG949" t="s">
        <v>389</v>
      </c>
      <c r="BH949" s="146">
        <v>4.1134291987779605E-6</v>
      </c>
      <c r="BI949" s="146">
        <v>1508702.6440782305</v>
      </c>
      <c r="BJ949">
        <f t="shared" si="54"/>
        <v>0.43137352336723184</v>
      </c>
    </row>
    <row r="950" spans="1:62" s="146" customFormat="1" x14ac:dyDescent="0.3">
      <c r="A950">
        <v>-0.1</v>
      </c>
      <c r="B950" s="146">
        <v>1000</v>
      </c>
      <c r="C950" s="146">
        <v>25</v>
      </c>
      <c r="D950" s="146">
        <v>400</v>
      </c>
      <c r="E950" s="252">
        <v>8.3337674621457882</v>
      </c>
      <c r="F950" s="146">
        <v>0.66765876194789364</v>
      </c>
      <c r="G950" s="146">
        <v>8.877534690826355</v>
      </c>
      <c r="H950" s="146">
        <v>11.155721524308584</v>
      </c>
      <c r="J950" s="146">
        <v>0.99999999924778449</v>
      </c>
      <c r="K950" s="146">
        <v>0.36</v>
      </c>
      <c r="L950" s="146">
        <v>57.177172923909197</v>
      </c>
      <c r="M950" s="146">
        <v>21.089940832589459</v>
      </c>
      <c r="N950" s="146">
        <v>2.7169851417213629</v>
      </c>
      <c r="Z950" s="146">
        <v>0.24355082150455148</v>
      </c>
      <c r="AL950" s="146">
        <v>1705.2860480235238</v>
      </c>
      <c r="AM950" s="146">
        <v>7.5207677040994514E-2</v>
      </c>
      <c r="AN950" s="146">
        <v>0.25666734775520034</v>
      </c>
      <c r="AO950" s="146">
        <v>367.53086228134396</v>
      </c>
      <c r="AP950" s="146">
        <v>346.79347716284298</v>
      </c>
      <c r="AQ950" s="146" t="s">
        <v>303</v>
      </c>
      <c r="AR950" s="146">
        <f t="shared" si="55"/>
        <v>19.525354503836514</v>
      </c>
      <c r="AS950" s="146">
        <f t="shared" si="56"/>
        <v>5.3287291164862003</v>
      </c>
      <c r="AT950" s="146">
        <v>0.4</v>
      </c>
      <c r="AU950" s="146">
        <v>1</v>
      </c>
      <c r="AV950" s="146">
        <v>0.5</v>
      </c>
      <c r="AW950" s="146">
        <v>0.3</v>
      </c>
      <c r="AX950" s="146">
        <v>0.99999999900000003</v>
      </c>
      <c r="AY950" s="146">
        <v>0.36</v>
      </c>
      <c r="AZ950" s="209">
        <v>346.79347716284298</v>
      </c>
      <c r="BA950" s="146">
        <v>0.99999999900000003</v>
      </c>
      <c r="BB950" s="252">
        <v>12.716334657115253</v>
      </c>
      <c r="BC950" s="244">
        <v>69.346248219816488</v>
      </c>
      <c r="BD950" s="229">
        <v>25759.365055782368</v>
      </c>
      <c r="BE950" s="244">
        <v>14.628890862831069</v>
      </c>
      <c r="BF950" s="146">
        <v>657498.87720715615</v>
      </c>
      <c r="BG950" t="s">
        <v>389</v>
      </c>
      <c r="BH950" s="146">
        <v>3.595074942307379E-6</v>
      </c>
      <c r="BI950" s="146">
        <v>1457593.6505578237</v>
      </c>
      <c r="BJ950">
        <f t="shared" si="54"/>
        <v>0.45108516832213846</v>
      </c>
    </row>
    <row r="951" spans="1:62" s="146" customFormat="1" x14ac:dyDescent="0.3">
      <c r="A951">
        <v>-0.1</v>
      </c>
      <c r="B951" s="146">
        <v>1000</v>
      </c>
      <c r="C951" s="146">
        <v>25</v>
      </c>
      <c r="D951" s="146">
        <v>400</v>
      </c>
      <c r="E951" s="252">
        <v>6.7337108863962163</v>
      </c>
      <c r="F951" s="146">
        <v>0.5895806427128345</v>
      </c>
      <c r="G951" s="146">
        <v>7.196560678844417</v>
      </c>
      <c r="H951" s="146">
        <v>9.0550428483458045</v>
      </c>
      <c r="J951" s="146">
        <v>0.99999999926331262</v>
      </c>
      <c r="K951" s="146">
        <v>0.36</v>
      </c>
      <c r="L951" s="146">
        <v>46.44084247606893</v>
      </c>
      <c r="M951" s="146">
        <v>17.129818946091</v>
      </c>
      <c r="N951" s="146">
        <v>2.2373022292636451</v>
      </c>
      <c r="Z951" s="146">
        <v>0.2470780389153388</v>
      </c>
      <c r="AL951" s="146">
        <v>1475.4034670804697</v>
      </c>
      <c r="AM951" s="146">
        <v>8.1925334756922527E-2</v>
      </c>
      <c r="AN951" s="146">
        <v>0.25418120279086742</v>
      </c>
      <c r="AO951" s="146">
        <v>373.508226365832</v>
      </c>
      <c r="AP951" s="146">
        <v>356.75235244864712</v>
      </c>
      <c r="AQ951" s="146" t="s">
        <v>303</v>
      </c>
      <c r="AR951" s="146">
        <f t="shared" si="55"/>
        <v>19.525354503836514</v>
      </c>
      <c r="AS951" s="146">
        <f t="shared" si="56"/>
        <v>5.3287291164862003</v>
      </c>
      <c r="AT951" s="146">
        <v>0.4</v>
      </c>
      <c r="AU951" s="146">
        <v>1</v>
      </c>
      <c r="AV951" s="146">
        <v>0.5</v>
      </c>
      <c r="AW951" s="146">
        <v>0.2</v>
      </c>
      <c r="AX951" s="146">
        <v>0.99999999900000003</v>
      </c>
      <c r="AY951" s="146">
        <v>0.36</v>
      </c>
      <c r="AZ951" s="209">
        <v>356.75235244864712</v>
      </c>
      <c r="BA951" s="146">
        <v>0.99999999900000003</v>
      </c>
      <c r="BB951" s="252">
        <v>10.688472565659454</v>
      </c>
      <c r="BC951" s="244">
        <v>55.020233776581591</v>
      </c>
      <c r="BD951" s="229">
        <v>19910.992684480032</v>
      </c>
      <c r="BE951" s="244">
        <v>12.20355466013195</v>
      </c>
      <c r="BF951" s="146">
        <v>654500.62073594355</v>
      </c>
      <c r="BG951" t="s">
        <v>389</v>
      </c>
      <c r="BH951" s="146">
        <v>2.9302319083620516E-6</v>
      </c>
      <c r="BI951" s="146">
        <v>1399109.9268448004</v>
      </c>
      <c r="BJ951">
        <f t="shared" si="54"/>
        <v>0.46779785360535547</v>
      </c>
    </row>
    <row r="952" spans="1:62" s="140" customFormat="1" x14ac:dyDescent="0.3">
      <c r="A952" s="140">
        <v>-0.1</v>
      </c>
      <c r="B952" s="140">
        <v>1000</v>
      </c>
      <c r="C952" s="140">
        <v>25</v>
      </c>
      <c r="D952" s="140">
        <v>400</v>
      </c>
      <c r="E952" s="253">
        <v>4.5540153090440354</v>
      </c>
      <c r="F952" s="140">
        <v>0.46697089074043285</v>
      </c>
      <c r="G952" s="140">
        <v>4.9009677006549284</v>
      </c>
      <c r="H952" s="140">
        <v>6.1961443638484042</v>
      </c>
      <c r="J952" s="140">
        <v>0.9999999992878793</v>
      </c>
      <c r="K952" s="140">
        <v>0.36</v>
      </c>
      <c r="L952" s="140">
        <v>31.804903735598</v>
      </c>
      <c r="M952" s="140">
        <v>11.731316951655</v>
      </c>
      <c r="N952" s="140">
        <v>1.5853955837486362</v>
      </c>
      <c r="Z952" s="140">
        <v>0.25586808354541829</v>
      </c>
      <c r="AL952" s="140">
        <v>1163.1674776818181</v>
      </c>
      <c r="AM952" s="140">
        <v>9.5281364673762359E-2</v>
      </c>
      <c r="AN952" s="140">
        <v>0.25024404133249195</v>
      </c>
      <c r="AO952" s="140">
        <v>381.80170331011698</v>
      </c>
      <c r="AP952" s="140">
        <v>370.4696858074995</v>
      </c>
      <c r="AQ952" s="140" t="s">
        <v>303</v>
      </c>
      <c r="AR952" s="140">
        <f t="shared" si="55"/>
        <v>19.525354503836514</v>
      </c>
      <c r="AS952" s="140">
        <f t="shared" si="56"/>
        <v>5.3287291164862003</v>
      </c>
      <c r="AT952" s="140">
        <v>0.4</v>
      </c>
      <c r="AU952" s="140">
        <v>1</v>
      </c>
      <c r="AV952" s="140">
        <v>0.5</v>
      </c>
      <c r="AW952" s="140">
        <v>0.1</v>
      </c>
      <c r="AX952" s="140">
        <v>0.99999999900000003</v>
      </c>
      <c r="AY952" s="140">
        <v>0.36</v>
      </c>
      <c r="AZ952" s="209">
        <v>370.4696858074995</v>
      </c>
      <c r="BA952" s="140">
        <v>0.99999999900000003</v>
      </c>
      <c r="BB952" s="253">
        <v>7.7940240904450286</v>
      </c>
      <c r="BC952" s="245">
        <v>36.597869502953692</v>
      </c>
      <c r="BD952" s="210">
        <v>12768.838335466082</v>
      </c>
      <c r="BE952" s="245">
        <v>8.7889089933171647</v>
      </c>
      <c r="BF952" s="140">
        <v>622474.54721485532</v>
      </c>
      <c r="BG952" t="s">
        <v>389</v>
      </c>
      <c r="BH952" s="140">
        <v>1.9862415289400139E-6</v>
      </c>
      <c r="BI952" s="140">
        <v>1327688.3833546608</v>
      </c>
      <c r="BJ952">
        <f t="shared" si="54"/>
        <v>0.46884084776131979</v>
      </c>
    </row>
    <row r="953" spans="1:62" s="146" customFormat="1" x14ac:dyDescent="0.3">
      <c r="A953">
        <v>-0.1</v>
      </c>
      <c r="B953" s="146">
        <v>1000</v>
      </c>
      <c r="C953" s="146">
        <v>25</v>
      </c>
      <c r="D953" s="146">
        <v>400</v>
      </c>
      <c r="E953" s="252">
        <v>19.900003634745939</v>
      </c>
      <c r="F953" s="146">
        <v>1.224165931873382</v>
      </c>
      <c r="G953" s="146">
        <v>21.108984304873999</v>
      </c>
      <c r="H953" s="146">
        <v>25.927315728189559</v>
      </c>
      <c r="J953" s="146">
        <v>0.99999999919405813</v>
      </c>
      <c r="K953" s="146">
        <v>0.36</v>
      </c>
      <c r="L953" s="146">
        <v>132.13920621889631</v>
      </c>
      <c r="M953" s="146">
        <v>48.739871146314222</v>
      </c>
      <c r="N953" s="146">
        <v>5.728863247939298</v>
      </c>
      <c r="Z953" s="146">
        <v>0.22095859471139054</v>
      </c>
      <c r="AL953" s="146">
        <v>3134.4127160051721</v>
      </c>
      <c r="AM953" s="146">
        <v>5.7992649679062286E-2</v>
      </c>
      <c r="AN953" s="146">
        <v>0.24720339186554666</v>
      </c>
      <c r="AO953" s="146">
        <v>319.49947173229117</v>
      </c>
      <c r="AP953" s="146">
        <v>269.98109203552269</v>
      </c>
      <c r="AQ953" s="146" t="s">
        <v>303</v>
      </c>
      <c r="AR953" s="146">
        <f t="shared" si="55"/>
        <v>19.525354503836514</v>
      </c>
      <c r="AS953" s="146">
        <f t="shared" si="56"/>
        <v>5.3287291164862003</v>
      </c>
      <c r="AT953" s="146">
        <v>0.4</v>
      </c>
      <c r="AU953" s="146">
        <v>1</v>
      </c>
      <c r="AV953" s="146">
        <v>0.5</v>
      </c>
      <c r="AW953" s="146">
        <v>3</v>
      </c>
      <c r="AX953" s="146">
        <v>0.99999999900000003</v>
      </c>
      <c r="AY953" s="146">
        <v>0.36</v>
      </c>
      <c r="AZ953" s="209">
        <v>269.98109203552269</v>
      </c>
      <c r="BA953" s="146">
        <v>0.99999999900000003</v>
      </c>
      <c r="BB953" s="252">
        <v>27.125495391867577</v>
      </c>
      <c r="BC953" s="244">
        <v>203.55004489392385</v>
      </c>
      <c r="BD953" s="229">
        <v>90551.973020027799</v>
      </c>
      <c r="BE953" s="244">
        <v>35.209036782624338</v>
      </c>
      <c r="BF953" s="146">
        <v>336701.72054112342</v>
      </c>
      <c r="BG953" t="s">
        <v>390</v>
      </c>
      <c r="BH953" s="146">
        <v>7.8839827850855249E-6</v>
      </c>
      <c r="BI953" s="146">
        <v>2105519.7302002781</v>
      </c>
      <c r="BJ953">
        <f t="shared" si="54"/>
        <v>0.159913828263721</v>
      </c>
    </row>
    <row r="954" spans="1:62" s="146" customFormat="1" x14ac:dyDescent="0.3">
      <c r="A954">
        <v>-0.2</v>
      </c>
      <c r="B954" s="146">
        <v>1000</v>
      </c>
      <c r="C954" s="146">
        <v>25</v>
      </c>
      <c r="D954" s="146">
        <v>400</v>
      </c>
      <c r="E954" s="252">
        <v>19.89831036170969</v>
      </c>
      <c r="F954" s="146">
        <v>1.2276366075449536</v>
      </c>
      <c r="G954" s="146">
        <v>21.109236461430594</v>
      </c>
      <c r="H954" s="146">
        <v>25.927889110426658</v>
      </c>
      <c r="J954" s="146">
        <v>0.99999999919420235</v>
      </c>
      <c r="K954" s="146">
        <v>0.36</v>
      </c>
      <c r="L954" s="146">
        <v>132.17152948281057</v>
      </c>
      <c r="M954" s="146">
        <v>48.751793661692425</v>
      </c>
      <c r="N954" s="146">
        <v>5.7310248571641225</v>
      </c>
      <c r="Z954" s="146">
        <v>0.22103707836591466</v>
      </c>
      <c r="AL954" s="146">
        <v>3125.4643973515435</v>
      </c>
      <c r="AM954" s="146">
        <v>5.8156371964851045E-2</v>
      </c>
      <c r="AN954" s="146">
        <v>0.21978874944222251</v>
      </c>
      <c r="AO954" s="146">
        <v>309.46620146751184</v>
      </c>
      <c r="AP954" s="146">
        <v>259.95196876948251</v>
      </c>
      <c r="AQ954" s="146" t="s">
        <v>303</v>
      </c>
      <c r="AR954" s="146">
        <f t="shared" si="55"/>
        <v>19.525354503836514</v>
      </c>
      <c r="AS954" s="146">
        <f t="shared" si="56"/>
        <v>5.3287291164862003</v>
      </c>
      <c r="AT954" s="146">
        <v>0.4</v>
      </c>
      <c r="AU954" s="146">
        <v>1</v>
      </c>
      <c r="AV954" s="146">
        <v>0.5</v>
      </c>
      <c r="AW954" s="146">
        <v>3</v>
      </c>
      <c r="AX954" s="146">
        <v>0.99999999900000003</v>
      </c>
      <c r="AY954" s="146">
        <v>0.36</v>
      </c>
      <c r="AZ954" s="209">
        <v>259.95196876948251</v>
      </c>
      <c r="BA954" s="146">
        <v>0.99999999900000003</v>
      </c>
      <c r="BB954" s="252">
        <v>27.14290283630876</v>
      </c>
      <c r="BC954" s="244">
        <v>203.62945749355339</v>
      </c>
      <c r="BD954" s="229">
        <v>90589.337167546793</v>
      </c>
      <c r="BE954" s="244">
        <v>35.21366088581788</v>
      </c>
      <c r="BF954" s="146">
        <v>336763.48505378119</v>
      </c>
      <c r="BG954" t="s">
        <v>390</v>
      </c>
      <c r="BH954" s="146">
        <v>7.8818367976246428E-6</v>
      </c>
      <c r="BI954" s="146">
        <v>2105893.371675468</v>
      </c>
      <c r="BJ954">
        <f t="shared" si="54"/>
        <v>0.15991478466255349</v>
      </c>
    </row>
    <row r="955" spans="1:62" s="146" customFormat="1" x14ac:dyDescent="0.3">
      <c r="A955">
        <v>-0.3</v>
      </c>
      <c r="B955" s="146">
        <v>1000</v>
      </c>
      <c r="C955" s="146">
        <v>25</v>
      </c>
      <c r="D955" s="146">
        <v>400</v>
      </c>
      <c r="E955" s="252">
        <v>19.89620471818851</v>
      </c>
      <c r="F955" s="146">
        <v>1.2322162928092453</v>
      </c>
      <c r="G955" s="146">
        <v>21.109705752145747</v>
      </c>
      <c r="H955" s="146">
        <v>25.928290547773408</v>
      </c>
      <c r="J955" s="146">
        <v>0.99999999919435545</v>
      </c>
      <c r="K955" s="146">
        <v>0.36</v>
      </c>
      <c r="L955" s="146">
        <v>132.21515202578749</v>
      </c>
      <c r="M955" s="146">
        <v>48.76788394393801</v>
      </c>
      <c r="N955" s="146">
        <v>5.7333893920059396</v>
      </c>
      <c r="Z955" s="146">
        <v>0.22112485130641574</v>
      </c>
      <c r="AL955" s="146">
        <v>3113.7643808344819</v>
      </c>
      <c r="AM955" s="146">
        <v>5.8372025990177226E-2</v>
      </c>
      <c r="AN955" s="146">
        <v>0.19237986292194861</v>
      </c>
      <c r="AO955" s="146">
        <v>296.57854821187448</v>
      </c>
      <c r="AP955" s="146">
        <v>247.0696848315132</v>
      </c>
      <c r="AQ955" s="146" t="s">
        <v>303</v>
      </c>
      <c r="AR955" s="146">
        <f t="shared" si="55"/>
        <v>19.525354503836514</v>
      </c>
      <c r="AS955" s="146">
        <f t="shared" si="56"/>
        <v>5.3287291164862003</v>
      </c>
      <c r="AT955" s="146">
        <v>0.4</v>
      </c>
      <c r="AU955" s="146">
        <v>1</v>
      </c>
      <c r="AV955" s="146">
        <v>0.5</v>
      </c>
      <c r="AW955" s="146">
        <v>3</v>
      </c>
      <c r="AX955" s="146">
        <v>0.99999999900000003</v>
      </c>
      <c r="AY955" s="146">
        <v>0.36</v>
      </c>
      <c r="AZ955" s="209">
        <v>247.0696848315132</v>
      </c>
      <c r="BA955" s="146">
        <v>0.99999999900000003</v>
      </c>
      <c r="BB955" s="252">
        <v>27.166001835296814</v>
      </c>
      <c r="BC955" s="244">
        <v>203.73667717555148</v>
      </c>
      <c r="BD955" s="229">
        <v>90640.168205493726</v>
      </c>
      <c r="BE955" s="244">
        <v>35.220477845493939</v>
      </c>
      <c r="BF955" s="146">
        <v>336851.45214560465</v>
      </c>
      <c r="BG955" t="s">
        <v>390</v>
      </c>
      <c r="BH955" s="146">
        <v>7.8789857987075518E-6</v>
      </c>
      <c r="BI955" s="146">
        <v>2106401.6820549374</v>
      </c>
      <c r="BJ955">
        <f t="shared" si="54"/>
        <v>0.15991795630213476</v>
      </c>
    </row>
    <row r="956" spans="1:62" s="146" customFormat="1" x14ac:dyDescent="0.3">
      <c r="A956">
        <v>-0.4</v>
      </c>
      <c r="B956" s="146">
        <v>1000</v>
      </c>
      <c r="C956" s="146">
        <v>25</v>
      </c>
      <c r="D956" s="146">
        <v>400</v>
      </c>
      <c r="E956" s="252">
        <v>19.893423861817848</v>
      </c>
      <c r="F956" s="146">
        <v>1.2385641979187876</v>
      </c>
      <c r="G956" s="146">
        <v>21.110504139299092</v>
      </c>
      <c r="H956" s="146">
        <v>25.927933493485931</v>
      </c>
      <c r="J956" s="146">
        <v>0.99999999919449267</v>
      </c>
      <c r="K956" s="146">
        <v>0.36</v>
      </c>
      <c r="L956" s="146">
        <v>132.27661410859247</v>
      </c>
      <c r="M956" s="146">
        <v>48.790554384316899</v>
      </c>
      <c r="N956" s="146">
        <v>5.7356105482958775</v>
      </c>
      <c r="Z956" s="146">
        <v>0.2212135629604603</v>
      </c>
      <c r="AL956" s="146">
        <v>3097.7228345677968</v>
      </c>
      <c r="AM956" s="146">
        <v>5.8670517281161919E-2</v>
      </c>
      <c r="AN956" s="146">
        <v>0.16498044702598921</v>
      </c>
      <c r="AO956" s="146">
        <v>279.41950564187732</v>
      </c>
      <c r="AP956" s="146">
        <v>229.91756041986361</v>
      </c>
      <c r="AQ956" s="146" t="s">
        <v>303</v>
      </c>
      <c r="AR956" s="146">
        <f t="shared" si="55"/>
        <v>19.525354503836514</v>
      </c>
      <c r="AS956" s="146">
        <f t="shared" si="56"/>
        <v>5.3287291164862003</v>
      </c>
      <c r="AT956" s="146">
        <v>0.4</v>
      </c>
      <c r="AU956" s="146">
        <v>1</v>
      </c>
      <c r="AV956" s="146">
        <v>0.5</v>
      </c>
      <c r="AW956" s="146">
        <v>3</v>
      </c>
      <c r="AX956" s="146">
        <v>0.99999999900000003</v>
      </c>
      <c r="AY956" s="146">
        <v>0.36</v>
      </c>
      <c r="AZ956" s="209">
        <v>229.91756041986361</v>
      </c>
      <c r="BA956" s="146">
        <v>0.99999999900000003</v>
      </c>
      <c r="BB956" s="252">
        <v>27.198159922662477</v>
      </c>
      <c r="BC956" s="244">
        <v>203.88783579867152</v>
      </c>
      <c r="BD956" s="229">
        <v>90712.729146475031</v>
      </c>
      <c r="BE956" s="244">
        <v>35.231435610067415</v>
      </c>
      <c r="BF956" s="146">
        <v>336981.45225998235</v>
      </c>
      <c r="BG956" t="s">
        <v>390</v>
      </c>
      <c r="BH956" s="146">
        <v>7.8749949859784009E-6</v>
      </c>
      <c r="BI956" s="146">
        <v>2107127.2914647502</v>
      </c>
      <c r="BJ956">
        <f t="shared" si="54"/>
        <v>0.15992458245165284</v>
      </c>
    </row>
    <row r="957" spans="1:62" s="146" customFormat="1" x14ac:dyDescent="0.3">
      <c r="A957">
        <v>-0.5</v>
      </c>
      <c r="B957" s="146">
        <v>1000</v>
      </c>
      <c r="C957" s="146">
        <v>25</v>
      </c>
      <c r="D957" s="146">
        <v>400</v>
      </c>
      <c r="E957" s="252">
        <v>19.889595701696827</v>
      </c>
      <c r="F957" s="146">
        <v>1.2480318060375275</v>
      </c>
      <c r="G957" s="146">
        <v>21.112038784131467</v>
      </c>
      <c r="H957" s="146">
        <v>25.925238148208635</v>
      </c>
      <c r="J957" s="146">
        <v>0.99999999919451599</v>
      </c>
      <c r="K957" s="146">
        <v>0.36</v>
      </c>
      <c r="L957" s="146">
        <v>132.37075758741099</v>
      </c>
      <c r="M957" s="146">
        <v>48.825279437979468</v>
      </c>
      <c r="N957" s="146">
        <v>5.7364288622405013</v>
      </c>
      <c r="Z957" s="146">
        <v>0.2212681260417611</v>
      </c>
      <c r="AL957" s="146">
        <v>3074.1763743818619</v>
      </c>
      <c r="AM957" s="146">
        <v>5.9114698433369257E-2</v>
      </c>
      <c r="AN957" s="146">
        <v>0.13760086356398149</v>
      </c>
      <c r="AO957" s="146">
        <v>255.45442676347315</v>
      </c>
      <c r="AP957" s="146">
        <v>205.961943261611</v>
      </c>
      <c r="AQ957" s="146" t="s">
        <v>303</v>
      </c>
      <c r="AR957" s="146">
        <f t="shared" si="55"/>
        <v>19.525354503836514</v>
      </c>
      <c r="AS957" s="146">
        <f t="shared" si="56"/>
        <v>5.3287291164862003</v>
      </c>
      <c r="AT957" s="146">
        <v>0.4</v>
      </c>
      <c r="AU957" s="146">
        <v>1</v>
      </c>
      <c r="AV957" s="146">
        <v>0.5</v>
      </c>
      <c r="AW957" s="146">
        <v>3</v>
      </c>
      <c r="AX957" s="146">
        <v>0.99999999900000003</v>
      </c>
      <c r="AY957" s="146">
        <v>0.36</v>
      </c>
      <c r="AZ957" s="209">
        <v>205.961943261611</v>
      </c>
      <c r="BA957" s="146">
        <v>0.99999999900000003</v>
      </c>
      <c r="BB957" s="252">
        <v>27.246448460662116</v>
      </c>
      <c r="BC957" s="244">
        <v>204.11957758300377</v>
      </c>
      <c r="BD957" s="229">
        <v>90826.015271304728</v>
      </c>
      <c r="BE957" s="244">
        <v>35.251294183347326</v>
      </c>
      <c r="BF957" s="146">
        <v>337194.53457436454</v>
      </c>
      <c r="BG957" t="s">
        <v>390</v>
      </c>
      <c r="BH957" s="146">
        <v>7.8689445422178367E-6</v>
      </c>
      <c r="BI957" s="146">
        <v>2108260.1527130473</v>
      </c>
      <c r="BJ957">
        <f t="shared" si="54"/>
        <v>0.15993971813224309</v>
      </c>
    </row>
    <row r="958" spans="1:62" s="146" customFormat="1" x14ac:dyDescent="0.3">
      <c r="A958">
        <v>-0.6</v>
      </c>
      <c r="B958" s="146">
        <v>1000</v>
      </c>
      <c r="C958" s="146">
        <v>25</v>
      </c>
      <c r="D958" s="146">
        <v>400</v>
      </c>
      <c r="E958" s="252">
        <v>19.884192704586106</v>
      </c>
      <c r="F958" s="146">
        <v>1.2640659812658706</v>
      </c>
      <c r="G958" s="146">
        <v>21.11580324999786</v>
      </c>
      <c r="H958" s="146">
        <v>25.914279703710633</v>
      </c>
      <c r="J958" s="146">
        <v>0.99999999919398086</v>
      </c>
      <c r="K958" s="146">
        <v>0.36</v>
      </c>
      <c r="L958" s="146">
        <v>132.53949477936746</v>
      </c>
      <c r="M958" s="146">
        <v>48.887518566160125</v>
      </c>
      <c r="N958" s="146">
        <v>5.7302982264472462</v>
      </c>
      <c r="Z958" s="146">
        <v>0.22112512066568193</v>
      </c>
      <c r="AL958" s="146">
        <v>3035.3558172316853</v>
      </c>
      <c r="AM958" s="146">
        <v>5.9863504423683177E-2</v>
      </c>
      <c r="AN958" s="146">
        <v>0.11027525417345563</v>
      </c>
      <c r="AO958" s="146">
        <v>219.68581388794991</v>
      </c>
      <c r="AP958" s="146">
        <v>170.20670400806083</v>
      </c>
      <c r="AQ958" s="146" t="s">
        <v>303</v>
      </c>
      <c r="AR958" s="146">
        <f t="shared" si="55"/>
        <v>19.525354503836514</v>
      </c>
      <c r="AS958" s="146">
        <f t="shared" si="56"/>
        <v>5.3287291164862003</v>
      </c>
      <c r="AT958" s="146">
        <v>0.4</v>
      </c>
      <c r="AU958" s="146">
        <v>1</v>
      </c>
      <c r="AV958" s="146">
        <v>0.5</v>
      </c>
      <c r="AW958" s="146">
        <v>3</v>
      </c>
      <c r="AX958" s="146">
        <v>0.99999999900000003</v>
      </c>
      <c r="AY958" s="146">
        <v>0.36</v>
      </c>
      <c r="AZ958" s="209">
        <v>170.20670400806083</v>
      </c>
      <c r="BA958" s="146">
        <v>0.99999999900000003</v>
      </c>
      <c r="BB958" s="252">
        <v>27.329331045129234</v>
      </c>
      <c r="BC958" s="244">
        <v>204.53556677671628</v>
      </c>
      <c r="BD958" s="229">
        <v>91035.063459541445</v>
      </c>
      <c r="BE958" s="244">
        <v>35.295455134810901</v>
      </c>
      <c r="BF958" s="146">
        <v>337620.59626194387</v>
      </c>
      <c r="BG958" t="s">
        <v>390</v>
      </c>
      <c r="BH958" s="146">
        <v>7.8583612166968277E-6</v>
      </c>
      <c r="BI958" s="146">
        <v>2110350.6345954146</v>
      </c>
      <c r="BJ958">
        <f t="shared" si="54"/>
        <v>0.1599831756520739</v>
      </c>
    </row>
    <row r="959" spans="1:62" s="146" customFormat="1" x14ac:dyDescent="0.3">
      <c r="A959">
        <v>-0.7</v>
      </c>
      <c r="B959" s="146">
        <v>1000</v>
      </c>
      <c r="C959" s="146">
        <v>25</v>
      </c>
      <c r="D959" s="146">
        <v>400</v>
      </c>
      <c r="E959" s="252">
        <v>19.880123288473303</v>
      </c>
      <c r="F959" s="146">
        <v>1.3010435411396957</v>
      </c>
      <c r="G959" s="146">
        <v>21.133514895594004</v>
      </c>
      <c r="H959" s="146">
        <v>25.861113401833524</v>
      </c>
      <c r="J959" s="146">
        <v>0.99999999918952232</v>
      </c>
      <c r="K959" s="146">
        <v>0.36</v>
      </c>
      <c r="L959" s="146">
        <v>133.00790399974952</v>
      </c>
      <c r="M959" s="146">
        <v>49.060292458924003</v>
      </c>
      <c r="N959" s="146">
        <v>5.6795551984631132</v>
      </c>
      <c r="Z959" s="146">
        <v>0.2196175822058937</v>
      </c>
      <c r="AL959" s="146">
        <v>2951.3810688971175</v>
      </c>
      <c r="AM959" s="146">
        <v>6.1563045596875234E-2</v>
      </c>
      <c r="AN959" s="146">
        <v>8.320560401275881E-2</v>
      </c>
      <c r="AO959" s="146">
        <v>161.07230367049712</v>
      </c>
      <c r="AP959" s="146">
        <v>111.60346966555979</v>
      </c>
      <c r="AQ959" s="146" t="s">
        <v>303</v>
      </c>
      <c r="AR959" s="146">
        <f t="shared" si="55"/>
        <v>19.525354503836514</v>
      </c>
      <c r="AS959" s="146">
        <f t="shared" si="56"/>
        <v>5.3287291164862003</v>
      </c>
      <c r="AT959" s="146">
        <v>0.4</v>
      </c>
      <c r="AU959" s="146">
        <v>1</v>
      </c>
      <c r="AV959" s="146">
        <v>0.5</v>
      </c>
      <c r="AW959" s="146">
        <v>3</v>
      </c>
      <c r="AX959" s="146">
        <v>0.99999999900000003</v>
      </c>
      <c r="AY959" s="146">
        <v>0.36</v>
      </c>
      <c r="AZ959" s="209">
        <v>111.60346966555979</v>
      </c>
      <c r="BA959" s="146">
        <v>0.99999999900000003</v>
      </c>
      <c r="BB959" s="252">
        <v>27.528964267566039</v>
      </c>
      <c r="BC959" s="244">
        <v>205.69459595340172</v>
      </c>
      <c r="BD959" s="229">
        <v>91641.009678249815</v>
      </c>
      <c r="BE959" s="244">
        <v>35.453338666939501</v>
      </c>
      <c r="BF959" s="146">
        <v>339086.6708468062</v>
      </c>
      <c r="BG959" t="s">
        <v>390</v>
      </c>
      <c r="BH959" s="146">
        <v>7.8317282849119424E-6</v>
      </c>
      <c r="BI959" s="146">
        <v>2116410.0967824981</v>
      </c>
      <c r="BJ959">
        <f t="shared" si="54"/>
        <v>0.16021784783691376</v>
      </c>
    </row>
    <row r="960" spans="1:62" s="146" customFormat="1" x14ac:dyDescent="0.3">
      <c r="A960">
        <v>-0.8</v>
      </c>
      <c r="B960" s="146">
        <v>1000</v>
      </c>
      <c r="C960" s="146">
        <v>25</v>
      </c>
      <c r="D960" s="146">
        <v>400</v>
      </c>
      <c r="E960" s="252">
        <v>20.847844080027532</v>
      </c>
      <c r="F960" s="146">
        <v>1.7366358139353706</v>
      </c>
      <c r="G960" s="146">
        <v>22.451753903060752</v>
      </c>
      <c r="H960" s="146">
        <v>25.988776976276203</v>
      </c>
      <c r="J960" s="146">
        <v>0.99999999903444914</v>
      </c>
      <c r="K960" s="146">
        <v>0.36</v>
      </c>
      <c r="L960" s="146">
        <v>150.76699610003828</v>
      </c>
      <c r="M960" s="146">
        <v>55.610777250014131</v>
      </c>
      <c r="N960" s="146">
        <v>4.7731369392874008</v>
      </c>
      <c r="Z960" s="146">
        <v>0.18366146831936525</v>
      </c>
      <c r="AL960" s="146">
        <v>2409.8673486432672</v>
      </c>
      <c r="AM960" s="146">
        <v>7.7349672610593792E-2</v>
      </c>
      <c r="AN960" s="146">
        <v>6.4181919788648872E-2</v>
      </c>
      <c r="AO960" s="146">
        <v>75.175748112871929</v>
      </c>
      <c r="AP960" s="146">
        <v>23.298878999567219</v>
      </c>
      <c r="AQ960" s="146" t="s">
        <v>303</v>
      </c>
      <c r="AR960" s="146">
        <f t="shared" si="55"/>
        <v>19.525354503836514</v>
      </c>
      <c r="AS960" s="146">
        <f t="shared" si="56"/>
        <v>5.3287291164862003</v>
      </c>
      <c r="AT960" s="146">
        <v>0.4</v>
      </c>
      <c r="AU960" s="146">
        <v>1</v>
      </c>
      <c r="AV960" s="146">
        <v>0.5</v>
      </c>
      <c r="AW960" s="146">
        <v>3</v>
      </c>
      <c r="AX960" s="146">
        <v>0.99999999900000003</v>
      </c>
      <c r="AY960" s="146">
        <v>0.36</v>
      </c>
      <c r="AZ960" s="209">
        <v>23.298878999567219</v>
      </c>
      <c r="BA960" s="146">
        <v>0.99999999900000003</v>
      </c>
      <c r="BB960" s="252">
        <v>30.900658958420852</v>
      </c>
      <c r="BC960" s="244">
        <v>255.03112464970044</v>
      </c>
      <c r="BD960" s="229">
        <v>115914.21993134009</v>
      </c>
      <c r="BE960" s="244">
        <v>39.205641776512785</v>
      </c>
      <c r="BF960" s="146">
        <v>427657.48234704044</v>
      </c>
      <c r="BG960" t="s">
        <v>390</v>
      </c>
      <c r="BH960" s="146">
        <v>7.2093128128832174E-6</v>
      </c>
      <c r="BI960" s="146">
        <v>2359142.1993134012</v>
      </c>
      <c r="BJ960">
        <f t="shared" si="54"/>
        <v>0.18127668712445769</v>
      </c>
    </row>
    <row r="961" spans="1:62" s="227" customFormat="1" x14ac:dyDescent="0.3">
      <c r="A961" s="280">
        <v>-0.85</v>
      </c>
      <c r="B961" s="227">
        <v>1000</v>
      </c>
      <c r="C961" s="227">
        <v>25</v>
      </c>
      <c r="D961" s="227">
        <v>400</v>
      </c>
      <c r="E961" s="281">
        <v>14.131041273678534</v>
      </c>
      <c r="F961" s="227">
        <v>1.0850119612855684</v>
      </c>
      <c r="G961" s="227">
        <v>15.070854152991481</v>
      </c>
      <c r="H961" s="227">
        <v>18.52912685115357</v>
      </c>
      <c r="J961" s="227">
        <v>0.99999999916142202</v>
      </c>
      <c r="K961" s="227">
        <v>0.36</v>
      </c>
      <c r="L961" s="227">
        <v>98.954987766213122</v>
      </c>
      <c r="M961" s="227">
        <v>36.499790569504839</v>
      </c>
      <c r="N961" s="227">
        <v>4.1994321295271284</v>
      </c>
      <c r="Z961" s="227">
        <v>0.22663950456282206</v>
      </c>
      <c r="AL961" s="227">
        <v>2153.8203851911271</v>
      </c>
      <c r="AM961" s="227">
        <v>7.1994058881539869E-2</v>
      </c>
      <c r="AN961" s="227">
        <v>4.5476533481228959E-2</v>
      </c>
      <c r="AO961" s="227">
        <v>89.267404704201851</v>
      </c>
      <c r="AP961" s="227">
        <v>54.104320427562499</v>
      </c>
      <c r="AQ961" s="227" t="s">
        <v>303</v>
      </c>
      <c r="AR961" s="227">
        <f t="shared" si="55"/>
        <v>19.525354503836514</v>
      </c>
      <c r="AS961" s="227">
        <f t="shared" si="56"/>
        <v>5.3287291164862003</v>
      </c>
      <c r="AT961" s="227">
        <v>0.4</v>
      </c>
      <c r="AU961" s="227">
        <v>1</v>
      </c>
      <c r="AV961" s="227">
        <v>0.5</v>
      </c>
      <c r="AW961" s="227">
        <v>3</v>
      </c>
      <c r="AX961" s="227">
        <v>0.99999999900000003</v>
      </c>
      <c r="AY961" s="227">
        <v>0.36</v>
      </c>
      <c r="AZ961" s="282">
        <v>54.104320427562499</v>
      </c>
      <c r="BA961" s="227">
        <v>0.99999999900000003</v>
      </c>
      <c r="BB961" s="281">
        <v>20.777349384588437</v>
      </c>
      <c r="BC961" s="283">
        <v>134.35999451910899</v>
      </c>
      <c r="BD961" s="284">
        <v>55105.717801121085</v>
      </c>
      <c r="BE961" s="283">
        <v>24.562764948955721</v>
      </c>
      <c r="BF961" s="227">
        <v>640701.3820233047</v>
      </c>
      <c r="BG961" s="280" t="s">
        <v>390</v>
      </c>
      <c r="BH961" s="227">
        <v>5.5832122048311528E-6</v>
      </c>
      <c r="BI961" s="227">
        <v>1751057.1780112109</v>
      </c>
      <c r="BJ961">
        <f t="shared" si="54"/>
        <v>0.36589403822380651</v>
      </c>
    </row>
    <row r="962" spans="1:62" s="256" customFormat="1" ht="15" thickBot="1" x14ac:dyDescent="0.35">
      <c r="A962" s="256">
        <v>-0.87</v>
      </c>
      <c r="B962" s="256">
        <v>1000</v>
      </c>
      <c r="C962" s="256">
        <v>25</v>
      </c>
      <c r="D962" s="256">
        <v>400</v>
      </c>
      <c r="E962" s="257">
        <v>4.4297014934044716</v>
      </c>
      <c r="F962" s="256">
        <v>0.4987618808344042</v>
      </c>
      <c r="G962" s="256">
        <v>4.7910695593681698</v>
      </c>
      <c r="H962" s="256">
        <v>6.0731381572131635</v>
      </c>
      <c r="J962" s="256">
        <v>0.99999999929886851</v>
      </c>
      <c r="K962" s="256">
        <v>0.36</v>
      </c>
      <c r="L962" s="256">
        <v>31.26133436129852</v>
      </c>
      <c r="M962" s="256">
        <v>11.530820051298637</v>
      </c>
      <c r="N962" s="256">
        <v>1.5874431026834577</v>
      </c>
      <c r="Z962" s="256">
        <v>0.2613876156922309</v>
      </c>
      <c r="AL962" s="256">
        <v>1059.1399941162269</v>
      </c>
      <c r="AM962" s="256">
        <v>0.1041024085862321</v>
      </c>
      <c r="AN962" s="256">
        <v>3.5850935795008511E-2</v>
      </c>
      <c r="AO962" s="256">
        <v>276.44111945269742</v>
      </c>
      <c r="AP962" s="256">
        <v>265.41844277449746</v>
      </c>
      <c r="AQ962" s="256" t="s">
        <v>303</v>
      </c>
      <c r="AR962" s="256">
        <f t="shared" si="55"/>
        <v>19.525354503836514</v>
      </c>
      <c r="AS962" s="256">
        <f t="shared" si="56"/>
        <v>5.3287291164862003</v>
      </c>
      <c r="AT962" s="256">
        <v>0.4</v>
      </c>
      <c r="AU962" s="256">
        <v>1</v>
      </c>
      <c r="AV962" s="256">
        <v>0.5</v>
      </c>
      <c r="AW962" s="256">
        <v>3</v>
      </c>
      <c r="AX962" s="256">
        <v>0.99999999900000003</v>
      </c>
      <c r="AY962" s="256">
        <v>0.36</v>
      </c>
      <c r="AZ962" s="258">
        <v>265.41844277449746</v>
      </c>
      <c r="BA962" s="256">
        <v>0.99999999900000003</v>
      </c>
      <c r="BB962" s="257">
        <v>7.8895303726562815</v>
      </c>
      <c r="BC962" s="259">
        <v>35.935486869011562</v>
      </c>
      <c r="BD962" s="258">
        <v>12609.640009820658</v>
      </c>
      <c r="BE962" s="259">
        <v>8.8593633495867934</v>
      </c>
      <c r="BF962" s="256">
        <v>896559.55396883143</v>
      </c>
      <c r="BG962" t="s">
        <v>390</v>
      </c>
      <c r="BH962" s="256">
        <v>1.6047359185508464E-6</v>
      </c>
      <c r="BI962" s="256">
        <v>1326096.4000982065</v>
      </c>
      <c r="BJ962">
        <f t="shared" si="54"/>
        <v>0.67608927518575201</v>
      </c>
    </row>
    <row r="963" spans="1:62" x14ac:dyDescent="0.3">
      <c r="A963">
        <v>-0.1</v>
      </c>
      <c r="B963" s="146">
        <v>100</v>
      </c>
      <c r="C963" s="146">
        <v>25</v>
      </c>
      <c r="D963" s="146">
        <v>400</v>
      </c>
      <c r="E963" s="249">
        <v>3.2082547476872536</v>
      </c>
      <c r="F963">
        <v>0.73436433630322462</v>
      </c>
      <c r="G963">
        <v>3.7922787456071974</v>
      </c>
      <c r="H963">
        <v>1.8715657741556544</v>
      </c>
      <c r="J963">
        <v>0.33047348326705772</v>
      </c>
      <c r="K963">
        <v>0.18</v>
      </c>
      <c r="L963">
        <v>18.830324237170718</v>
      </c>
      <c r="M963">
        <v>9.3760950558526392</v>
      </c>
      <c r="N963">
        <v>0.7360949921021831</v>
      </c>
      <c r="Z963">
        <v>0.3933043669994809</v>
      </c>
      <c r="AL963">
        <v>744.0014689320351</v>
      </c>
      <c r="AM963">
        <v>0.19364724630378996</v>
      </c>
      <c r="AN963">
        <v>0.19973367963913627</v>
      </c>
      <c r="AO963">
        <v>383.93733719078483</v>
      </c>
      <c r="AP963">
        <v>375.95397288094364</v>
      </c>
      <c r="AQ963" t="s">
        <v>326</v>
      </c>
      <c r="AR963">
        <f t="shared" ref="AR963:AR1002" si="57">0.3*Jsat_t</f>
        <v>9.762677251918257</v>
      </c>
      <c r="AS963">
        <f t="shared" ref="AS963:AS1002" si="58">0.1*Jatp</f>
        <v>2.6643645582431001</v>
      </c>
      <c r="AT963">
        <v>0.2</v>
      </c>
      <c r="AU963">
        <v>1</v>
      </c>
      <c r="AV963">
        <v>0.3</v>
      </c>
      <c r="AW963">
        <v>3</v>
      </c>
      <c r="AX963">
        <v>0.22356528653976879</v>
      </c>
      <c r="AY963">
        <v>0.18</v>
      </c>
      <c r="AZ963" s="209">
        <v>375.95397288094364</v>
      </c>
      <c r="BA963">
        <v>0.22356528653976879</v>
      </c>
      <c r="BB963" s="249">
        <v>8.8503423956810732</v>
      </c>
      <c r="BC963" s="243">
        <v>70.156325624874384</v>
      </c>
      <c r="BD963" s="209">
        <v>25494.672962545526</v>
      </c>
      <c r="BE963" s="243">
        <v>16.58040628245811</v>
      </c>
      <c r="BF963">
        <v>18055.054663713454</v>
      </c>
      <c r="BG963" t="s">
        <v>387</v>
      </c>
      <c r="BH963">
        <v>1.9723185196649341E-6</v>
      </c>
      <c r="BI963">
        <v>1454946.7296254553</v>
      </c>
      <c r="BJ963">
        <f t="shared" si="54"/>
        <v>1.2409426610664529E-2</v>
      </c>
    </row>
    <row r="964" spans="1:62" x14ac:dyDescent="0.3">
      <c r="A964">
        <v>-0.1</v>
      </c>
      <c r="B964" s="146">
        <v>200</v>
      </c>
      <c r="C964" s="146">
        <v>25</v>
      </c>
      <c r="D964" s="146">
        <v>400</v>
      </c>
      <c r="E964" s="252">
        <v>5.9536736551024658</v>
      </c>
      <c r="F964" s="146">
        <v>1.3053398014274817</v>
      </c>
      <c r="G964" s="146">
        <v>6.9258377692667121</v>
      </c>
      <c r="H964" s="146">
        <v>3.4589978696871846</v>
      </c>
      <c r="I964" s="146"/>
      <c r="J964" s="146">
        <v>0.33087304829079234</v>
      </c>
      <c r="K964" s="146">
        <v>0.18</v>
      </c>
      <c r="L964" s="146">
        <v>34.870984584591454</v>
      </c>
      <c r="M964" s="146">
        <v>17.363145851248859</v>
      </c>
      <c r="N964" s="146">
        <v>1.1448579057083532</v>
      </c>
      <c r="O964" s="146"/>
      <c r="P964" s="146"/>
      <c r="Q964" s="146"/>
      <c r="R964" s="146"/>
      <c r="S964" s="146"/>
      <c r="T964" s="146"/>
      <c r="U964" s="146"/>
      <c r="V964" s="146"/>
      <c r="W964" s="146"/>
      <c r="X964" s="146"/>
      <c r="Y964" s="146"/>
      <c r="Z964" s="146">
        <v>0.33097965041877542</v>
      </c>
      <c r="AA964" s="146"/>
      <c r="AB964" s="146"/>
      <c r="AC964" s="146"/>
      <c r="AD964" s="146"/>
      <c r="AE964" s="146"/>
      <c r="AF964" s="146"/>
      <c r="AG964" s="146"/>
      <c r="AH964" s="146"/>
      <c r="AI964" s="146"/>
      <c r="AJ964" s="146"/>
      <c r="AK964" s="146"/>
      <c r="AL964" s="146">
        <v>931.01956249485238</v>
      </c>
      <c r="AM964" s="146">
        <v>0.1884739211218468</v>
      </c>
      <c r="AN964" s="146">
        <v>0.22386836794410403</v>
      </c>
      <c r="AO964" s="146">
        <v>373.40547166275411</v>
      </c>
      <c r="AP964" s="146">
        <v>358.59060964067618</v>
      </c>
      <c r="AQ964" t="s">
        <v>326</v>
      </c>
      <c r="AR964">
        <f t="shared" si="57"/>
        <v>9.762677251918257</v>
      </c>
      <c r="AS964">
        <f t="shared" si="58"/>
        <v>2.6643645582431001</v>
      </c>
      <c r="AT964">
        <v>0.2</v>
      </c>
      <c r="AU964">
        <v>1</v>
      </c>
      <c r="AV964">
        <v>0.3</v>
      </c>
      <c r="AW964" s="146">
        <v>3</v>
      </c>
      <c r="AX964" s="146">
        <v>0.23564227469974222</v>
      </c>
      <c r="AY964">
        <v>0.18</v>
      </c>
      <c r="AZ964" s="209">
        <v>358.59060964067618</v>
      </c>
      <c r="BA964">
        <v>0.23564227469974222</v>
      </c>
      <c r="BB964" s="249">
        <v>15.843718497780152</v>
      </c>
      <c r="BC964" s="243">
        <v>102.12621480350259</v>
      </c>
      <c r="BD964" s="209">
        <v>40891.398832243765</v>
      </c>
      <c r="BE964" s="243">
        <v>25.671470576699424</v>
      </c>
      <c r="BF964">
        <v>50386.899120245085</v>
      </c>
      <c r="BG964" t="s">
        <v>387</v>
      </c>
      <c r="BH964">
        <v>3.3738905545852653E-6</v>
      </c>
      <c r="BI964">
        <v>1608913.9883224377</v>
      </c>
      <c r="BJ964">
        <f t="shared" ref="BJ964:BJ1027" si="59">BF964/BI964</f>
        <v>3.131733547346547E-2</v>
      </c>
    </row>
    <row r="965" spans="1:62" x14ac:dyDescent="0.3">
      <c r="A965">
        <v>-0.1</v>
      </c>
      <c r="B965" s="146">
        <v>300</v>
      </c>
      <c r="C965" s="146">
        <v>25</v>
      </c>
      <c r="D965" s="146">
        <v>400</v>
      </c>
      <c r="E965" s="252">
        <v>8.3200228532920182</v>
      </c>
      <c r="F965" s="146">
        <v>1.8042157749214711</v>
      </c>
      <c r="G965" s="146">
        <v>9.6172635793123895</v>
      </c>
      <c r="H965" s="146">
        <v>4.8566894180724098</v>
      </c>
      <c r="I965" s="146"/>
      <c r="J965" s="146">
        <v>0.33235173659130851</v>
      </c>
      <c r="K965" s="146">
        <v>0.18</v>
      </c>
      <c r="L965" s="146">
        <v>49.034317293537768</v>
      </c>
      <c r="M965" s="146">
        <v>24.415427698027106</v>
      </c>
      <c r="N965" s="146">
        <v>1.4417068845163907</v>
      </c>
      <c r="O965" s="146"/>
      <c r="P965" s="146"/>
      <c r="Q965" s="146"/>
      <c r="R965" s="146"/>
      <c r="S965" s="146"/>
      <c r="T965" s="146"/>
      <c r="U965" s="146"/>
      <c r="V965" s="146"/>
      <c r="W965" s="146"/>
      <c r="X965" s="146"/>
      <c r="Y965" s="146"/>
      <c r="Z965" s="146">
        <v>0.29684971807165617</v>
      </c>
      <c r="AA965" s="146"/>
      <c r="AB965" s="146"/>
      <c r="AC965" s="146"/>
      <c r="AD965" s="146"/>
      <c r="AE965" s="146"/>
      <c r="AF965" s="146"/>
      <c r="AG965" s="146"/>
      <c r="AH965" s="146"/>
      <c r="AI965" s="146"/>
      <c r="AJ965" s="146"/>
      <c r="AK965" s="146"/>
      <c r="AL965" s="146">
        <v>1065.0567384597468</v>
      </c>
      <c r="AM965" s="146">
        <v>0.18760178090600571</v>
      </c>
      <c r="AN965" s="146">
        <v>0.23708163738005611</v>
      </c>
      <c r="AO965" s="146">
        <v>364.90650669855751</v>
      </c>
      <c r="AP965" s="146">
        <v>344.20329620155172</v>
      </c>
      <c r="AQ965" t="s">
        <v>326</v>
      </c>
      <c r="AR965">
        <f t="shared" si="57"/>
        <v>9.762677251918257</v>
      </c>
      <c r="AS965">
        <f t="shared" si="58"/>
        <v>2.6643645582431001</v>
      </c>
      <c r="AT965">
        <v>0.2</v>
      </c>
      <c r="AU965">
        <v>1</v>
      </c>
      <c r="AV965">
        <v>0.3</v>
      </c>
      <c r="AW965" s="146">
        <v>3</v>
      </c>
      <c r="AX965" s="146">
        <v>0.24346119389697929</v>
      </c>
      <c r="AY965">
        <v>0.18</v>
      </c>
      <c r="AZ965" s="209">
        <v>344.20329620155172</v>
      </c>
      <c r="BA965">
        <v>0.24346119389697929</v>
      </c>
      <c r="BB965" s="249">
        <v>21.863874794071226</v>
      </c>
      <c r="BC965" s="243">
        <v>125.10933762464337</v>
      </c>
      <c r="BD965" s="209">
        <v>53297.93811291446</v>
      </c>
      <c r="BE965" s="243">
        <v>32.943797799211389</v>
      </c>
      <c r="BF965">
        <v>87498.166126193406</v>
      </c>
      <c r="BG965" t="s">
        <v>387</v>
      </c>
      <c r="BH965">
        <v>4.3478124068317504E-6</v>
      </c>
      <c r="BI965">
        <v>1732979.3811291447</v>
      </c>
      <c r="BJ965">
        <f t="shared" si="59"/>
        <v>5.0490021450331893E-2</v>
      </c>
    </row>
    <row r="966" spans="1:62" x14ac:dyDescent="0.3">
      <c r="A966">
        <v>-0.1</v>
      </c>
      <c r="B966" s="146">
        <v>400</v>
      </c>
      <c r="C966" s="146">
        <v>25</v>
      </c>
      <c r="D966" s="146">
        <v>400</v>
      </c>
      <c r="E966" s="252">
        <v>10.383412845971545</v>
      </c>
      <c r="F966" s="146">
        <v>2.2517038274778285</v>
      </c>
      <c r="G966" s="146">
        <v>11.965249421434494</v>
      </c>
      <c r="H966" s="146">
        <v>6.105114449512306</v>
      </c>
      <c r="I966" s="146"/>
      <c r="J966" s="146">
        <v>0.33395800216539945</v>
      </c>
      <c r="K966" s="146">
        <v>0.18</v>
      </c>
      <c r="L966" s="146">
        <v>61.713637681048134</v>
      </c>
      <c r="M966" s="146">
        <v>30.728782247824796</v>
      </c>
      <c r="N966" s="146">
        <v>1.6766713048217552</v>
      </c>
      <c r="O966" s="146"/>
      <c r="P966" s="146"/>
      <c r="Q966" s="146"/>
      <c r="R966" s="146"/>
      <c r="S966" s="146"/>
      <c r="T966" s="146"/>
      <c r="U966" s="146"/>
      <c r="V966" s="146"/>
      <c r="W966" s="146"/>
      <c r="X966" s="146"/>
      <c r="Y966" s="146"/>
      <c r="Z966" s="146">
        <v>0.27463388584888732</v>
      </c>
      <c r="AA966" s="146"/>
      <c r="AB966" s="146"/>
      <c r="AC966" s="146"/>
      <c r="AD966" s="146"/>
      <c r="AE966" s="146"/>
      <c r="AF966" s="146"/>
      <c r="AG966" s="146"/>
      <c r="AH966" s="146"/>
      <c r="AI966" s="146"/>
      <c r="AJ966" s="146"/>
      <c r="AK966" s="146"/>
      <c r="AL966" s="146">
        <v>1170.3083650749518</v>
      </c>
      <c r="AM966" s="146">
        <v>0.18818695274702224</v>
      </c>
      <c r="AN966" s="146">
        <v>0.24611297540754321</v>
      </c>
      <c r="AO966" s="146">
        <v>357.81038025818242</v>
      </c>
      <c r="AP966" s="146">
        <v>331.97271266407489</v>
      </c>
      <c r="AQ966" t="s">
        <v>326</v>
      </c>
      <c r="AR966">
        <f t="shared" si="57"/>
        <v>9.762677251918257</v>
      </c>
      <c r="AS966">
        <f t="shared" si="58"/>
        <v>2.6643645582431001</v>
      </c>
      <c r="AT966">
        <v>0.2</v>
      </c>
      <c r="AU966">
        <v>1</v>
      </c>
      <c r="AV966">
        <v>0.3</v>
      </c>
      <c r="AW966" s="146">
        <v>3</v>
      </c>
      <c r="AX966" s="146">
        <v>0.24909360396344446</v>
      </c>
      <c r="AY966">
        <v>0.18</v>
      </c>
      <c r="AZ966" s="209">
        <v>331.97271266407489</v>
      </c>
      <c r="BA966">
        <v>0.24909360396344446</v>
      </c>
      <c r="BB966" s="249">
        <v>27.168274357742469</v>
      </c>
      <c r="BC966" s="243">
        <v>143.34415673130246</v>
      </c>
      <c r="BD966" s="209">
        <v>63812.879436901865</v>
      </c>
      <c r="BE966" s="243">
        <v>39.049707958311032</v>
      </c>
      <c r="BF966">
        <v>126316.77773605038</v>
      </c>
      <c r="BG966" t="s">
        <v>387</v>
      </c>
      <c r="BH966">
        <v>5.0556635637900901E-6</v>
      </c>
      <c r="BI966">
        <v>1838128.7943690186</v>
      </c>
      <c r="BJ966">
        <f t="shared" si="59"/>
        <v>6.8720308458805043E-2</v>
      </c>
    </row>
    <row r="967" spans="1:62" x14ac:dyDescent="0.3">
      <c r="A967">
        <v>-0.1</v>
      </c>
      <c r="B967" s="146">
        <v>600</v>
      </c>
      <c r="C967" s="146">
        <v>25</v>
      </c>
      <c r="D967" s="146">
        <v>400</v>
      </c>
      <c r="E967" s="252">
        <v>13.802748980705967</v>
      </c>
      <c r="F967" s="146">
        <v>3.0296737386544317</v>
      </c>
      <c r="G967" s="146">
        <v>15.86797638600601</v>
      </c>
      <c r="H967" s="146">
        <v>8.2417540705485308</v>
      </c>
      <c r="I967" s="146"/>
      <c r="J967" s="146">
        <v>0.33728089007422773</v>
      </c>
      <c r="K967" s="146">
        <v>0.18</v>
      </c>
      <c r="L967" s="146">
        <v>83.474775298287142</v>
      </c>
      <c r="M967" s="146">
        <v>41.56420346802679</v>
      </c>
      <c r="N967" s="146">
        <v>2.0293256895683784</v>
      </c>
      <c r="O967" s="146"/>
      <c r="P967" s="146"/>
      <c r="Q967" s="146"/>
      <c r="R967" s="146"/>
      <c r="S967" s="146"/>
      <c r="T967" s="146"/>
      <c r="U967" s="146"/>
      <c r="V967" s="146"/>
      <c r="W967" s="146"/>
      <c r="X967" s="146"/>
      <c r="Y967" s="146"/>
      <c r="Z967" s="146">
        <v>0.24622497495042539</v>
      </c>
      <c r="AA967" s="146"/>
      <c r="AB967" s="146"/>
      <c r="AC967" s="146"/>
      <c r="AD967" s="146"/>
      <c r="AE967" s="146"/>
      <c r="AF967" s="146"/>
      <c r="AG967" s="146"/>
      <c r="AH967" s="146"/>
      <c r="AI967" s="146"/>
      <c r="AJ967" s="146"/>
      <c r="AK967" s="146"/>
      <c r="AL967" s="146">
        <v>1326.7565544261865</v>
      </c>
      <c r="AM967" s="146">
        <v>0.19093006347843477</v>
      </c>
      <c r="AN967" s="146">
        <v>0.25770618038170612</v>
      </c>
      <c r="AO967" s="146">
        <v>346.43997687497529</v>
      </c>
      <c r="AP967" s="146">
        <v>312.09370964199633</v>
      </c>
      <c r="AQ967" t="s">
        <v>326</v>
      </c>
      <c r="AR967">
        <f t="shared" si="57"/>
        <v>9.762677251918257</v>
      </c>
      <c r="AS967">
        <f t="shared" si="58"/>
        <v>2.6643645582431001</v>
      </c>
      <c r="AT967">
        <v>0.2</v>
      </c>
      <c r="AU967">
        <v>1</v>
      </c>
      <c r="AV967">
        <v>0.3</v>
      </c>
      <c r="AW967" s="146">
        <v>3</v>
      </c>
      <c r="AX967" s="146">
        <v>0.2570828018918756</v>
      </c>
      <c r="AY967">
        <v>0.18</v>
      </c>
      <c r="AZ967" s="209">
        <v>312.09370964199633</v>
      </c>
      <c r="BA967">
        <v>0.2570828018918756</v>
      </c>
      <c r="BB967" s="249">
        <v>36.153222046843638</v>
      </c>
      <c r="BC967" s="243">
        <v>171.10447946736136</v>
      </c>
      <c r="BD967" s="209">
        <v>80941.631679150349</v>
      </c>
      <c r="BE967" s="243">
        <v>49.051734921769807</v>
      </c>
      <c r="BF967">
        <v>203872.2838527518</v>
      </c>
      <c r="BG967" t="s">
        <v>387</v>
      </c>
      <c r="BH967">
        <v>5.9933218187563081E-6</v>
      </c>
      <c r="BI967">
        <v>2009416.3167915035</v>
      </c>
      <c r="BJ967">
        <f t="shared" si="59"/>
        <v>0.10145845942879618</v>
      </c>
    </row>
    <row r="968" spans="1:62" x14ac:dyDescent="0.3">
      <c r="A968">
        <v>-0.1</v>
      </c>
      <c r="B968" s="146">
        <v>800</v>
      </c>
      <c r="C968" s="146">
        <v>25</v>
      </c>
      <c r="D968" s="146">
        <v>400</v>
      </c>
      <c r="E968" s="252">
        <v>16.472234130154011</v>
      </c>
      <c r="F968" s="146">
        <v>3.6733635318349815</v>
      </c>
      <c r="G968" s="146">
        <v>18.928215821143795</v>
      </c>
      <c r="H968" s="146">
        <v>9.9806996038942764</v>
      </c>
      <c r="I968" s="146"/>
      <c r="J968" s="146">
        <v>0.34068449281212804</v>
      </c>
      <c r="K968" s="146">
        <v>0.18</v>
      </c>
      <c r="L968" s="146">
        <v>101.24607178943913</v>
      </c>
      <c r="M968" s="146">
        <v>50.412981803870103</v>
      </c>
      <c r="N968" s="146">
        <v>2.2791329296714373</v>
      </c>
      <c r="O968" s="146"/>
      <c r="P968" s="146"/>
      <c r="Q968" s="146"/>
      <c r="R968" s="146"/>
      <c r="S968" s="146"/>
      <c r="T968" s="146"/>
      <c r="U968" s="146"/>
      <c r="V968" s="146"/>
      <c r="W968" s="146"/>
      <c r="X968" s="146"/>
      <c r="Y968" s="146"/>
      <c r="Z968" s="146">
        <v>0.22835402528117002</v>
      </c>
      <c r="AA968" s="146"/>
      <c r="AB968" s="146"/>
      <c r="AC968" s="146"/>
      <c r="AD968" s="146"/>
      <c r="AE968" s="146"/>
      <c r="AF968" s="146"/>
      <c r="AG968" s="146"/>
      <c r="AH968" s="146"/>
      <c r="AI968" s="146"/>
      <c r="AJ968" s="146"/>
      <c r="AK968" s="146"/>
      <c r="AL968" s="146">
        <v>1436.4895542670115</v>
      </c>
      <c r="AM968" s="146">
        <v>0.19406813439498322</v>
      </c>
      <c r="AN968" s="146">
        <v>0.26530411774946511</v>
      </c>
      <c r="AO968" s="146">
        <v>337.9118791299378</v>
      </c>
      <c r="AP968" s="146">
        <v>296.92308943129342</v>
      </c>
      <c r="AQ968" t="s">
        <v>326</v>
      </c>
      <c r="AR968">
        <f t="shared" si="57"/>
        <v>9.762677251918257</v>
      </c>
      <c r="AS968">
        <f t="shared" si="58"/>
        <v>2.6643645582431001</v>
      </c>
      <c r="AT968">
        <v>0.2</v>
      </c>
      <c r="AU968">
        <v>1</v>
      </c>
      <c r="AV968">
        <v>0.3</v>
      </c>
      <c r="AW968" s="146">
        <v>3</v>
      </c>
      <c r="AX968" s="146">
        <v>0.26290318180265032</v>
      </c>
      <c r="AY968">
        <v>0.18</v>
      </c>
      <c r="AZ968" s="209">
        <v>296.92308943129342</v>
      </c>
      <c r="BA968">
        <v>0.26290318180265032</v>
      </c>
      <c r="BB968" s="249">
        <v>43.367203181853974</v>
      </c>
      <c r="BC968" s="243">
        <v>190.98317001260813</v>
      </c>
      <c r="BD968" s="209">
        <v>93972.218688007153</v>
      </c>
      <c r="BE968" s="243">
        <v>56.736800016309516</v>
      </c>
      <c r="BF968">
        <v>276017.66321953206</v>
      </c>
      <c r="BG968" t="s">
        <v>387</v>
      </c>
      <c r="BH968">
        <v>6.5653915162447536E-6</v>
      </c>
      <c r="BI968">
        <v>2139722.1868800716</v>
      </c>
      <c r="BJ968">
        <f t="shared" si="59"/>
        <v>0.1289969627421555</v>
      </c>
    </row>
    <row r="969" spans="1:62" x14ac:dyDescent="0.3">
      <c r="A969">
        <v>-0.1</v>
      </c>
      <c r="B969" s="146">
        <v>1000</v>
      </c>
      <c r="C969" s="146">
        <v>25</v>
      </c>
      <c r="D969" s="146">
        <v>400</v>
      </c>
      <c r="E969" s="252">
        <v>18.561209222241342</v>
      </c>
      <c r="F969" s="146">
        <v>4.2019040490788386</v>
      </c>
      <c r="G969" s="146">
        <v>21.332437592197905</v>
      </c>
      <c r="H969" s="146">
        <v>11.392746082769799</v>
      </c>
      <c r="I969" s="146"/>
      <c r="J969" s="146">
        <v>0.34415226885978545</v>
      </c>
      <c r="K969" s="146">
        <v>0.18</v>
      </c>
      <c r="L969" s="146">
        <v>115.72226267698325</v>
      </c>
      <c r="M969" s="146">
        <v>57.621043656589173</v>
      </c>
      <c r="N969" s="146">
        <v>2.4580692134511573</v>
      </c>
      <c r="O969" s="146"/>
      <c r="P969" s="146"/>
      <c r="Q969" s="146"/>
      <c r="R969" s="146"/>
      <c r="S969" s="146"/>
      <c r="T969" s="146"/>
      <c r="U969" s="146"/>
      <c r="V969" s="146"/>
      <c r="W969" s="146"/>
      <c r="X969" s="146"/>
      <c r="Y969" s="146"/>
      <c r="Z969" s="146">
        <v>0.21575739471352745</v>
      </c>
      <c r="AA969" s="146"/>
      <c r="AB969" s="146"/>
      <c r="AC969" s="146"/>
      <c r="AD969" s="146"/>
      <c r="AE969" s="146"/>
      <c r="AF969" s="146"/>
      <c r="AG969" s="146"/>
      <c r="AH969" s="146"/>
      <c r="AI969" s="146"/>
      <c r="AJ969" s="146"/>
      <c r="AK969" s="146"/>
      <c r="AL969" s="146">
        <v>1514.2846203531649</v>
      </c>
      <c r="AM969" s="146">
        <v>0.19697252275640723</v>
      </c>
      <c r="AN969" s="146">
        <v>0.27071739937774175</v>
      </c>
      <c r="AO969" s="146">
        <v>331.43695505015467</v>
      </c>
      <c r="AP969" s="146">
        <v>285.25001362758724</v>
      </c>
      <c r="AQ969" t="s">
        <v>326</v>
      </c>
      <c r="AR969">
        <f t="shared" si="57"/>
        <v>9.762677251918257</v>
      </c>
      <c r="AS969">
        <f t="shared" si="58"/>
        <v>2.6643645582431001</v>
      </c>
      <c r="AT969">
        <v>0.2</v>
      </c>
      <c r="AU969">
        <v>1</v>
      </c>
      <c r="AV969">
        <v>0.3</v>
      </c>
      <c r="AW969" s="146">
        <v>3</v>
      </c>
      <c r="AX969" s="146">
        <v>0.26761042783402833</v>
      </c>
      <c r="AY969">
        <v>0.18</v>
      </c>
      <c r="AZ969" s="209">
        <v>285.25001362758724</v>
      </c>
      <c r="BA969">
        <v>0.26761042783402833</v>
      </c>
      <c r="BB969" s="249">
        <v>49.146359955272722</v>
      </c>
      <c r="BC969" s="243">
        <v>205.42970281003349</v>
      </c>
      <c r="BD969" s="209">
        <v>103869.27604622698</v>
      </c>
      <c r="BE969" s="243">
        <v>62.680835356823728</v>
      </c>
      <c r="BF969">
        <v>339765.1555679593</v>
      </c>
      <c r="BG969" t="s">
        <v>387</v>
      </c>
      <c r="BH969">
        <v>6.937076791222376E-6</v>
      </c>
      <c r="BI969">
        <v>2238692.7604622697</v>
      </c>
      <c r="BJ969">
        <f t="shared" si="59"/>
        <v>0.15176944401151363</v>
      </c>
    </row>
    <row r="970" spans="1:62" x14ac:dyDescent="0.3">
      <c r="A970">
        <v>-0.1</v>
      </c>
      <c r="B970" s="146">
        <v>1300</v>
      </c>
      <c r="C970" s="146">
        <v>25</v>
      </c>
      <c r="D970" s="146">
        <v>400</v>
      </c>
      <c r="E970" s="252">
        <v>20.878611109261545</v>
      </c>
      <c r="F970" s="146">
        <v>4.8149626311727456</v>
      </c>
      <c r="G970" s="146">
        <v>24.009368570882121</v>
      </c>
      <c r="H970" s="146">
        <v>13.023046669012405</v>
      </c>
      <c r="I970" s="146"/>
      <c r="J970" s="146">
        <v>0.3493029543816894</v>
      </c>
      <c r="K970" s="146">
        <v>0.18</v>
      </c>
      <c r="L970" s="146">
        <v>132.49647686567636</v>
      </c>
      <c r="M970" s="146">
        <v>65.973349476685328</v>
      </c>
      <c r="N970" s="146">
        <v>2.6357005473994803</v>
      </c>
      <c r="O970" s="146"/>
      <c r="P970" s="146"/>
      <c r="Q970" s="146"/>
      <c r="R970" s="146"/>
      <c r="S970" s="146"/>
      <c r="T970" s="146"/>
      <c r="U970" s="146"/>
      <c r="V970" s="146"/>
      <c r="W970" s="146"/>
      <c r="X970" s="146"/>
      <c r="Y970" s="146"/>
      <c r="Z970" s="146">
        <v>0.20238739938412253</v>
      </c>
      <c r="AA970" s="146"/>
      <c r="AB970" s="146"/>
      <c r="AC970" s="146"/>
      <c r="AD970" s="146"/>
      <c r="AE970" s="146"/>
      <c r="AF970" s="146"/>
      <c r="AG970" s="146"/>
      <c r="AH970" s="146"/>
      <c r="AI970" s="146"/>
      <c r="AJ970" s="146"/>
      <c r="AK970" s="146"/>
      <c r="AL970" s="146">
        <v>1590.3720847359928</v>
      </c>
      <c r="AM970" s="146">
        <v>0.20054515873491965</v>
      </c>
      <c r="AN970" s="146">
        <v>0.27644727771979394</v>
      </c>
      <c r="AO970" s="146">
        <v>324.47525155077113</v>
      </c>
      <c r="AP970" s="146">
        <v>272.52181103625338</v>
      </c>
      <c r="AQ970" t="s">
        <v>326</v>
      </c>
      <c r="AR970">
        <f t="shared" si="57"/>
        <v>9.762677251918257</v>
      </c>
      <c r="AS970">
        <f t="shared" si="58"/>
        <v>2.6643645582431001</v>
      </c>
      <c r="AT970">
        <v>0.2</v>
      </c>
      <c r="AU970">
        <v>1</v>
      </c>
      <c r="AV970">
        <v>0.3</v>
      </c>
      <c r="AW970" s="146">
        <v>3</v>
      </c>
      <c r="AX970" s="146">
        <v>0.27343846991277682</v>
      </c>
      <c r="AY970">
        <v>0.18</v>
      </c>
      <c r="AZ970" s="209">
        <v>272.52181103625338</v>
      </c>
      <c r="BA970">
        <v>0.27343846991277682</v>
      </c>
      <c r="BB970" s="249">
        <v>55.691143894343149</v>
      </c>
      <c r="BC970" s="243">
        <v>220.16323011361197</v>
      </c>
      <c r="BD970" s="209">
        <v>114379.16007102375</v>
      </c>
      <c r="BE970" s="243">
        <v>69.147228300068178</v>
      </c>
      <c r="BF970">
        <v>418036.44893607555</v>
      </c>
      <c r="BG970" t="s">
        <v>387</v>
      </c>
      <c r="BH970">
        <v>7.2890713908638025E-6</v>
      </c>
      <c r="BI970">
        <v>2343791.6007102374</v>
      </c>
      <c r="BJ970">
        <f t="shared" si="59"/>
        <v>0.17835905240440245</v>
      </c>
    </row>
    <row r="971" spans="1:62" x14ac:dyDescent="0.3">
      <c r="A971">
        <v>-0.1</v>
      </c>
      <c r="B971" s="227">
        <v>1600</v>
      </c>
      <c r="C971" s="146">
        <v>25</v>
      </c>
      <c r="D971" s="146">
        <v>400</v>
      </c>
      <c r="E971" s="252">
        <v>22.512854919410927</v>
      </c>
      <c r="F971" s="146">
        <v>5.2575219001308771</v>
      </c>
      <c r="G971" s="146">
        <v>25.899591153485787</v>
      </c>
      <c r="H971" s="146">
        <v>14.209349596521532</v>
      </c>
      <c r="I971" s="146"/>
      <c r="J971" s="146">
        <v>0.35060528473283531</v>
      </c>
      <c r="K971" s="146">
        <v>0.18</v>
      </c>
      <c r="L971" s="146">
        <v>144.75274451066332</v>
      </c>
      <c r="M971" s="146">
        <v>72.076055358006627</v>
      </c>
      <c r="N971" s="146">
        <v>2.794954845757017</v>
      </c>
      <c r="O971" s="146"/>
      <c r="P971" s="146"/>
      <c r="Q971" s="146"/>
      <c r="R971" s="146"/>
      <c r="S971" s="146"/>
      <c r="T971" s="146"/>
      <c r="U971" s="146"/>
      <c r="V971" s="146"/>
      <c r="W971" s="146"/>
      <c r="X971" s="146"/>
      <c r="Y971" s="146"/>
      <c r="Z971" s="146">
        <v>0.19669829549701737</v>
      </c>
      <c r="AA971" s="146"/>
      <c r="AB971" s="146"/>
      <c r="AC971" s="146"/>
      <c r="AD971" s="146"/>
      <c r="AE971" s="146"/>
      <c r="AF971" s="146"/>
      <c r="AG971" s="146"/>
      <c r="AH971" s="146"/>
      <c r="AI971" s="146"/>
      <c r="AJ971" s="146"/>
      <c r="AK971" s="146"/>
      <c r="AL971" s="146">
        <v>1661.1818151527934</v>
      </c>
      <c r="AM971" s="146">
        <v>0.2029963279718906</v>
      </c>
      <c r="AN971" s="146">
        <v>0.28044455168204963</v>
      </c>
      <c r="AO971" s="146">
        <v>319.72439905006752</v>
      </c>
      <c r="AP971" s="146">
        <v>263.70439227428432</v>
      </c>
      <c r="AQ971" t="s">
        <v>326</v>
      </c>
      <c r="AR971">
        <f t="shared" si="57"/>
        <v>9.762677251918257</v>
      </c>
      <c r="AS971">
        <f t="shared" si="58"/>
        <v>2.6643645582431001</v>
      </c>
      <c r="AT971">
        <v>0.2</v>
      </c>
      <c r="AU971">
        <v>1</v>
      </c>
      <c r="AV971">
        <v>0.3</v>
      </c>
      <c r="AW971" s="146">
        <v>3</v>
      </c>
      <c r="AX971" s="146">
        <v>0.27618558482775296</v>
      </c>
      <c r="AY971">
        <v>0.18</v>
      </c>
      <c r="AZ971" s="209">
        <v>263.70439227428432</v>
      </c>
      <c r="BA971">
        <v>0.27618558482775296</v>
      </c>
      <c r="BB971" s="249">
        <v>60.381287841767879</v>
      </c>
      <c r="BC971" s="243">
        <v>229.42681371016317</v>
      </c>
      <c r="BD971" s="209">
        <v>121431.44246121368</v>
      </c>
      <c r="BE971" s="243">
        <v>73.763299893605549</v>
      </c>
      <c r="BF971">
        <v>478072.1407496758</v>
      </c>
      <c r="BG971" t="s">
        <v>387</v>
      </c>
      <c r="BH971">
        <v>7.5063539341508547E-6</v>
      </c>
      <c r="BI971">
        <v>2414314.4246121366</v>
      </c>
      <c r="BJ971">
        <f t="shared" si="59"/>
        <v>0.19801569169122571</v>
      </c>
    </row>
    <row r="972" spans="1:62" s="140" customFormat="1" x14ac:dyDescent="0.3">
      <c r="A972" s="140">
        <v>-0.1</v>
      </c>
      <c r="B972" s="140">
        <v>1900</v>
      </c>
      <c r="C972" s="140">
        <v>25</v>
      </c>
      <c r="D972" s="140">
        <v>400</v>
      </c>
      <c r="E972" s="253">
        <v>23.655389287852426</v>
      </c>
      <c r="F972" s="140">
        <v>5.5777432151129309</v>
      </c>
      <c r="G972" s="140">
        <v>27.224263495147412</v>
      </c>
      <c r="H972" s="140">
        <v>15.068178650380814</v>
      </c>
      <c r="J972" s="140">
        <v>0.35345901311071226</v>
      </c>
      <c r="K972" s="140">
        <v>0.18</v>
      </c>
      <c r="L972" s="140">
        <v>153.66148158181107</v>
      </c>
      <c r="M972" s="140">
        <v>76.511941036586421</v>
      </c>
      <c r="N972" s="140">
        <v>2.8796589667830101</v>
      </c>
      <c r="Z972" s="140">
        <v>0.19110862922442409</v>
      </c>
      <c r="AL972" s="140">
        <v>1697.4109449724519</v>
      </c>
      <c r="AM972" s="140">
        <v>0.20488132639867873</v>
      </c>
      <c r="AN972" s="140">
        <v>0.28311022058508678</v>
      </c>
      <c r="AO972" s="140">
        <v>316.44459447996871</v>
      </c>
      <c r="AP972" s="140">
        <v>257.58146158094706</v>
      </c>
      <c r="AQ972" t="s">
        <v>326</v>
      </c>
      <c r="AR972">
        <f t="shared" si="57"/>
        <v>9.762677251918257</v>
      </c>
      <c r="AS972">
        <f t="shared" si="58"/>
        <v>2.6643645582431001</v>
      </c>
      <c r="AT972" s="140">
        <v>0.2</v>
      </c>
      <c r="AU972" s="140">
        <v>1</v>
      </c>
      <c r="AV972">
        <v>0.3</v>
      </c>
      <c r="AW972" s="140">
        <v>3</v>
      </c>
      <c r="AX972" s="140">
        <v>0.27927591464750023</v>
      </c>
      <c r="AY972">
        <v>0.18</v>
      </c>
      <c r="AZ972" s="209">
        <v>257.58146158094706</v>
      </c>
      <c r="BA972" s="140">
        <v>0.27927591464750023</v>
      </c>
      <c r="BB972" s="253">
        <v>63.69710987671634</v>
      </c>
      <c r="BC972" s="245">
        <v>235.09793524520674</v>
      </c>
      <c r="BD972" s="210">
        <v>126124.9033423784</v>
      </c>
      <c r="BE972" s="245">
        <v>76.903104650201797</v>
      </c>
      <c r="BF972" s="140">
        <v>522336.7116947571</v>
      </c>
      <c r="BG972" t="s">
        <v>387</v>
      </c>
      <c r="BH972" s="140">
        <v>7.6468105681333581E-6</v>
      </c>
      <c r="BI972" s="140">
        <v>2461249.0334237842</v>
      </c>
      <c r="BJ972">
        <f t="shared" si="59"/>
        <v>0.21222424248884197</v>
      </c>
    </row>
    <row r="973" spans="1:62" x14ac:dyDescent="0.3">
      <c r="A973">
        <v>-0.1</v>
      </c>
      <c r="B973" s="146">
        <v>1000</v>
      </c>
      <c r="C973" s="146">
        <v>25</v>
      </c>
      <c r="D973" s="146">
        <v>200</v>
      </c>
      <c r="E973" s="252">
        <v>15.121199741199574</v>
      </c>
      <c r="F973" s="146">
        <v>6.7450211624489942</v>
      </c>
      <c r="G973" s="146">
        <v>19.232516809813507</v>
      </c>
      <c r="H973" s="146">
        <v>11.813338293902993</v>
      </c>
      <c r="I973" s="146"/>
      <c r="J973" s="146">
        <v>0.39589881382070291</v>
      </c>
      <c r="K973" s="146">
        <v>0.18</v>
      </c>
      <c r="L973" s="146">
        <v>120.86451560560809</v>
      </c>
      <c r="M973" s="146">
        <v>60.181501546360877</v>
      </c>
      <c r="N973" s="146">
        <v>1.7149385149552678</v>
      </c>
      <c r="O973" s="146"/>
      <c r="P973" s="146"/>
      <c r="Q973" s="146"/>
      <c r="R973" s="146"/>
      <c r="S973" s="146"/>
      <c r="T973" s="146"/>
      <c r="U973" s="146"/>
      <c r="V973" s="146"/>
      <c r="W973" s="146"/>
      <c r="X973" s="146"/>
      <c r="Y973" s="146"/>
      <c r="Z973" s="146">
        <v>0.14516967789201199</v>
      </c>
      <c r="AA973" s="146"/>
      <c r="AB973" s="146"/>
      <c r="AC973" s="146"/>
      <c r="AD973" s="146"/>
      <c r="AE973" s="146"/>
      <c r="AF973" s="146"/>
      <c r="AG973" s="146"/>
      <c r="AH973" s="146"/>
      <c r="AI973" s="146"/>
      <c r="AJ973" s="146"/>
      <c r="AK973" s="146"/>
      <c r="AL973" s="146">
        <v>964.14990074973764</v>
      </c>
      <c r="AM973" s="146">
        <v>0.35070923005809135</v>
      </c>
      <c r="AN973" s="146">
        <v>0.27151279516567983</v>
      </c>
      <c r="AO973" s="146">
        <v>144.30759798273056</v>
      </c>
      <c r="AP973" s="146">
        <v>106.68064327210341</v>
      </c>
      <c r="AQ973" t="s">
        <v>326</v>
      </c>
      <c r="AR973">
        <f t="shared" si="57"/>
        <v>9.762677251918257</v>
      </c>
      <c r="AS973">
        <f t="shared" si="58"/>
        <v>2.6643645582431001</v>
      </c>
      <c r="AT973">
        <v>0.2</v>
      </c>
      <c r="AU973">
        <v>1</v>
      </c>
      <c r="AV973">
        <v>0.3</v>
      </c>
      <c r="AW973" s="146">
        <v>3</v>
      </c>
      <c r="AX973" s="146">
        <v>0.28010899814041301</v>
      </c>
      <c r="AY973">
        <v>0.18</v>
      </c>
      <c r="AZ973" s="209">
        <v>106.68064327210341</v>
      </c>
      <c r="BA973">
        <v>0.28010899814041301</v>
      </c>
      <c r="BB973" s="249">
        <v>62.937452658684812</v>
      </c>
      <c r="BC973" s="243">
        <v>220.58885537798602</v>
      </c>
      <c r="BD973" s="209">
        <v>118672.12204986402</v>
      </c>
      <c r="BE973" s="243">
        <v>74.933739577789311</v>
      </c>
      <c r="BF973">
        <v>289286.37342944229</v>
      </c>
      <c r="BG973" t="s">
        <v>388</v>
      </c>
      <c r="BH973">
        <v>5.400208111368283E-6</v>
      </c>
      <c r="BI973">
        <v>2386721.2204986401</v>
      </c>
      <c r="BJ973">
        <f t="shared" si="59"/>
        <v>0.12120660383159614</v>
      </c>
    </row>
    <row r="974" spans="1:62" x14ac:dyDescent="0.3">
      <c r="A974">
        <v>-0.1</v>
      </c>
      <c r="B974" s="146">
        <v>1000</v>
      </c>
      <c r="C974" s="146">
        <v>25</v>
      </c>
      <c r="D974" s="146">
        <v>300</v>
      </c>
      <c r="E974" s="252">
        <v>17.142273635392918</v>
      </c>
      <c r="F974" s="146">
        <v>5.1398673947581663</v>
      </c>
      <c r="G974" s="146">
        <v>20.406642491045069</v>
      </c>
      <c r="H974" s="146">
        <v>11.572307711435842</v>
      </c>
      <c r="I974" s="146"/>
      <c r="J974" s="146">
        <v>0.3618088815553574</v>
      </c>
      <c r="K974" s="146">
        <v>0.18</v>
      </c>
      <c r="L974" s="146">
        <v>117.76270955068978</v>
      </c>
      <c r="M974" s="146">
        <v>58.637033801173338</v>
      </c>
      <c r="N974" s="146">
        <v>2.1593008882478042</v>
      </c>
      <c r="O974" s="146"/>
      <c r="P974" s="146"/>
      <c r="Q974" s="146"/>
      <c r="R974" s="146"/>
      <c r="S974" s="146"/>
      <c r="T974" s="146"/>
      <c r="U974" s="146"/>
      <c r="V974" s="146"/>
      <c r="W974" s="146"/>
      <c r="X974" s="146"/>
      <c r="Y974" s="146"/>
      <c r="Z974" s="146">
        <v>0.1865920732572611</v>
      </c>
      <c r="AA974" s="146"/>
      <c r="AB974" s="146"/>
      <c r="AC974" s="146"/>
      <c r="AD974" s="146"/>
      <c r="AE974" s="146"/>
      <c r="AF974" s="146"/>
      <c r="AG974" s="146"/>
      <c r="AH974" s="146"/>
      <c r="AI974" s="146"/>
      <c r="AJ974" s="146"/>
      <c r="AK974" s="146"/>
      <c r="AL974" s="146">
        <v>1274.4912059997703</v>
      </c>
      <c r="AM974" s="146">
        <v>0.2518722713456496</v>
      </c>
      <c r="AN974" s="146">
        <v>0.27426302607814745</v>
      </c>
      <c r="AO974" s="146">
        <v>237.49695728031358</v>
      </c>
      <c r="AP974" s="146">
        <v>194.84076187586894</v>
      </c>
      <c r="AQ974" t="s">
        <v>326</v>
      </c>
      <c r="AR974">
        <f t="shared" si="57"/>
        <v>9.762677251918257</v>
      </c>
      <c r="AS974">
        <f t="shared" si="58"/>
        <v>2.6643645582431001</v>
      </c>
      <c r="AT974">
        <v>0.2</v>
      </c>
      <c r="AU974">
        <v>1</v>
      </c>
      <c r="AV974">
        <v>0.3</v>
      </c>
      <c r="AW974" s="146">
        <v>3</v>
      </c>
      <c r="AX974" s="146">
        <v>0.27111691284109712</v>
      </c>
      <c r="AY974">
        <v>0.18</v>
      </c>
      <c r="AZ974" s="209">
        <v>194.84076187586894</v>
      </c>
      <c r="BA974">
        <v>0.27111691284109712</v>
      </c>
      <c r="BB974" s="249">
        <v>54.196644645855798</v>
      </c>
      <c r="BC974" s="243">
        <v>211.31688327269211</v>
      </c>
      <c r="BD974" s="209">
        <v>108862.61542377809</v>
      </c>
      <c r="BE974" s="243">
        <v>66.457180036534908</v>
      </c>
      <c r="BF974">
        <v>318389.68260746158</v>
      </c>
      <c r="BG974" t="s">
        <v>388</v>
      </c>
      <c r="BH974">
        <v>6.3184459347487317E-6</v>
      </c>
      <c r="BI974">
        <v>2288626.1542377807</v>
      </c>
      <c r="BJ974">
        <f t="shared" si="59"/>
        <v>0.1391182574829484</v>
      </c>
    </row>
    <row r="975" spans="1:62" x14ac:dyDescent="0.3">
      <c r="A975">
        <v>-0.1</v>
      </c>
      <c r="B975" s="146">
        <v>1000</v>
      </c>
      <c r="C975" s="146">
        <v>25</v>
      </c>
      <c r="D975" s="146">
        <v>400</v>
      </c>
      <c r="E975" s="252">
        <v>18.563701733024214</v>
      </c>
      <c r="F975" s="146">
        <v>4.2029813445521862</v>
      </c>
      <c r="G975" s="146">
        <v>21.335599942702018</v>
      </c>
      <c r="H975" s="146">
        <v>11.393748254898542</v>
      </c>
      <c r="I975" s="146"/>
      <c r="J975" s="146">
        <v>0.34417526097396695</v>
      </c>
      <c r="K975" s="146">
        <v>0.18</v>
      </c>
      <c r="L975" s="146">
        <v>115.73236699375053</v>
      </c>
      <c r="M975" s="146">
        <v>57.626074851660022</v>
      </c>
      <c r="N975" s="146">
        <v>2.4575191104812237</v>
      </c>
      <c r="O975" s="146"/>
      <c r="P975" s="146"/>
      <c r="Q975" s="146"/>
      <c r="R975" s="146"/>
      <c r="S975" s="146"/>
      <c r="T975" s="146"/>
      <c r="U975" s="146"/>
      <c r="V975" s="146"/>
      <c r="W975" s="146"/>
      <c r="X975" s="146"/>
      <c r="Y975" s="146"/>
      <c r="Z975" s="146">
        <v>0.21569013598528972</v>
      </c>
      <c r="AA975" s="146"/>
      <c r="AB975" s="146"/>
      <c r="AC975" s="146"/>
      <c r="AD975" s="146"/>
      <c r="AE975" s="146"/>
      <c r="AF975" s="146"/>
      <c r="AG975" s="146"/>
      <c r="AH975" s="146"/>
      <c r="AI975" s="146"/>
      <c r="AJ975" s="146"/>
      <c r="AK975" s="146"/>
      <c r="AL975" s="146">
        <v>1513.9833650263818</v>
      </c>
      <c r="AM975" s="146">
        <v>0.19699382046155414</v>
      </c>
      <c r="AN975" s="146">
        <v>0.27067472326189496</v>
      </c>
      <c r="AO975" s="146">
        <v>331.41693650107607</v>
      </c>
      <c r="AP975" s="146">
        <v>285.22380978577075</v>
      </c>
      <c r="AQ975" t="s">
        <v>326</v>
      </c>
      <c r="AR975">
        <f t="shared" si="57"/>
        <v>9.762677251918257</v>
      </c>
      <c r="AS975">
        <f t="shared" si="58"/>
        <v>2.6643645582431001</v>
      </c>
      <c r="AT975">
        <v>0.2</v>
      </c>
      <c r="AU975">
        <v>1</v>
      </c>
      <c r="AV975">
        <v>0.3</v>
      </c>
      <c r="AW975" s="146">
        <v>3</v>
      </c>
      <c r="AX975" s="146">
        <v>0.26761599279635551</v>
      </c>
      <c r="AY975">
        <v>0.18</v>
      </c>
      <c r="AZ975" s="209">
        <v>285.22380978577075</v>
      </c>
      <c r="BA975">
        <v>0.26761599279635551</v>
      </c>
      <c r="BB975" s="249">
        <v>49.156208624236918</v>
      </c>
      <c r="BC975" s="243">
        <v>205.45846061282117</v>
      </c>
      <c r="BD975" s="209">
        <v>103897.148685423</v>
      </c>
      <c r="BE975" s="243">
        <v>62.704554347863194</v>
      </c>
      <c r="BF975">
        <v>339880.13584335538</v>
      </c>
      <c r="BG975" t="s">
        <v>388</v>
      </c>
      <c r="BH975">
        <v>6.936932904930566E-6</v>
      </c>
      <c r="BI975">
        <v>2238971.4868542301</v>
      </c>
      <c r="BJ975">
        <f t="shared" si="59"/>
        <v>0.1518019045078994</v>
      </c>
    </row>
    <row r="976" spans="1:62" x14ac:dyDescent="0.3">
      <c r="A976">
        <v>-0.1</v>
      </c>
      <c r="B976" s="146">
        <v>1000</v>
      </c>
      <c r="C976" s="146">
        <v>25</v>
      </c>
      <c r="D976" s="146">
        <v>500</v>
      </c>
      <c r="E976" s="252">
        <v>19.518780422755274</v>
      </c>
      <c r="F976" s="146">
        <v>3.5305701003228895</v>
      </c>
      <c r="G976" s="146">
        <v>21.937252924694477</v>
      </c>
      <c r="H976" s="146">
        <v>11.278754191483959</v>
      </c>
      <c r="I976" s="146"/>
      <c r="J976" s="146">
        <v>0.33557764525998818</v>
      </c>
      <c r="K976" s="146">
        <v>0.18</v>
      </c>
      <c r="L976" s="146">
        <v>114.45637659963812</v>
      </c>
      <c r="M976" s="146">
        <v>56.990726937579147</v>
      </c>
      <c r="N976" s="146">
        <v>2.6741048809781223</v>
      </c>
      <c r="O976" s="146"/>
      <c r="P976" s="146"/>
      <c r="Q976" s="146"/>
      <c r="R976" s="146"/>
      <c r="S976" s="146"/>
      <c r="T976" s="146"/>
      <c r="U976" s="146"/>
      <c r="V976" s="146"/>
      <c r="W976" s="146"/>
      <c r="X976" s="146"/>
      <c r="Y976" s="146"/>
      <c r="Z976" s="146">
        <v>0.2370922209650787</v>
      </c>
      <c r="AA976" s="146"/>
      <c r="AB976" s="146"/>
      <c r="AC976" s="146"/>
      <c r="AD976" s="146"/>
      <c r="AE976" s="146"/>
      <c r="AF976" s="146"/>
      <c r="AG976" s="146"/>
      <c r="AH976" s="146"/>
      <c r="AI976" s="146"/>
      <c r="AJ976" s="146"/>
      <c r="AK976" s="146"/>
      <c r="AL976" s="146">
        <v>1715.678273627324</v>
      </c>
      <c r="AM976" s="146">
        <v>0.16093948100259051</v>
      </c>
      <c r="AN976" s="146">
        <v>0.26809859982845369</v>
      </c>
      <c r="AO976" s="146">
        <v>427.19551524982001</v>
      </c>
      <c r="AP976" s="146">
        <v>378.62583313826343</v>
      </c>
      <c r="AQ976" t="s">
        <v>326</v>
      </c>
      <c r="AR976">
        <f t="shared" si="57"/>
        <v>9.762677251918257</v>
      </c>
      <c r="AS976">
        <f t="shared" si="58"/>
        <v>2.6643645582431001</v>
      </c>
      <c r="AT976">
        <v>0.2</v>
      </c>
      <c r="AU976">
        <v>1</v>
      </c>
      <c r="AV976">
        <v>0.3</v>
      </c>
      <c r="AW976" s="146">
        <v>3</v>
      </c>
      <c r="AX976" s="146">
        <v>0.26789996788578385</v>
      </c>
      <c r="AY976">
        <v>0.18</v>
      </c>
      <c r="AZ976" s="209">
        <v>378.62583313826343</v>
      </c>
      <c r="BA976">
        <v>0.26789996788578385</v>
      </c>
      <c r="BB976" s="249">
        <v>45.386953225355377</v>
      </c>
      <c r="BC976" s="243">
        <v>201.85710243416233</v>
      </c>
      <c r="BD976" s="209">
        <v>100202.46916908097</v>
      </c>
      <c r="BE976" s="243">
        <v>59.41787827694089</v>
      </c>
      <c r="BF976">
        <v>352479.43878574716</v>
      </c>
      <c r="BG976" t="s">
        <v>388</v>
      </c>
      <c r="BH976">
        <v>7.3765350257538796E-6</v>
      </c>
      <c r="BI976">
        <v>2202024.6916908096</v>
      </c>
      <c r="BJ976">
        <f t="shared" si="59"/>
        <v>0.16007061143129064</v>
      </c>
    </row>
    <row r="977" spans="1:62" s="146" customFormat="1" x14ac:dyDescent="0.3">
      <c r="A977">
        <v>-0.1</v>
      </c>
      <c r="B977" s="146">
        <v>1000</v>
      </c>
      <c r="C977" s="146">
        <v>25</v>
      </c>
      <c r="D977" s="146">
        <v>600</v>
      </c>
      <c r="E977" s="252">
        <v>20.195839287251768</v>
      </c>
      <c r="F977" s="146">
        <v>3.0378674944693249</v>
      </c>
      <c r="G977" s="146">
        <v>22.354881344530845</v>
      </c>
      <c r="H977" s="146">
        <v>11.194750325194972</v>
      </c>
      <c r="J977" s="146">
        <v>0.3305578875248727</v>
      </c>
      <c r="K977" s="146">
        <v>0.18</v>
      </c>
      <c r="L977" s="146">
        <v>113.54005536093381</v>
      </c>
      <c r="M977" s="146">
        <v>56.534467399635098</v>
      </c>
      <c r="N977" s="146">
        <v>2.8357003202243209</v>
      </c>
      <c r="Z977" s="146">
        <v>0.25330625854533589</v>
      </c>
      <c r="AL977" s="146">
        <v>1891.7696062624602</v>
      </c>
      <c r="AM977" s="146">
        <v>0.13589280335019732</v>
      </c>
      <c r="AN977" s="146">
        <v>0.2663441355765544</v>
      </c>
      <c r="AO977" s="146">
        <v>524.17389163259065</v>
      </c>
      <c r="AP977" s="146">
        <v>473.91944615029934</v>
      </c>
      <c r="AQ977" t="s">
        <v>326</v>
      </c>
      <c r="AR977">
        <f t="shared" si="57"/>
        <v>9.762677251918257</v>
      </c>
      <c r="AS977">
        <f t="shared" si="58"/>
        <v>2.6643645582431001</v>
      </c>
      <c r="AT977">
        <v>0.2</v>
      </c>
      <c r="AU977">
        <v>1</v>
      </c>
      <c r="AV977">
        <v>0.3</v>
      </c>
      <c r="AW977" s="146">
        <v>3</v>
      </c>
      <c r="AX977" s="146">
        <v>0.26913225609762181</v>
      </c>
      <c r="AY977">
        <v>0.18</v>
      </c>
      <c r="AZ977" s="209">
        <v>473.91944615029934</v>
      </c>
      <c r="BA977" s="146">
        <v>0.26913225609762181</v>
      </c>
      <c r="BB977" s="252">
        <v>42.569880327141604</v>
      </c>
      <c r="BC977" s="244">
        <v>199.30774033233607</v>
      </c>
      <c r="BD977" s="229">
        <v>97360.998053092437</v>
      </c>
      <c r="BE977" s="244">
        <v>56.735583685429525</v>
      </c>
      <c r="BF977" s="146">
        <v>360227.05396750756</v>
      </c>
      <c r="BG977" t="s">
        <v>388</v>
      </c>
      <c r="BH977" s="146">
        <v>7.7041126386796431E-6</v>
      </c>
      <c r="BI977" s="146">
        <v>2173609.9805309242</v>
      </c>
      <c r="BJ977">
        <f t="shared" si="59"/>
        <v>0.16572754872956499</v>
      </c>
    </row>
    <row r="978" spans="1:62" s="140" customFormat="1" x14ac:dyDescent="0.3">
      <c r="A978">
        <v>-0.1</v>
      </c>
      <c r="B978" s="146">
        <v>1000</v>
      </c>
      <c r="C978" s="146">
        <v>25</v>
      </c>
      <c r="D978" s="146">
        <v>700</v>
      </c>
      <c r="E978" s="252">
        <v>20.717472173863815</v>
      </c>
      <c r="F978" s="146">
        <v>2.6685023138222048</v>
      </c>
      <c r="G978" s="146">
        <v>22.68247244204402</v>
      </c>
      <c r="H978" s="146">
        <v>11.136281432304456</v>
      </c>
      <c r="I978" s="146"/>
      <c r="J978" s="146">
        <v>0.3269401337135972</v>
      </c>
      <c r="K978" s="146">
        <v>0.18</v>
      </c>
      <c r="L978" s="146">
        <v>112.90479990103913</v>
      </c>
      <c r="M978" s="146">
        <v>56.218157627073431</v>
      </c>
      <c r="N978" s="146">
        <v>2.9636661885440976</v>
      </c>
      <c r="O978" s="146"/>
      <c r="P978" s="146"/>
      <c r="Q978" s="146"/>
      <c r="R978" s="146"/>
      <c r="S978" s="146"/>
      <c r="T978" s="146"/>
      <c r="U978" s="146"/>
      <c r="V978" s="146"/>
      <c r="W978" s="146"/>
      <c r="X978" s="146"/>
      <c r="Y978" s="146"/>
      <c r="Z978" s="146">
        <v>0.2661270915753805</v>
      </c>
      <c r="AA978" s="146"/>
      <c r="AB978" s="146"/>
      <c r="AC978" s="146"/>
      <c r="AD978" s="146"/>
      <c r="AE978" s="146"/>
      <c r="AF978" s="146"/>
      <c r="AG978" s="146"/>
      <c r="AH978" s="146"/>
      <c r="AI978" s="146"/>
      <c r="AJ978" s="146"/>
      <c r="AK978" s="146"/>
      <c r="AL978" s="146">
        <v>2052.024370030299</v>
      </c>
      <c r="AM978" s="146">
        <v>0.11764600709382518</v>
      </c>
      <c r="AN978" s="146">
        <v>0.2647388919270891</v>
      </c>
      <c r="AO978" s="146">
        <v>621.7437527857843</v>
      </c>
      <c r="AP978" s="146">
        <v>570.19127575825269</v>
      </c>
      <c r="AQ978" t="s">
        <v>326</v>
      </c>
      <c r="AR978">
        <f t="shared" si="57"/>
        <v>9.762677251918257</v>
      </c>
      <c r="AS978">
        <f t="shared" si="58"/>
        <v>2.6643645582431001</v>
      </c>
      <c r="AT978">
        <v>0.2</v>
      </c>
      <c r="AU978">
        <v>1</v>
      </c>
      <c r="AV978">
        <v>0.3</v>
      </c>
      <c r="AW978" s="146">
        <v>3</v>
      </c>
      <c r="AX978" s="146">
        <v>0.2703345705656377</v>
      </c>
      <c r="AY978">
        <v>0.18</v>
      </c>
      <c r="AZ978" s="209">
        <v>570.19127575825269</v>
      </c>
      <c r="BA978" s="140">
        <v>0.2703345705656377</v>
      </c>
      <c r="BB978" s="253">
        <v>40.459474902187075</v>
      </c>
      <c r="BC978" s="245">
        <v>197.55798844852288</v>
      </c>
      <c r="BD978" s="210">
        <v>95315.93841898485</v>
      </c>
      <c r="BE978" s="245">
        <v>54.741656059118355</v>
      </c>
      <c r="BF978" s="140">
        <v>366154.13992449595</v>
      </c>
      <c r="BG978" t="s">
        <v>388</v>
      </c>
      <c r="BH978" s="140">
        <v>7.9556344794846959E-6</v>
      </c>
      <c r="BI978" s="140">
        <v>2153159.3841898488</v>
      </c>
      <c r="BJ978">
        <f t="shared" si="59"/>
        <v>0.17005435947430603</v>
      </c>
    </row>
    <row r="979" spans="1:62" x14ac:dyDescent="0.3">
      <c r="A979">
        <v>-0.1</v>
      </c>
      <c r="B979" s="146">
        <v>1000</v>
      </c>
      <c r="C979" s="146">
        <v>25</v>
      </c>
      <c r="D979" s="146">
        <v>800</v>
      </c>
      <c r="E979" s="252">
        <v>21.116950072496579</v>
      </c>
      <c r="F979" s="146">
        <v>2.3787217764109503</v>
      </c>
      <c r="G979" s="146">
        <v>22.929513318332592</v>
      </c>
      <c r="H979" s="146">
        <v>11.089692899163611</v>
      </c>
      <c r="I979" s="146"/>
      <c r="J979" s="146">
        <v>0.3240538938916061</v>
      </c>
      <c r="K979" s="146">
        <v>0.18</v>
      </c>
      <c r="L979" s="146">
        <v>112.40283011071286</v>
      </c>
      <c r="M979" s="146">
        <v>55.968214163010558</v>
      </c>
      <c r="N979" s="146">
        <v>3.0702598608748346</v>
      </c>
      <c r="O979" s="146"/>
      <c r="P979" s="146"/>
      <c r="Q979" s="146"/>
      <c r="R979" s="146"/>
      <c r="S979" s="146"/>
      <c r="T979" s="146"/>
      <c r="U979" s="146"/>
      <c r="V979" s="146"/>
      <c r="W979" s="146"/>
      <c r="X979" s="146"/>
      <c r="Y979" s="146"/>
      <c r="Z979" s="146">
        <v>0.27685706798124182</v>
      </c>
      <c r="AA979" s="146"/>
      <c r="AB979" s="146"/>
      <c r="AC979" s="146"/>
      <c r="AD979" s="146"/>
      <c r="AE979" s="146"/>
      <c r="AF979" s="146"/>
      <c r="AG979" s="146"/>
      <c r="AH979" s="146"/>
      <c r="AI979" s="146"/>
      <c r="AJ979" s="146"/>
      <c r="AK979" s="146"/>
      <c r="AL979" s="146">
        <v>2202.462213188152</v>
      </c>
      <c r="AM979" s="146">
        <v>0.10374061339143714</v>
      </c>
      <c r="AN979" s="146">
        <v>0.26356260290020178</v>
      </c>
      <c r="AO979" s="146">
        <v>719.87880738720537</v>
      </c>
      <c r="AP979" s="146">
        <v>667.33228275073407</v>
      </c>
      <c r="AQ979" t="s">
        <v>326</v>
      </c>
      <c r="AR979">
        <f t="shared" si="57"/>
        <v>9.762677251918257</v>
      </c>
      <c r="AS979">
        <f t="shared" si="58"/>
        <v>2.6643645582431001</v>
      </c>
      <c r="AT979">
        <v>0.2</v>
      </c>
      <c r="AU979">
        <v>1</v>
      </c>
      <c r="AV979">
        <v>0.3</v>
      </c>
      <c r="AW979" s="146">
        <v>3</v>
      </c>
      <c r="AX979" s="146">
        <v>0.27138439184282936</v>
      </c>
      <c r="AY979">
        <v>0.18</v>
      </c>
      <c r="AZ979" s="209">
        <v>667.33228275073407</v>
      </c>
      <c r="BA979">
        <v>0.27138439184282936</v>
      </c>
      <c r="BB979" s="249">
        <v>38.787756455527173</v>
      </c>
      <c r="BC979" s="243">
        <v>196.18539039071942</v>
      </c>
      <c r="BD979" s="209">
        <v>93661.872853582463</v>
      </c>
      <c r="BE979" s="243">
        <v>53.095552661495752</v>
      </c>
      <c r="BF979">
        <v>370216.99246383214</v>
      </c>
      <c r="BG979" t="s">
        <v>388</v>
      </c>
      <c r="BH979">
        <v>8.1548283468404392E-6</v>
      </c>
      <c r="BI979">
        <v>2136618.7285358245</v>
      </c>
      <c r="BJ979">
        <f t="shared" si="59"/>
        <v>0.1732723707413785</v>
      </c>
    </row>
    <row r="980" spans="1:62" x14ac:dyDescent="0.3">
      <c r="A980">
        <v>-0.1</v>
      </c>
      <c r="B980" s="146">
        <v>1000</v>
      </c>
      <c r="C980" s="146">
        <v>25</v>
      </c>
      <c r="D980" s="146">
        <v>900</v>
      </c>
      <c r="E980" s="252">
        <v>21.437215084394918</v>
      </c>
      <c r="F980" s="146">
        <v>2.146652544651404</v>
      </c>
      <c r="G980" s="146">
        <v>23.127745039070248</v>
      </c>
      <c r="H980" s="146">
        <v>11.053066900055713</v>
      </c>
      <c r="I980" s="146"/>
      <c r="J980" s="146">
        <v>0.32154118381138519</v>
      </c>
      <c r="K980" s="146">
        <v>0.18</v>
      </c>
      <c r="L980" s="146">
        <v>112.009640584926</v>
      </c>
      <c r="M980" s="146">
        <v>55.772435146021252</v>
      </c>
      <c r="N980" s="146">
        <v>3.1615294823613969</v>
      </c>
      <c r="O980" s="146"/>
      <c r="P980" s="146"/>
      <c r="Q980" s="146"/>
      <c r="R980" s="146"/>
      <c r="S980" s="146"/>
      <c r="T980" s="146"/>
      <c r="U980" s="146"/>
      <c r="V980" s="146"/>
      <c r="W980" s="146"/>
      <c r="X980" s="146"/>
      <c r="Y980" s="146"/>
      <c r="Z980" s="146">
        <v>0.28603187793475321</v>
      </c>
      <c r="AA980" s="146"/>
      <c r="AB980" s="146"/>
      <c r="AC980" s="146"/>
      <c r="AD980" s="146"/>
      <c r="AE980" s="146"/>
      <c r="AF980" s="146"/>
      <c r="AG980" s="146"/>
      <c r="AH980" s="146"/>
      <c r="AI980" s="146"/>
      <c r="AJ980" s="146"/>
      <c r="AK980" s="146"/>
      <c r="AL980" s="146">
        <v>2345.7808070943661</v>
      </c>
      <c r="AM980" s="146">
        <v>9.2817200337733441E-2</v>
      </c>
      <c r="AN980" s="146">
        <v>0.26258064273782761</v>
      </c>
      <c r="AO980" s="146">
        <v>818.35949953935176</v>
      </c>
      <c r="AP980" s="146">
        <v>765.01606591366647</v>
      </c>
      <c r="AQ980" t="s">
        <v>326</v>
      </c>
      <c r="AR980">
        <f t="shared" si="57"/>
        <v>9.762677251918257</v>
      </c>
      <c r="AS980">
        <f t="shared" si="58"/>
        <v>2.6643645582431001</v>
      </c>
      <c r="AT980">
        <v>0.2</v>
      </c>
      <c r="AU980">
        <v>1</v>
      </c>
      <c r="AV980">
        <v>0.3</v>
      </c>
      <c r="AW980" s="146">
        <v>3</v>
      </c>
      <c r="AX980" s="146">
        <v>0.27219447044155914</v>
      </c>
      <c r="AY980">
        <v>0.18</v>
      </c>
      <c r="AZ980" s="209">
        <v>765.01606591366647</v>
      </c>
      <c r="BA980">
        <v>0.27219447044155914</v>
      </c>
      <c r="BB980" s="249">
        <v>37.446168168869121</v>
      </c>
      <c r="BC980" s="243">
        <v>195.11634560885685</v>
      </c>
      <c r="BD980" s="209">
        <v>92344.661597675818</v>
      </c>
      <c r="BE980" s="243">
        <v>51.765127330994225</v>
      </c>
      <c r="BF980">
        <v>373334.67906753795</v>
      </c>
      <c r="BG980" t="s">
        <v>388</v>
      </c>
      <c r="BH980">
        <v>8.3161612978946013E-6</v>
      </c>
      <c r="BI980">
        <v>2123446.6159767583</v>
      </c>
      <c r="BJ980">
        <f t="shared" si="59"/>
        <v>0.1758154296220952</v>
      </c>
    </row>
    <row r="981" spans="1:62" x14ac:dyDescent="0.3">
      <c r="A981">
        <v>-0.1</v>
      </c>
      <c r="B981" s="146">
        <v>1000</v>
      </c>
      <c r="C981" s="146">
        <v>25</v>
      </c>
      <c r="D981" s="146">
        <v>1000</v>
      </c>
      <c r="E981" s="252">
        <v>21.699221134677646</v>
      </c>
      <c r="F981" s="146">
        <v>1.9565917057708051</v>
      </c>
      <c r="G981" s="146">
        <v>23.289826647469869</v>
      </c>
      <c r="H981" s="146">
        <v>11.023420108974042</v>
      </c>
      <c r="I981" s="146"/>
      <c r="J981" s="146">
        <v>0.3192596917969564</v>
      </c>
      <c r="K981" s="146">
        <v>0.18</v>
      </c>
      <c r="L981" s="146">
        <v>111.69232430346351</v>
      </c>
      <c r="M981" s="146">
        <v>55.614435337824162</v>
      </c>
      <c r="N981" s="146">
        <v>3.2413990480930739</v>
      </c>
      <c r="O981" s="146"/>
      <c r="P981" s="146"/>
      <c r="Q981" s="146"/>
      <c r="R981" s="146"/>
      <c r="S981" s="146"/>
      <c r="T981" s="146"/>
      <c r="U981" s="146"/>
      <c r="V981" s="146"/>
      <c r="W981" s="146"/>
      <c r="X981" s="146"/>
      <c r="Y981" s="146"/>
      <c r="Z981" s="146">
        <v>0.29404658590978378</v>
      </c>
      <c r="AA981" s="146"/>
      <c r="AB981" s="146"/>
      <c r="AC981" s="146"/>
      <c r="AD981" s="146"/>
      <c r="AE981" s="146"/>
      <c r="AF981" s="146"/>
      <c r="AG981" s="146"/>
      <c r="AH981" s="146"/>
      <c r="AI981" s="146"/>
      <c r="AJ981" s="146"/>
      <c r="AK981" s="146"/>
      <c r="AL981" s="146">
        <v>2483.8058616874914</v>
      </c>
      <c r="AM981" s="146">
        <v>8.4010574032476235E-2</v>
      </c>
      <c r="AN981" s="146">
        <v>0.26175780214651562</v>
      </c>
      <c r="AO981" s="146">
        <v>917.10191269663937</v>
      </c>
      <c r="AP981" s="146">
        <v>863.10633764095383</v>
      </c>
      <c r="AQ981" t="s">
        <v>326</v>
      </c>
      <c r="AR981">
        <f t="shared" si="57"/>
        <v>9.762677251918257</v>
      </c>
      <c r="AS981">
        <f t="shared" si="58"/>
        <v>2.6643645582431001</v>
      </c>
      <c r="AT981">
        <v>0.2</v>
      </c>
      <c r="AU981">
        <v>1</v>
      </c>
      <c r="AV981">
        <v>0.3</v>
      </c>
      <c r="AW981" s="146">
        <v>3</v>
      </c>
      <c r="AX981" s="146">
        <v>0.27278370658637996</v>
      </c>
      <c r="AY981">
        <v>0.18</v>
      </c>
      <c r="AZ981" s="209">
        <v>863.10633764095383</v>
      </c>
      <c r="BA981">
        <v>0.27278370658637996</v>
      </c>
      <c r="BB981" s="249">
        <v>36.345376067961041</v>
      </c>
      <c r="BC981" s="243">
        <v>194.25746027034438</v>
      </c>
      <c r="BD981" s="209">
        <v>91268.77441203747</v>
      </c>
      <c r="BE981" s="243">
        <v>50.66640369238408</v>
      </c>
      <c r="BF981">
        <v>375779.62961852696</v>
      </c>
      <c r="BG981" t="s">
        <v>388</v>
      </c>
      <c r="BH981">
        <v>8.4494432415173351E-6</v>
      </c>
      <c r="BI981">
        <v>2112687.7441203748</v>
      </c>
      <c r="BJ981">
        <f t="shared" si="59"/>
        <v>0.17786804068150835</v>
      </c>
    </row>
    <row r="982" spans="1:62" s="140" customFormat="1" x14ac:dyDescent="0.3">
      <c r="A982" s="140">
        <v>-0.1</v>
      </c>
      <c r="B982" s="140">
        <v>1000</v>
      </c>
      <c r="C982" s="140">
        <v>25</v>
      </c>
      <c r="D982" s="140">
        <v>1100</v>
      </c>
      <c r="E982" s="253">
        <v>21.91714586843268</v>
      </c>
      <c r="F982" s="140">
        <v>1.7980318513459486</v>
      </c>
      <c r="G982" s="140">
        <v>23.424391416216103</v>
      </c>
      <c r="H982" s="140">
        <v>10.998850091112967</v>
      </c>
      <c r="J982" s="140">
        <v>0.3171368503611055</v>
      </c>
      <c r="K982" s="140">
        <v>0.18</v>
      </c>
      <c r="L982" s="140">
        <v>111.43001419761049</v>
      </c>
      <c r="M982" s="140">
        <v>55.483824496735515</v>
      </c>
      <c r="N982" s="140">
        <v>3.3124774192379114</v>
      </c>
      <c r="Z982" s="140">
        <v>0.30116579386006742</v>
      </c>
      <c r="AL982" s="140">
        <v>2617.7487502226327</v>
      </c>
      <c r="AM982" s="140">
        <v>7.6758956909387083E-2</v>
      </c>
      <c r="AN982" s="140">
        <v>0.26106668881591649</v>
      </c>
      <c r="AO982" s="140">
        <v>1016.0477119166785</v>
      </c>
      <c r="AP982" s="140">
        <v>961.51004060367643</v>
      </c>
      <c r="AQ982" t="s">
        <v>326</v>
      </c>
      <c r="AR982">
        <f t="shared" si="57"/>
        <v>9.762677251918257</v>
      </c>
      <c r="AS982">
        <f t="shared" si="58"/>
        <v>2.6643645582431001</v>
      </c>
      <c r="AT982" s="140">
        <v>0.2</v>
      </c>
      <c r="AU982" s="140">
        <v>1</v>
      </c>
      <c r="AV982">
        <v>0.3</v>
      </c>
      <c r="AW982" s="140">
        <v>3</v>
      </c>
      <c r="AX982" s="140">
        <v>0.27318290731858846</v>
      </c>
      <c r="AY982">
        <v>0.18</v>
      </c>
      <c r="AZ982" s="209">
        <v>961.51004060367643</v>
      </c>
      <c r="BA982" s="140">
        <v>0.27318290731858846</v>
      </c>
      <c r="BB982" s="253">
        <v>35.425327887800591</v>
      </c>
      <c r="BC982" s="245">
        <v>193.55004705595886</v>
      </c>
      <c r="BD982" s="210">
        <v>90371.152437948404</v>
      </c>
      <c r="BE982" s="245">
        <v>49.741801788221515</v>
      </c>
      <c r="BF982" s="140">
        <v>377728.01298345404</v>
      </c>
      <c r="BG982" t="s">
        <v>388</v>
      </c>
      <c r="BH982" s="140">
        <v>8.561395338615187E-6</v>
      </c>
      <c r="BI982" s="140">
        <v>2103711.5243794839</v>
      </c>
      <c r="BJ982">
        <f t="shared" si="59"/>
        <v>0.17955314148638782</v>
      </c>
    </row>
    <row r="983" spans="1:62" x14ac:dyDescent="0.3">
      <c r="A983">
        <v>-0.1</v>
      </c>
      <c r="B983" s="146">
        <v>1000</v>
      </c>
      <c r="C983" s="146">
        <v>25</v>
      </c>
      <c r="D983" s="146">
        <v>400</v>
      </c>
      <c r="E983" s="252">
        <v>18.56387819240155</v>
      </c>
      <c r="F983" s="146">
        <v>4.2030579883573438</v>
      </c>
      <c r="G983" s="146">
        <v>21.335823994946153</v>
      </c>
      <c r="H983" s="146">
        <v>11.393817777417359</v>
      </c>
      <c r="I983" s="146"/>
      <c r="J983" s="146">
        <v>0.34417665428079597</v>
      </c>
      <c r="K983" s="146">
        <v>0.18</v>
      </c>
      <c r="L983" s="146">
        <v>115.73306807249598</v>
      </c>
      <c r="M983" s="146">
        <v>57.626423936512531</v>
      </c>
      <c r="N983" s="146">
        <v>2.4574824970035678</v>
      </c>
      <c r="O983" s="146"/>
      <c r="P983" s="146"/>
      <c r="Q983" s="146"/>
      <c r="R983" s="146"/>
      <c r="S983" s="146"/>
      <c r="T983" s="146"/>
      <c r="U983" s="146"/>
      <c r="V983" s="146"/>
      <c r="W983" s="146"/>
      <c r="X983" s="146"/>
      <c r="Y983" s="146"/>
      <c r="Z983" s="146">
        <v>0.21568560644126838</v>
      </c>
      <c r="AA983" s="146"/>
      <c r="AB983" s="146"/>
      <c r="AC983" s="146"/>
      <c r="AD983" s="146"/>
      <c r="AE983" s="146"/>
      <c r="AF983" s="146"/>
      <c r="AG983" s="146"/>
      <c r="AH983" s="146"/>
      <c r="AI983" s="146"/>
      <c r="AJ983" s="146"/>
      <c r="AK983" s="146"/>
      <c r="AL983" s="146">
        <v>1513.9631696077802</v>
      </c>
      <c r="AM983" s="146">
        <v>0.19699534404450131</v>
      </c>
      <c r="AN983" s="146">
        <v>0.27067164357161699</v>
      </c>
      <c r="AO983" s="146">
        <v>331.41550423441481</v>
      </c>
      <c r="AP983" s="146">
        <v>285.22192110599576</v>
      </c>
      <c r="AQ983" t="s">
        <v>326</v>
      </c>
      <c r="AR983">
        <f t="shared" si="57"/>
        <v>9.762677251918257</v>
      </c>
      <c r="AS983">
        <f t="shared" si="58"/>
        <v>2.6643645582431001</v>
      </c>
      <c r="AT983">
        <v>0.2</v>
      </c>
      <c r="AU983">
        <v>1</v>
      </c>
      <c r="AV983">
        <v>0.3</v>
      </c>
      <c r="AW983" s="146">
        <v>3</v>
      </c>
      <c r="AX983" s="146">
        <v>0.26761623771794585</v>
      </c>
      <c r="AY983">
        <v>0.18</v>
      </c>
      <c r="AZ983" s="209">
        <v>285.22192110599576</v>
      </c>
      <c r="BA983">
        <v>0.26761623771794585</v>
      </c>
      <c r="BB983" s="249">
        <v>49.156910582035579</v>
      </c>
      <c r="BC983" s="243">
        <v>205.46045608996869</v>
      </c>
      <c r="BD983" s="209">
        <v>103899.12808066046</v>
      </c>
      <c r="BE983" s="243">
        <v>62.70626725640367</v>
      </c>
      <c r="BF983">
        <v>339888.28976492101</v>
      </c>
      <c r="BG983" t="s">
        <v>389</v>
      </c>
      <c r="BH983">
        <v>6.9369225097622465E-6</v>
      </c>
      <c r="BI983">
        <v>2238991.2808066048</v>
      </c>
      <c r="BJ983">
        <f t="shared" si="59"/>
        <v>0.15180420427652358</v>
      </c>
    </row>
    <row r="984" spans="1:62" x14ac:dyDescent="0.3">
      <c r="A984">
        <v>-0.1</v>
      </c>
      <c r="B984" s="146">
        <v>1000</v>
      </c>
      <c r="C984" s="146">
        <v>25</v>
      </c>
      <c r="D984" s="146">
        <v>400</v>
      </c>
      <c r="E984" s="252">
        <v>17.923861349796926</v>
      </c>
      <c r="F984" s="146">
        <v>4.0204601818256425</v>
      </c>
      <c r="G984" s="146">
        <v>20.56930946414176</v>
      </c>
      <c r="H984" s="146">
        <v>10.998647659952523</v>
      </c>
      <c r="I984" s="146"/>
      <c r="J984" s="146">
        <v>0.34742119266120897</v>
      </c>
      <c r="K984" s="146">
        <v>0.18</v>
      </c>
      <c r="L984" s="146">
        <v>111.75745941038248</v>
      </c>
      <c r="M984" s="146">
        <v>55.646867756207044</v>
      </c>
      <c r="N984" s="146">
        <v>2.3745869249417115</v>
      </c>
      <c r="O984" s="146"/>
      <c r="P984" s="146"/>
      <c r="Q984" s="146"/>
      <c r="R984" s="146"/>
      <c r="S984" s="146"/>
      <c r="T984" s="146"/>
      <c r="U984" s="146"/>
      <c r="V984" s="146"/>
      <c r="W984" s="146"/>
      <c r="X984" s="146"/>
      <c r="Y984" s="146"/>
      <c r="Z984" s="146">
        <v>0.21589808114209214</v>
      </c>
      <c r="AA984" s="146"/>
      <c r="AB984" s="146"/>
      <c r="AC984" s="146"/>
      <c r="AD984" s="146"/>
      <c r="AE984" s="146"/>
      <c r="AF984" s="146"/>
      <c r="AG984" s="146"/>
      <c r="AH984" s="146"/>
      <c r="AI984" s="146"/>
      <c r="AJ984" s="146"/>
      <c r="AK984" s="146"/>
      <c r="AL984" s="146">
        <v>1476.822151090957</v>
      </c>
      <c r="AM984" s="146">
        <v>0.1954591712879066</v>
      </c>
      <c r="AN984" s="146">
        <v>0.27210818654737889</v>
      </c>
      <c r="AO984" s="146">
        <v>334.12965049959621</v>
      </c>
      <c r="AP984" s="146">
        <v>289.52868862010001</v>
      </c>
      <c r="AQ984" t="s">
        <v>326</v>
      </c>
      <c r="AR984">
        <f t="shared" si="57"/>
        <v>9.762677251918257</v>
      </c>
      <c r="AS984">
        <f t="shared" si="58"/>
        <v>2.6643645582431001</v>
      </c>
      <c r="AT984">
        <v>0.2</v>
      </c>
      <c r="AU984">
        <v>1</v>
      </c>
      <c r="AV984">
        <v>0.3</v>
      </c>
      <c r="AW984" s="146">
        <v>2.5</v>
      </c>
      <c r="AX984" s="146">
        <v>0.26963819928066729</v>
      </c>
      <c r="AY984">
        <v>0.18</v>
      </c>
      <c r="AZ984" s="209">
        <v>289.52868862010001</v>
      </c>
      <c r="BA984">
        <v>0.26963819928066729</v>
      </c>
      <c r="BB984" s="249">
        <v>47.190112606334914</v>
      </c>
      <c r="BC984" s="243">
        <v>194.43348239010928</v>
      </c>
      <c r="BD984" s="209">
        <v>97323.246761531569</v>
      </c>
      <c r="BE984" s="243">
        <v>59.653726982696305</v>
      </c>
      <c r="BF984">
        <v>386892.30832753406</v>
      </c>
      <c r="BG984" t="s">
        <v>389</v>
      </c>
      <c r="BH984">
        <v>6.7306432923278859E-6</v>
      </c>
      <c r="BI984">
        <v>2173232.4676153157</v>
      </c>
      <c r="BJ984">
        <f t="shared" si="59"/>
        <v>0.17802619558324118</v>
      </c>
    </row>
    <row r="985" spans="1:62" x14ac:dyDescent="0.3">
      <c r="A985">
        <v>-0.1</v>
      </c>
      <c r="B985" s="146">
        <v>1000</v>
      </c>
      <c r="C985" s="146">
        <v>25</v>
      </c>
      <c r="D985" s="146">
        <v>400</v>
      </c>
      <c r="E985" s="252">
        <v>15.614705757607146</v>
      </c>
      <c r="F985" s="146">
        <v>3.4011038287087811</v>
      </c>
      <c r="G985" s="146">
        <v>17.836466375356487</v>
      </c>
      <c r="H985" s="146">
        <v>9.5837347464912366</v>
      </c>
      <c r="I985" s="146"/>
      <c r="J985" s="146">
        <v>0.35929542241563089</v>
      </c>
      <c r="K985" s="146">
        <v>0.18</v>
      </c>
      <c r="L985" s="146">
        <v>97.493350189963436</v>
      </c>
      <c r="M985" s="146">
        <v>48.544406733591771</v>
      </c>
      <c r="N985" s="146">
        <v>2.0826731392649513</v>
      </c>
      <c r="O985" s="146"/>
      <c r="P985" s="146"/>
      <c r="Q985" s="146"/>
      <c r="R985" s="146"/>
      <c r="S985" s="146"/>
      <c r="T985" s="146"/>
      <c r="U985" s="146"/>
      <c r="V985" s="146"/>
      <c r="W985" s="146"/>
      <c r="X985" s="146"/>
      <c r="Y985" s="146"/>
      <c r="Z985" s="146">
        <v>0.21731331201830814</v>
      </c>
      <c r="AA985" s="146"/>
      <c r="AB985" s="146"/>
      <c r="AC985" s="146"/>
      <c r="AD985" s="146"/>
      <c r="AE985" s="146"/>
      <c r="AF985" s="146"/>
      <c r="AG985" s="146"/>
      <c r="AH985" s="146"/>
      <c r="AI985" s="146"/>
      <c r="AJ985" s="146"/>
      <c r="AK985" s="146"/>
      <c r="AL985" s="146">
        <v>1346.0761533252594</v>
      </c>
      <c r="AM985" s="146">
        <v>0.19068260254777092</v>
      </c>
      <c r="AN985" s="146">
        <v>0.27682967148055265</v>
      </c>
      <c r="AO985" s="146">
        <v>343.59453712423277</v>
      </c>
      <c r="AP985" s="146">
        <v>304.73958369278387</v>
      </c>
      <c r="AQ985" t="s">
        <v>326</v>
      </c>
      <c r="AR985">
        <f t="shared" si="57"/>
        <v>9.762677251918257</v>
      </c>
      <c r="AS985">
        <f t="shared" si="58"/>
        <v>2.6643645582431001</v>
      </c>
      <c r="AT985">
        <v>0.2</v>
      </c>
      <c r="AU985">
        <v>1</v>
      </c>
      <c r="AV985">
        <v>0.3</v>
      </c>
      <c r="AW985" s="146">
        <v>1.5</v>
      </c>
      <c r="AX985" s="146">
        <v>0.27688979210300324</v>
      </c>
      <c r="AY985">
        <v>0.18</v>
      </c>
      <c r="AZ985" s="209">
        <v>304.73958369278387</v>
      </c>
      <c r="BA985">
        <v>0.27688979210300324</v>
      </c>
      <c r="BB985" s="249">
        <v>40.393390848547241</v>
      </c>
      <c r="BC985" s="243">
        <v>158.95157770328694</v>
      </c>
      <c r="BD985" s="209">
        <v>76461.125410580877</v>
      </c>
      <c r="BE985" s="243">
        <v>49.531903654692975</v>
      </c>
      <c r="BF985">
        <v>507145.27931117173</v>
      </c>
      <c r="BG985" t="s">
        <v>389</v>
      </c>
      <c r="BH985">
        <v>6.0215018966032695E-6</v>
      </c>
      <c r="BI985">
        <v>1964611.2541058087</v>
      </c>
      <c r="BJ985">
        <f t="shared" si="59"/>
        <v>0.25814026986320943</v>
      </c>
    </row>
    <row r="986" spans="1:62" x14ac:dyDescent="0.3">
      <c r="A986">
        <v>-0.1</v>
      </c>
      <c r="B986" s="146">
        <v>1000</v>
      </c>
      <c r="C986" s="146">
        <v>25</v>
      </c>
      <c r="D986" s="146">
        <v>400</v>
      </c>
      <c r="E986" s="252">
        <v>13.496967190538886</v>
      </c>
      <c r="F986" s="146">
        <v>2.8801554135481826</v>
      </c>
      <c r="G986" s="146">
        <v>15.367367581267811</v>
      </c>
      <c r="H986" s="146">
        <v>8.2931794116827451</v>
      </c>
      <c r="I986" s="146"/>
      <c r="J986" s="146">
        <v>0.37091778573200374</v>
      </c>
      <c r="K986" s="146">
        <v>0.18</v>
      </c>
      <c r="L986" s="146">
        <v>84.446636029110749</v>
      </c>
      <c r="M986" s="146">
        <v>42.048117524868431</v>
      </c>
      <c r="N986" s="146">
        <v>1.8169111075953932</v>
      </c>
      <c r="O986" s="146"/>
      <c r="P986" s="146"/>
      <c r="Q986" s="146"/>
      <c r="R986" s="146"/>
      <c r="S986" s="146"/>
      <c r="T986" s="146"/>
      <c r="U986" s="146"/>
      <c r="V986" s="146"/>
      <c r="W986" s="146"/>
      <c r="X986" s="146"/>
      <c r="Y986" s="146"/>
      <c r="Z986" s="146">
        <v>0.21908498748210839</v>
      </c>
      <c r="AA986" s="146"/>
      <c r="AB986" s="146"/>
      <c r="AC986" s="146"/>
      <c r="AD986" s="146"/>
      <c r="AE986" s="146"/>
      <c r="AF986" s="146"/>
      <c r="AG986" s="146"/>
      <c r="AH986" s="146"/>
      <c r="AI986" s="146"/>
      <c r="AJ986" s="146"/>
      <c r="AK986" s="146"/>
      <c r="AL986" s="146">
        <v>1226.7418082665831</v>
      </c>
      <c r="AM986" s="146">
        <v>0.18742022004204376</v>
      </c>
      <c r="AN986" s="146">
        <v>0.28043639213730082</v>
      </c>
      <c r="AO986" s="146">
        <v>351.87155601427503</v>
      </c>
      <c r="AP986" s="146">
        <v>318.28625446888651</v>
      </c>
      <c r="AQ986" t="s">
        <v>326</v>
      </c>
      <c r="AR986">
        <f t="shared" si="57"/>
        <v>9.762677251918257</v>
      </c>
      <c r="AS986">
        <f t="shared" si="58"/>
        <v>2.6643645582431001</v>
      </c>
      <c r="AT986">
        <v>0.2</v>
      </c>
      <c r="AU986">
        <v>1</v>
      </c>
      <c r="AV986">
        <v>0.3</v>
      </c>
      <c r="AW986" s="146">
        <v>1</v>
      </c>
      <c r="AX986" s="146">
        <v>0.28373743544384622</v>
      </c>
      <c r="AY986">
        <v>0.18</v>
      </c>
      <c r="AZ986" s="209">
        <v>318.28625446888651</v>
      </c>
      <c r="BA986">
        <v>0.28373743544384622</v>
      </c>
      <c r="BB986" s="249">
        <v>34.510998293402821</v>
      </c>
      <c r="BC986" s="243">
        <v>130.85619082918714</v>
      </c>
      <c r="BD986" s="209">
        <v>60478.476014767504</v>
      </c>
      <c r="BE986" s="243">
        <v>41.272882752746384</v>
      </c>
      <c r="BF986">
        <v>576162.32744593115</v>
      </c>
      <c r="BG986" t="s">
        <v>389</v>
      </c>
      <c r="BH986">
        <v>5.3558107555847676E-6</v>
      </c>
      <c r="BI986">
        <v>1804784.7601476749</v>
      </c>
      <c r="BJ986">
        <f t="shared" si="59"/>
        <v>0.31924157393637742</v>
      </c>
    </row>
    <row r="987" spans="1:62" x14ac:dyDescent="0.3">
      <c r="A987">
        <v>-0.1</v>
      </c>
      <c r="B987" s="146">
        <v>1000</v>
      </c>
      <c r="C987" s="146">
        <v>25</v>
      </c>
      <c r="D987" s="146">
        <v>400</v>
      </c>
      <c r="E987" s="252">
        <v>12.350436822098224</v>
      </c>
      <c r="F987" s="146">
        <v>2.6157367790154278</v>
      </c>
      <c r="G987" s="146">
        <v>14.043132192101128</v>
      </c>
      <c r="H987" s="146">
        <v>7.5687606839761639</v>
      </c>
      <c r="I987" s="146"/>
      <c r="J987" s="146">
        <v>0.37387464559969896</v>
      </c>
      <c r="K987" s="146">
        <v>0.18</v>
      </c>
      <c r="L987" s="146">
        <v>77.110103859480148</v>
      </c>
      <c r="M987" s="146">
        <v>38.395072461151941</v>
      </c>
      <c r="N987" s="146">
        <v>1.6905976466056272</v>
      </c>
      <c r="O987" s="146"/>
      <c r="P987" s="146"/>
      <c r="Q987" s="146"/>
      <c r="R987" s="146"/>
      <c r="S987" s="146"/>
      <c r="T987" s="146"/>
      <c r="U987" s="146"/>
      <c r="V987" s="146"/>
      <c r="W987" s="146"/>
      <c r="X987" s="146"/>
      <c r="Y987" s="146"/>
      <c r="Z987" s="146">
        <v>0.22336518714150844</v>
      </c>
      <c r="AA987" s="146"/>
      <c r="AB987" s="146"/>
      <c r="AC987" s="146"/>
      <c r="AD987" s="146"/>
      <c r="AE987" s="146"/>
      <c r="AF987" s="146"/>
      <c r="AG987" s="146"/>
      <c r="AH987" s="146"/>
      <c r="AI987" s="146"/>
      <c r="AJ987" s="146"/>
      <c r="AK987" s="146"/>
      <c r="AL987" s="146">
        <v>1170.5829328941068</v>
      </c>
      <c r="AM987" s="146">
        <v>0.18626448453477545</v>
      </c>
      <c r="AN987" s="146">
        <v>0.28079682076640733</v>
      </c>
      <c r="AO987" s="146">
        <v>356.01646490017617</v>
      </c>
      <c r="AP987" s="146">
        <v>325.2841095912932</v>
      </c>
      <c r="AQ987" t="s">
        <v>326</v>
      </c>
      <c r="AR987">
        <f t="shared" si="57"/>
        <v>9.762677251918257</v>
      </c>
      <c r="AS987">
        <f t="shared" si="58"/>
        <v>2.6643645582431001</v>
      </c>
      <c r="AT987">
        <v>0.2</v>
      </c>
      <c r="AU987">
        <v>1</v>
      </c>
      <c r="AV987">
        <v>0.3</v>
      </c>
      <c r="AW987" s="146">
        <v>0.8</v>
      </c>
      <c r="AX987" s="146">
        <v>0.2850421810994585</v>
      </c>
      <c r="AY987">
        <v>0.18</v>
      </c>
      <c r="AZ987" s="209">
        <v>325.2841095912932</v>
      </c>
      <c r="BA987">
        <v>0.2850421810994585</v>
      </c>
      <c r="BB987" s="249">
        <v>31.470828128974588</v>
      </c>
      <c r="BC987" s="243">
        <v>116.46201772203192</v>
      </c>
      <c r="BD987" s="209">
        <v>52849.582771868059</v>
      </c>
      <c r="BE987" s="243">
        <v>37.468774476043905</v>
      </c>
      <c r="BF987">
        <v>605970.59843238641</v>
      </c>
      <c r="BG987" t="s">
        <v>389</v>
      </c>
      <c r="BH987">
        <v>4.9693399432290061E-6</v>
      </c>
      <c r="BI987">
        <v>1728495.8277186807</v>
      </c>
      <c r="BJ987">
        <f t="shared" si="59"/>
        <v>0.35057683606454759</v>
      </c>
    </row>
    <row r="988" spans="1:62" x14ac:dyDescent="0.3">
      <c r="A988">
        <v>-0.1</v>
      </c>
      <c r="B988" s="146">
        <v>1000</v>
      </c>
      <c r="C988" s="146">
        <v>25</v>
      </c>
      <c r="D988" s="146">
        <v>400</v>
      </c>
      <c r="E988" s="252">
        <v>10.907842456691577</v>
      </c>
      <c r="F988" s="146">
        <v>2.2937972868933341</v>
      </c>
      <c r="G988" s="146">
        <v>12.385776273088695</v>
      </c>
      <c r="H988" s="146">
        <v>6.656652944694093</v>
      </c>
      <c r="I988" s="146"/>
      <c r="J988" s="146">
        <v>0.37618102172778889</v>
      </c>
      <c r="K988" s="146">
        <v>0.18</v>
      </c>
      <c r="L988" s="146">
        <v>67.859771196883514</v>
      </c>
      <c r="M988" s="146">
        <v>33.789097691394289</v>
      </c>
      <c r="N988" s="146">
        <v>1.5375920462946047</v>
      </c>
      <c r="O988" s="146"/>
      <c r="P988" s="146"/>
      <c r="Q988" s="146"/>
      <c r="R988" s="146"/>
      <c r="S988" s="146"/>
      <c r="T988" s="146"/>
      <c r="U988" s="146"/>
      <c r="V988" s="146"/>
      <c r="W988" s="146"/>
      <c r="X988" s="146"/>
      <c r="Y988" s="146"/>
      <c r="Z988" s="146">
        <v>0.23098576102276649</v>
      </c>
      <c r="AA988" s="146"/>
      <c r="AB988" s="146"/>
      <c r="AC988" s="146"/>
      <c r="AD988" s="146"/>
      <c r="AE988" s="146"/>
      <c r="AF988" s="146"/>
      <c r="AG988" s="146"/>
      <c r="AH988" s="146"/>
      <c r="AI988" s="146"/>
      <c r="AJ988" s="146"/>
      <c r="AK988" s="146"/>
      <c r="AL988" s="146">
        <v>1102.7935199478559</v>
      </c>
      <c r="AM988" s="146">
        <v>0.18519608592294715</v>
      </c>
      <c r="AN988" s="146">
        <v>0.280696658995855</v>
      </c>
      <c r="AO988" s="146">
        <v>361.14010585052011</v>
      </c>
      <c r="AP988" s="146">
        <v>333.9974968005539</v>
      </c>
      <c r="AQ988" t="s">
        <v>326</v>
      </c>
      <c r="AR988">
        <f t="shared" si="57"/>
        <v>9.762677251918257</v>
      </c>
      <c r="AS988">
        <f t="shared" si="58"/>
        <v>2.6643645582431001</v>
      </c>
      <c r="AT988">
        <v>0.2</v>
      </c>
      <c r="AU988">
        <v>1</v>
      </c>
      <c r="AV988">
        <v>0.3</v>
      </c>
      <c r="AW988" s="146">
        <v>0.6</v>
      </c>
      <c r="AX988" s="146">
        <v>0.28565396929879977</v>
      </c>
      <c r="AY988">
        <v>0.18</v>
      </c>
      <c r="AZ988" s="209">
        <v>333.9974968005539</v>
      </c>
      <c r="BA988">
        <v>0.28565396929879977</v>
      </c>
      <c r="BB988" s="249">
        <v>27.724212805890559</v>
      </c>
      <c r="BC988" s="243">
        <v>99.484837471157746</v>
      </c>
      <c r="BD988" s="209">
        <v>44110.058178712934</v>
      </c>
      <c r="BE988" s="243">
        <v>32.929231709022275</v>
      </c>
      <c r="BF988">
        <v>632334.07624214503</v>
      </c>
      <c r="BG988" t="s">
        <v>389</v>
      </c>
      <c r="BH988">
        <v>4.4681584551506613E-6</v>
      </c>
      <c r="BI988">
        <v>1641100.5817871294</v>
      </c>
      <c r="BJ988">
        <f t="shared" si="59"/>
        <v>0.38531098170323264</v>
      </c>
    </row>
    <row r="989" spans="1:62" x14ac:dyDescent="0.3">
      <c r="A989">
        <v>-0.1</v>
      </c>
      <c r="B989" s="146">
        <v>1000</v>
      </c>
      <c r="C989" s="146">
        <v>25</v>
      </c>
      <c r="D989" s="146">
        <v>400</v>
      </c>
      <c r="E989" s="252">
        <v>9.0259212888558285</v>
      </c>
      <c r="F989" s="146">
        <v>1.8895662184496067</v>
      </c>
      <c r="G989" s="146">
        <v>10.236622382652856</v>
      </c>
      <c r="H989" s="146">
        <v>5.4860343839004937</v>
      </c>
      <c r="I989" s="146"/>
      <c r="J989" s="146">
        <v>0.38129918729861118</v>
      </c>
      <c r="K989" s="146">
        <v>0.18</v>
      </c>
      <c r="L989" s="146">
        <v>55.967860573383973</v>
      </c>
      <c r="M989" s="146">
        <v>27.867814393386212</v>
      </c>
      <c r="N989" s="146">
        <v>1.321586534570879</v>
      </c>
      <c r="O989" s="146"/>
      <c r="P989" s="146"/>
      <c r="Q989" s="146"/>
      <c r="R989" s="146"/>
      <c r="S989" s="146"/>
      <c r="T989" s="146"/>
      <c r="U989" s="146"/>
      <c r="V989" s="146"/>
      <c r="W989" s="146"/>
      <c r="X989" s="146"/>
      <c r="Y989" s="146"/>
      <c r="Z989" s="146">
        <v>0.24090015521033784</v>
      </c>
      <c r="AA989" s="146"/>
      <c r="AB989" s="146"/>
      <c r="AC989" s="146"/>
      <c r="AD989" s="146"/>
      <c r="AE989" s="146"/>
      <c r="AF989" s="146"/>
      <c r="AG989" s="146"/>
      <c r="AH989" s="146"/>
      <c r="AI989" s="146"/>
      <c r="AJ989" s="146"/>
      <c r="AK989" s="146"/>
      <c r="AL989" s="146">
        <v>1006.1633618438268</v>
      </c>
      <c r="AM989" s="146">
        <v>0.18458883680731408</v>
      </c>
      <c r="AN989" s="146">
        <v>0.28056787309581704</v>
      </c>
      <c r="AO989" s="146">
        <v>367.82981176974107</v>
      </c>
      <c r="AP989" s="146">
        <v>345.37009455838705</v>
      </c>
      <c r="AQ989" t="s">
        <v>326</v>
      </c>
      <c r="AR989">
        <f t="shared" si="57"/>
        <v>9.762677251918257</v>
      </c>
      <c r="AS989">
        <f t="shared" si="58"/>
        <v>2.6643645582431001</v>
      </c>
      <c r="AT989">
        <v>0.2</v>
      </c>
      <c r="AU989">
        <v>1</v>
      </c>
      <c r="AV989">
        <v>0.3</v>
      </c>
      <c r="AW989" s="146">
        <v>0.4</v>
      </c>
      <c r="AX989" s="146">
        <v>0.28769668074252575</v>
      </c>
      <c r="AY989">
        <v>0.18</v>
      </c>
      <c r="AZ989" s="209">
        <v>345.37009455838705</v>
      </c>
      <c r="BA989">
        <v>0.28769668074252575</v>
      </c>
      <c r="BB989" s="249">
        <v>22.933290390922934</v>
      </c>
      <c r="BC989" s="243">
        <v>79.258934828997312</v>
      </c>
      <c r="BD989" s="209">
        <v>33965.576458519034</v>
      </c>
      <c r="BE989" s="243">
        <v>27.108258999892648</v>
      </c>
      <c r="BF989">
        <v>651102.85856970691</v>
      </c>
      <c r="BG989" t="s">
        <v>389</v>
      </c>
      <c r="BH989">
        <v>3.7813027304803503E-6</v>
      </c>
      <c r="BI989">
        <v>1539655.7645851905</v>
      </c>
      <c r="BJ989">
        <f t="shared" si="59"/>
        <v>0.42288859207767465</v>
      </c>
    </row>
    <row r="990" spans="1:62" x14ac:dyDescent="0.3">
      <c r="A990">
        <v>-0.1</v>
      </c>
      <c r="B990" s="146">
        <v>1000</v>
      </c>
      <c r="C990" s="146">
        <v>25</v>
      </c>
      <c r="D990" s="146">
        <v>400</v>
      </c>
      <c r="E990" s="252">
        <v>7.825570820745777</v>
      </c>
      <c r="F990" s="146">
        <v>1.6379477699995346</v>
      </c>
      <c r="G990" s="146">
        <v>8.8713698338249038</v>
      </c>
      <c r="H990" s="146">
        <v>4.7469869037782804</v>
      </c>
      <c r="I990" s="146"/>
      <c r="J990" s="146">
        <v>0.38403320683565578</v>
      </c>
      <c r="K990" s="146">
        <v>0.18</v>
      </c>
      <c r="L990" s="146">
        <v>48.449637817038223</v>
      </c>
      <c r="M990" s="146">
        <v>24.124300987736877</v>
      </c>
      <c r="N990" s="146">
        <v>1.1856107054428611</v>
      </c>
      <c r="O990" s="146"/>
      <c r="P990" s="146"/>
      <c r="Q990" s="146"/>
      <c r="R990" s="146"/>
      <c r="S990" s="146"/>
      <c r="T990" s="146"/>
      <c r="U990" s="146"/>
      <c r="V990" s="146"/>
      <c r="W990" s="146"/>
      <c r="X990" s="146"/>
      <c r="Y990" s="146"/>
      <c r="Z990" s="146">
        <v>0.24976068598360682</v>
      </c>
      <c r="AA990" s="146"/>
      <c r="AB990" s="146"/>
      <c r="AC990" s="146"/>
      <c r="AD990" s="146"/>
      <c r="AE990" s="146"/>
      <c r="AF990" s="146"/>
      <c r="AG990" s="146"/>
      <c r="AH990" s="146"/>
      <c r="AI990" s="146"/>
      <c r="AJ990" s="146"/>
      <c r="AK990" s="146"/>
      <c r="AL990" s="146">
        <v>945.4336218132463</v>
      </c>
      <c r="AM990" s="146">
        <v>0.18463301617235486</v>
      </c>
      <c r="AN990" s="146">
        <v>0.28049764737683497</v>
      </c>
      <c r="AO990" s="146">
        <v>372.10111780284382</v>
      </c>
      <c r="AP990" s="146">
        <v>352.62826909181632</v>
      </c>
      <c r="AQ990" t="s">
        <v>326</v>
      </c>
      <c r="AR990">
        <f t="shared" si="57"/>
        <v>9.762677251918257</v>
      </c>
      <c r="AS990">
        <f t="shared" si="58"/>
        <v>2.6643645582431001</v>
      </c>
      <c r="AT990">
        <v>0.2</v>
      </c>
      <c r="AU990">
        <v>1</v>
      </c>
      <c r="AV990">
        <v>0.3</v>
      </c>
      <c r="AW990" s="146">
        <v>0.3</v>
      </c>
      <c r="AX990" s="146">
        <v>0.28871289706861514</v>
      </c>
      <c r="AY990">
        <v>0.18</v>
      </c>
      <c r="AZ990" s="209">
        <v>352.62826909181632</v>
      </c>
      <c r="BA990">
        <v>0.28871289706861514</v>
      </c>
      <c r="BB990" s="249">
        <v>19.916823010926045</v>
      </c>
      <c r="BC990" s="243">
        <v>67.250659556052156</v>
      </c>
      <c r="BD990" s="209">
        <v>28138.368687366485</v>
      </c>
      <c r="BE990" s="243">
        <v>23.479391675691737</v>
      </c>
      <c r="BF990">
        <v>653622.4952521408</v>
      </c>
      <c r="BG990" t="s">
        <v>389</v>
      </c>
      <c r="BH990">
        <v>3.3224942450236718E-6</v>
      </c>
      <c r="BI990">
        <v>1481383.6868736648</v>
      </c>
      <c r="BJ990">
        <f t="shared" si="59"/>
        <v>0.44122431011209245</v>
      </c>
    </row>
    <row r="991" spans="1:62" x14ac:dyDescent="0.3">
      <c r="A991">
        <v>-0.1</v>
      </c>
      <c r="B991" s="146">
        <v>1000</v>
      </c>
      <c r="C991" s="146">
        <v>25</v>
      </c>
      <c r="D991" s="146">
        <v>400</v>
      </c>
      <c r="E991" s="252">
        <v>6.349217743813159</v>
      </c>
      <c r="F991" s="146">
        <v>1.3364541600403101</v>
      </c>
      <c r="G991" s="146">
        <v>7.1983533272215752</v>
      </c>
      <c r="H991" s="146">
        <v>3.8451110451781627</v>
      </c>
      <c r="I991" s="146"/>
      <c r="J991" s="146">
        <v>0.39008128521689267</v>
      </c>
      <c r="K991" s="146">
        <v>0.18</v>
      </c>
      <c r="L991" s="146">
        <v>39.264907959355973</v>
      </c>
      <c r="M991" s="146">
        <v>19.550991515032024</v>
      </c>
      <c r="N991" s="146">
        <v>0.99986636446206756</v>
      </c>
      <c r="O991" s="146"/>
      <c r="P991" s="146"/>
      <c r="Q991" s="146"/>
      <c r="R991" s="146"/>
      <c r="S991" s="146"/>
      <c r="T991" s="146"/>
      <c r="U991" s="146"/>
      <c r="V991" s="146"/>
      <c r="W991" s="146"/>
      <c r="X991" s="146"/>
      <c r="Y991" s="146"/>
      <c r="Z991" s="146">
        <v>0.26003575780104393</v>
      </c>
      <c r="AA991" s="146"/>
      <c r="AB991" s="146"/>
      <c r="AC991" s="146"/>
      <c r="AD991" s="146"/>
      <c r="AE991" s="146"/>
      <c r="AF991" s="146"/>
      <c r="AG991" s="146"/>
      <c r="AH991" s="146"/>
      <c r="AI991" s="146"/>
      <c r="AJ991" s="146"/>
      <c r="AK991" s="146"/>
      <c r="AL991" s="146">
        <v>861.46348008794882</v>
      </c>
      <c r="AM991" s="146">
        <v>0.18566109487656332</v>
      </c>
      <c r="AN991" s="146">
        <v>0.28006666013126291</v>
      </c>
      <c r="AO991" s="146">
        <v>377.32961952401837</v>
      </c>
      <c r="AP991" s="146">
        <v>361.53029785691501</v>
      </c>
      <c r="AQ991" t="s">
        <v>326</v>
      </c>
      <c r="AR991">
        <f t="shared" si="57"/>
        <v>9.762677251918257</v>
      </c>
      <c r="AS991">
        <f t="shared" si="58"/>
        <v>2.6643645582431001</v>
      </c>
      <c r="AT991">
        <v>0.2</v>
      </c>
      <c r="AU991">
        <v>1</v>
      </c>
      <c r="AV991">
        <v>0.3</v>
      </c>
      <c r="AW991" s="146">
        <v>0.2</v>
      </c>
      <c r="AX991" s="146">
        <v>0.29181420822392068</v>
      </c>
      <c r="AY991">
        <v>0.18</v>
      </c>
      <c r="AZ991" s="209">
        <v>361.53029785691501</v>
      </c>
      <c r="BA991">
        <v>0.29181420822392068</v>
      </c>
      <c r="BB991" s="249">
        <v>16.25091860659704</v>
      </c>
      <c r="BC991" s="243">
        <v>53.274243863264076</v>
      </c>
      <c r="BD991" s="209">
        <v>21597.977130605814</v>
      </c>
      <c r="BE991" s="243">
        <v>19.089157492040329</v>
      </c>
      <c r="BF991">
        <v>648791.95592483389</v>
      </c>
      <c r="BG991" t="s">
        <v>389</v>
      </c>
      <c r="BH991">
        <v>2.7283857797155071E-6</v>
      </c>
      <c r="BI991">
        <v>1415979.7713060582</v>
      </c>
      <c r="BJ991">
        <f t="shared" si="59"/>
        <v>0.45819295520472531</v>
      </c>
    </row>
    <row r="992" spans="1:62" s="140" customFormat="1" x14ac:dyDescent="0.3">
      <c r="A992" s="140">
        <v>-0.1</v>
      </c>
      <c r="B992" s="140">
        <v>1000</v>
      </c>
      <c r="C992" s="140">
        <v>25</v>
      </c>
      <c r="D992" s="140">
        <v>400</v>
      </c>
      <c r="E992" s="253">
        <v>4.3348059889017367</v>
      </c>
      <c r="F992" s="140">
        <v>0.93029495744665824</v>
      </c>
      <c r="G992" s="140">
        <v>4.9213932724817706</v>
      </c>
      <c r="H992" s="140">
        <v>2.6279866551319513</v>
      </c>
      <c r="J992" s="140">
        <v>0.4009239742491878</v>
      </c>
      <c r="K992" s="140">
        <v>0.18</v>
      </c>
      <c r="L992" s="140">
        <v>26.853499355630607</v>
      </c>
      <c r="M992" s="140">
        <v>13.37103702355051</v>
      </c>
      <c r="N992" s="140">
        <v>0.73268105241429593</v>
      </c>
      <c r="Z992" s="140">
        <v>0.2787993808809916</v>
      </c>
      <c r="AL992" s="140">
        <v>740.0581961527447</v>
      </c>
      <c r="AM992" s="140">
        <v>0.18903081016679799</v>
      </c>
      <c r="AN992" s="140">
        <v>0.27974170030536916</v>
      </c>
      <c r="AO992" s="140">
        <v>384.50425523198788</v>
      </c>
      <c r="AP992" s="140">
        <v>373.71766994559636</v>
      </c>
      <c r="AQ992" t="s">
        <v>326</v>
      </c>
      <c r="AR992">
        <f t="shared" si="57"/>
        <v>9.762677251918257</v>
      </c>
      <c r="AS992">
        <f t="shared" si="58"/>
        <v>2.6643645582431001</v>
      </c>
      <c r="AT992" s="140">
        <v>0.2</v>
      </c>
      <c r="AU992" s="140">
        <v>1</v>
      </c>
      <c r="AV992">
        <v>0.3</v>
      </c>
      <c r="AW992" s="140">
        <v>0.1</v>
      </c>
      <c r="AX992" s="140">
        <v>0.29908685408729463</v>
      </c>
      <c r="AY992">
        <v>0.18</v>
      </c>
      <c r="AZ992" s="209">
        <v>373.71766994559636</v>
      </c>
      <c r="BA992" s="140">
        <v>0.29908685408729463</v>
      </c>
      <c r="BB992" s="253">
        <v>11.266684234816161</v>
      </c>
      <c r="BC992" s="245">
        <v>35.422894255110151</v>
      </c>
      <c r="BD992" s="210">
        <v>13694.070963667698</v>
      </c>
      <c r="BE992" s="245">
        <v>13.153027687571738</v>
      </c>
      <c r="BF992" s="140">
        <v>615423.05043613596</v>
      </c>
      <c r="BG992" t="s">
        <v>389</v>
      </c>
      <c r="BH992" s="140">
        <v>1.8731836188220984E-6</v>
      </c>
      <c r="BI992" s="140">
        <v>1336940.7096366771</v>
      </c>
      <c r="BJ992">
        <f t="shared" si="59"/>
        <v>0.4603218721669276</v>
      </c>
    </row>
    <row r="993" spans="1:62" x14ac:dyDescent="0.3">
      <c r="A993">
        <v>-0.1</v>
      </c>
      <c r="B993" s="146">
        <v>1000</v>
      </c>
      <c r="C993" s="146">
        <v>25</v>
      </c>
      <c r="D993" s="146">
        <v>400</v>
      </c>
      <c r="E993" s="252">
        <v>18.55917907281885</v>
      </c>
      <c r="F993" s="146">
        <v>4.2010254672944987</v>
      </c>
      <c r="G993" s="146">
        <v>21.329861308167203</v>
      </c>
      <c r="H993" s="146">
        <v>11.391929681218576</v>
      </c>
      <c r="I993" s="146"/>
      <c r="J993" s="146">
        <v>0.3441332193045889</v>
      </c>
      <c r="K993" s="146">
        <v>0.18</v>
      </c>
      <c r="L993" s="146">
        <v>115.71403127386917</v>
      </c>
      <c r="M993" s="146">
        <v>57.616945032631961</v>
      </c>
      <c r="N993" s="146">
        <v>2.4585221010549745</v>
      </c>
      <c r="O993" s="146"/>
      <c r="P993" s="146"/>
      <c r="Q993" s="146"/>
      <c r="R993" s="146"/>
      <c r="S993" s="146"/>
      <c r="T993" s="146"/>
      <c r="U993" s="146"/>
      <c r="V993" s="146"/>
      <c r="W993" s="146"/>
      <c r="X993" s="146"/>
      <c r="Y993" s="146"/>
      <c r="Z993" s="146">
        <v>0.21581261207293465</v>
      </c>
      <c r="AA993" s="146"/>
      <c r="AB993" s="146"/>
      <c r="AC993" s="146"/>
      <c r="AD993" s="146"/>
      <c r="AE993" s="146"/>
      <c r="AF993" s="146"/>
      <c r="AG993" s="146"/>
      <c r="AH993" s="146"/>
      <c r="AI993" s="146"/>
      <c r="AJ993" s="146"/>
      <c r="AK993" s="146"/>
      <c r="AL993" s="146">
        <v>1514.5324618273444</v>
      </c>
      <c r="AM993" s="146">
        <v>0.19695512345811297</v>
      </c>
      <c r="AN993" s="146">
        <v>0.27075219617221263</v>
      </c>
      <c r="AO993" s="146">
        <v>331.45326488500859</v>
      </c>
      <c r="AP993" s="146">
        <v>285.27141129985773</v>
      </c>
      <c r="AQ993" t="s">
        <v>326</v>
      </c>
      <c r="AR993">
        <f t="shared" si="57"/>
        <v>9.762677251918257</v>
      </c>
      <c r="AS993">
        <f t="shared" si="58"/>
        <v>2.6643645582431001</v>
      </c>
      <c r="AT993">
        <v>0.2</v>
      </c>
      <c r="AU993">
        <v>1</v>
      </c>
      <c r="AV993">
        <v>0.3</v>
      </c>
      <c r="AW993" s="146">
        <v>3</v>
      </c>
      <c r="AX993" s="146">
        <v>0.26760571946173056</v>
      </c>
      <c r="AY993">
        <v>0.18</v>
      </c>
      <c r="AZ993" s="209">
        <v>285.27141129985773</v>
      </c>
      <c r="BA993">
        <v>0.26760571946173056</v>
      </c>
      <c r="BB993" s="249">
        <v>49.13833318270342</v>
      </c>
      <c r="BC993" s="243">
        <v>205.40627834594042</v>
      </c>
      <c r="BD993" s="209">
        <v>103846.57817275457</v>
      </c>
      <c r="BE993" s="243">
        <v>62.661522334500425</v>
      </c>
      <c r="BF993">
        <v>339671.52519858873</v>
      </c>
      <c r="BG993" t="s">
        <v>390</v>
      </c>
      <c r="BH993">
        <v>6.9371938356268612E-6</v>
      </c>
      <c r="BI993">
        <v>2238465.7817275459</v>
      </c>
      <c r="BJ993">
        <f t="shared" si="59"/>
        <v>0.15174300539740471</v>
      </c>
    </row>
    <row r="994" spans="1:62" s="140" customFormat="1" x14ac:dyDescent="0.3">
      <c r="A994">
        <v>-0.2</v>
      </c>
      <c r="B994" s="146">
        <v>1000</v>
      </c>
      <c r="C994" s="146">
        <v>25</v>
      </c>
      <c r="D994" s="146">
        <v>400</v>
      </c>
      <c r="E994" s="252">
        <v>18.461761273496823</v>
      </c>
      <c r="F994" s="146">
        <v>4.2700843761774046</v>
      </c>
      <c r="G994" s="146">
        <v>21.268770242784775</v>
      </c>
      <c r="H994" s="146">
        <v>11.404371609425603</v>
      </c>
      <c r="I994" s="146"/>
      <c r="J994" s="146">
        <v>0.34518474049179476</v>
      </c>
      <c r="K994" s="146">
        <v>0.18</v>
      </c>
      <c r="L994" s="146">
        <v>115.85309658985946</v>
      </c>
      <c r="M994" s="146">
        <v>57.686189173374018</v>
      </c>
      <c r="N994" s="146">
        <v>2.4360136472394665</v>
      </c>
      <c r="O994" s="146"/>
      <c r="P994" s="146"/>
      <c r="Q994" s="146"/>
      <c r="R994" s="146"/>
      <c r="S994" s="146"/>
      <c r="T994" s="146"/>
      <c r="U994" s="146"/>
      <c r="V994" s="146"/>
      <c r="W994" s="146"/>
      <c r="X994" s="146"/>
      <c r="Y994" s="146"/>
      <c r="Z994" s="146">
        <v>0.21360349615634452</v>
      </c>
      <c r="AA994" s="146"/>
      <c r="AB994" s="146"/>
      <c r="AC994" s="146"/>
      <c r="AD994" s="146"/>
      <c r="AE994" s="146"/>
      <c r="AF994" s="146"/>
      <c r="AG994" s="146"/>
      <c r="AH994" s="146"/>
      <c r="AI994" s="146"/>
      <c r="AJ994" s="146"/>
      <c r="AK994" s="146"/>
      <c r="AL994" s="146">
        <v>1495.4254037123392</v>
      </c>
      <c r="AM994" s="146">
        <v>0.20076780779678549</v>
      </c>
      <c r="AN994" s="146">
        <v>0.2408833789674045</v>
      </c>
      <c r="AO994" s="146">
        <v>323.35809405930411</v>
      </c>
      <c r="AP994" s="146">
        <v>277.41858009260733</v>
      </c>
      <c r="AQ994" t="s">
        <v>326</v>
      </c>
      <c r="AR994">
        <f t="shared" si="57"/>
        <v>9.762677251918257</v>
      </c>
      <c r="AS994">
        <f t="shared" si="58"/>
        <v>2.6643645582431001</v>
      </c>
      <c r="AT994">
        <v>0.2</v>
      </c>
      <c r="AU994">
        <v>1</v>
      </c>
      <c r="AV994">
        <v>0.3</v>
      </c>
      <c r="AW994" s="146">
        <v>3</v>
      </c>
      <c r="AX994" s="146">
        <v>0.2676929786912286</v>
      </c>
      <c r="AY994">
        <v>0.18</v>
      </c>
      <c r="AZ994" s="209">
        <v>277.41858009260733</v>
      </c>
      <c r="BA994" s="140">
        <v>0.2676929786912286</v>
      </c>
      <c r="BB994" s="253">
        <v>49.522385918948402</v>
      </c>
      <c r="BC994" s="245">
        <v>205.80236731880069</v>
      </c>
      <c r="BD994" s="210">
        <v>104227.94488582843</v>
      </c>
      <c r="BE994" s="245">
        <v>62.984345160898386</v>
      </c>
      <c r="BF994" s="140">
        <v>338341.91398691491</v>
      </c>
      <c r="BG994" t="s">
        <v>390</v>
      </c>
      <c r="BH994" s="140">
        <v>6.8928144065747231E-6</v>
      </c>
      <c r="BI994" s="140">
        <v>2242279.4488582844</v>
      </c>
      <c r="BJ994">
        <f t="shared" si="59"/>
        <v>0.15089194799479191</v>
      </c>
    </row>
    <row r="995" spans="1:62" x14ac:dyDescent="0.3">
      <c r="A995">
        <v>-0.3</v>
      </c>
      <c r="B995" s="146">
        <v>1000</v>
      </c>
      <c r="C995" s="146">
        <v>25</v>
      </c>
      <c r="D995" s="146">
        <v>400</v>
      </c>
      <c r="E995" s="252">
        <v>18.332590891444326</v>
      </c>
      <c r="F995" s="146">
        <v>4.360191235620702</v>
      </c>
      <c r="G995" s="146">
        <v>21.18694890497796</v>
      </c>
      <c r="H995" s="146">
        <v>11.420370603438622</v>
      </c>
      <c r="I995" s="146"/>
      <c r="J995" s="146">
        <v>0.34661522235694836</v>
      </c>
      <c r="K995" s="146">
        <v>0.18</v>
      </c>
      <c r="L995" s="146">
        <v>116.03283281370051</v>
      </c>
      <c r="M995" s="146">
        <v>57.775684388564578</v>
      </c>
      <c r="N995" s="146">
        <v>2.4065775283037496</v>
      </c>
      <c r="O995" s="146"/>
      <c r="P995" s="146"/>
      <c r="Q995" s="146"/>
      <c r="R995" s="146"/>
      <c r="S995" s="146"/>
      <c r="T995" s="146"/>
      <c r="U995" s="146"/>
      <c r="V995" s="146"/>
      <c r="W995" s="146"/>
      <c r="X995" s="146"/>
      <c r="Y995" s="146"/>
      <c r="Z995" s="146">
        <v>0.21072674538067443</v>
      </c>
      <c r="AA995" s="146"/>
      <c r="AB995" s="146"/>
      <c r="AC995" s="146"/>
      <c r="AD995" s="146"/>
      <c r="AE995" s="146"/>
      <c r="AF995" s="146"/>
      <c r="AG995" s="146"/>
      <c r="AH995" s="146"/>
      <c r="AI995" s="146"/>
      <c r="AJ995" s="146"/>
      <c r="AK995" s="146"/>
      <c r="AL995" s="146">
        <v>1470.8003853787848</v>
      </c>
      <c r="AM995" s="146">
        <v>0.20579608961988186</v>
      </c>
      <c r="AN995" s="146">
        <v>0.21103403782509961</v>
      </c>
      <c r="AO995" s="146">
        <v>313.12969661018394</v>
      </c>
      <c r="AP995" s="146">
        <v>267.51162122691062</v>
      </c>
      <c r="AQ995" t="s">
        <v>326</v>
      </c>
      <c r="AR995">
        <f t="shared" si="57"/>
        <v>9.762677251918257</v>
      </c>
      <c r="AS995">
        <f t="shared" si="58"/>
        <v>2.6643645582431001</v>
      </c>
      <c r="AT995">
        <v>0.2</v>
      </c>
      <c r="AU995">
        <v>1</v>
      </c>
      <c r="AV995">
        <v>0.3</v>
      </c>
      <c r="AW995" s="146">
        <v>3</v>
      </c>
      <c r="AX995" s="146">
        <v>0.26784455324252787</v>
      </c>
      <c r="AY995">
        <v>0.18</v>
      </c>
      <c r="AZ995" s="209">
        <v>267.51162122691062</v>
      </c>
      <c r="BA995">
        <v>0.26784455324252787</v>
      </c>
      <c r="BB995" s="249">
        <v>50.020242242864825</v>
      </c>
      <c r="BC995" s="243">
        <v>206.31538476819941</v>
      </c>
      <c r="BD995" s="209">
        <v>104713.468114886</v>
      </c>
      <c r="BE995" s="243">
        <v>63.389573521112993</v>
      </c>
      <c r="BF995">
        <v>336521.02440923371</v>
      </c>
      <c r="BG995" t="s">
        <v>390</v>
      </c>
      <c r="BH995">
        <v>6.8348180323019964E-6</v>
      </c>
      <c r="BI995">
        <v>2247134.6811488597</v>
      </c>
      <c r="BJ995">
        <f t="shared" si="59"/>
        <v>0.1497556097693199</v>
      </c>
    </row>
    <row r="996" spans="1:62" x14ac:dyDescent="0.3">
      <c r="A996">
        <v>-0.4</v>
      </c>
      <c r="B996" s="146">
        <v>1000</v>
      </c>
      <c r="C996" s="146">
        <v>25</v>
      </c>
      <c r="D996" s="146">
        <v>400</v>
      </c>
      <c r="E996" s="252">
        <v>18.1634095267422</v>
      </c>
      <c r="F996" s="146">
        <v>4.4810202084706479</v>
      </c>
      <c r="G996" s="146">
        <v>21.081850309553442</v>
      </c>
      <c r="H996" s="146">
        <v>11.443616818432922</v>
      </c>
      <c r="I996" s="146"/>
      <c r="J996" s="146">
        <v>0.34568745367326259</v>
      </c>
      <c r="K996" s="146">
        <v>0.18</v>
      </c>
      <c r="L996" s="146">
        <v>116.29360049725642</v>
      </c>
      <c r="M996" s="146">
        <v>57.90552721855093</v>
      </c>
      <c r="N996" s="146">
        <v>2.40508697856413</v>
      </c>
      <c r="O996" s="146"/>
      <c r="P996" s="146"/>
      <c r="Q996" s="146"/>
      <c r="R996" s="146"/>
      <c r="S996" s="146"/>
      <c r="T996" s="146"/>
      <c r="U996" s="146"/>
      <c r="V996" s="146"/>
      <c r="W996" s="146"/>
      <c r="X996" s="146"/>
      <c r="Y996" s="146"/>
      <c r="Z996" s="146">
        <v>0.21016842985253681</v>
      </c>
      <c r="AA996" s="146"/>
      <c r="AB996" s="146"/>
      <c r="AC996" s="146"/>
      <c r="AD996" s="146"/>
      <c r="AE996" s="146"/>
      <c r="AF996" s="146"/>
      <c r="AG996" s="146"/>
      <c r="AH996" s="146"/>
      <c r="AI996" s="146"/>
      <c r="AJ996" s="146"/>
      <c r="AK996" s="146"/>
      <c r="AL996" s="146">
        <v>1457.094986778781</v>
      </c>
      <c r="AM996" s="146">
        <v>0.21255345914490392</v>
      </c>
      <c r="AN996" s="146">
        <v>0.18117863577895921</v>
      </c>
      <c r="AO996" s="146">
        <v>299.74861302685906</v>
      </c>
      <c r="AP996" s="146">
        <v>254.55149749671773</v>
      </c>
      <c r="AQ996" t="s">
        <v>326</v>
      </c>
      <c r="AR996">
        <f t="shared" si="57"/>
        <v>9.762677251918257</v>
      </c>
      <c r="AS996">
        <f t="shared" si="58"/>
        <v>2.6643645582431001</v>
      </c>
      <c r="AT996">
        <v>0.2</v>
      </c>
      <c r="AU996">
        <v>1</v>
      </c>
      <c r="AV996">
        <v>0.3</v>
      </c>
      <c r="AW996" s="146">
        <v>3</v>
      </c>
      <c r="AX996" s="146">
        <v>0.26645266168304338</v>
      </c>
      <c r="AY996">
        <v>0.18</v>
      </c>
      <c r="AZ996" s="209">
        <v>254.55149749671773</v>
      </c>
      <c r="BA996">
        <v>0.26645266168304338</v>
      </c>
      <c r="BB996" s="249">
        <v>50.719553009568685</v>
      </c>
      <c r="BC996" s="243">
        <v>207.06188261645821</v>
      </c>
      <c r="BD996" s="209">
        <v>105509.29771354816</v>
      </c>
      <c r="BE996" s="243">
        <v>64.110388813910035</v>
      </c>
      <c r="BF996">
        <v>334442.45656571479</v>
      </c>
      <c r="BG996" t="s">
        <v>390</v>
      </c>
      <c r="BH996">
        <v>6.7538868424005934E-6</v>
      </c>
      <c r="BI996">
        <v>2255092.9771354813</v>
      </c>
      <c r="BJ996">
        <f t="shared" si="59"/>
        <v>0.14830539581145713</v>
      </c>
    </row>
    <row r="997" spans="1:62" x14ac:dyDescent="0.3">
      <c r="A997">
        <v>-0.5</v>
      </c>
      <c r="B997" s="146">
        <v>1000</v>
      </c>
      <c r="C997" s="146">
        <v>25</v>
      </c>
      <c r="D997" s="146">
        <v>400</v>
      </c>
      <c r="E997" s="252">
        <v>17.897562595783224</v>
      </c>
      <c r="F997" s="146">
        <v>4.6535331480511637</v>
      </c>
      <c r="G997" s="146">
        <v>20.906710298937789</v>
      </c>
      <c r="H997" s="146">
        <v>11.476271500777914</v>
      </c>
      <c r="I997" s="146"/>
      <c r="J997" s="146">
        <v>0.34877500639291065</v>
      </c>
      <c r="K997" s="146">
        <v>0.18</v>
      </c>
      <c r="L997" s="146">
        <v>116.66309462610977</v>
      </c>
      <c r="M997" s="146">
        <v>58.089507697648024</v>
      </c>
      <c r="N997" s="146">
        <v>2.3495332257531913</v>
      </c>
      <c r="O997" s="146"/>
      <c r="P997" s="146"/>
      <c r="Q997" s="146"/>
      <c r="R997" s="146"/>
      <c r="S997" s="146"/>
      <c r="T997" s="146"/>
      <c r="U997" s="146"/>
      <c r="V997" s="146"/>
      <c r="W997" s="146"/>
      <c r="X997" s="146"/>
      <c r="Y997" s="146"/>
      <c r="Z997" s="146">
        <v>0.20472966551845076</v>
      </c>
      <c r="AA997" s="146"/>
      <c r="AB997" s="146"/>
      <c r="AC997" s="146"/>
      <c r="AD997" s="146"/>
      <c r="AE997" s="146"/>
      <c r="AF997" s="146"/>
      <c r="AG997" s="146"/>
      <c r="AH997" s="146"/>
      <c r="AI997" s="146"/>
      <c r="AJ997" s="146"/>
      <c r="AK997" s="146"/>
      <c r="AL997" s="146">
        <v>1411.9716557539145</v>
      </c>
      <c r="AM997" s="146">
        <v>0.22258562353961525</v>
      </c>
      <c r="AN997" s="146">
        <v>0.1513415424876888</v>
      </c>
      <c r="AO997" s="146">
        <v>281.7405829120637</v>
      </c>
      <c r="AP997" s="146">
        <v>237.20504287731828</v>
      </c>
      <c r="AQ997" t="s">
        <v>326</v>
      </c>
      <c r="AR997">
        <f t="shared" si="57"/>
        <v>9.762677251918257</v>
      </c>
      <c r="AS997">
        <f t="shared" si="58"/>
        <v>2.6643645582431001</v>
      </c>
      <c r="AT997">
        <v>0.2</v>
      </c>
      <c r="AU997">
        <v>1</v>
      </c>
      <c r="AV997">
        <v>0.3</v>
      </c>
      <c r="AW997" s="146">
        <v>3</v>
      </c>
      <c r="AX997" s="146">
        <v>0.26703117934372739</v>
      </c>
      <c r="AY997">
        <v>0.18</v>
      </c>
      <c r="AZ997" s="209">
        <v>237.20504287731828</v>
      </c>
      <c r="BA997">
        <v>0.26703117934372739</v>
      </c>
      <c r="BB997" s="249">
        <v>51.648847132978709</v>
      </c>
      <c r="BC997" s="243">
        <v>208.1241116045195</v>
      </c>
      <c r="BD997" s="209">
        <v>106434.58862823083</v>
      </c>
      <c r="BE997" s="243">
        <v>64.828340047072118</v>
      </c>
      <c r="BF997">
        <v>330442.61863384891</v>
      </c>
      <c r="BG997" t="s">
        <v>390</v>
      </c>
      <c r="BH997">
        <v>6.6380740884290646E-6</v>
      </c>
      <c r="BI997">
        <v>2264345.886282308</v>
      </c>
      <c r="BJ997">
        <f t="shared" si="59"/>
        <v>0.14593292510464581</v>
      </c>
    </row>
    <row r="998" spans="1:62" x14ac:dyDescent="0.3">
      <c r="A998">
        <v>-0.6</v>
      </c>
      <c r="B998" s="146">
        <v>1000</v>
      </c>
      <c r="C998" s="146">
        <v>25</v>
      </c>
      <c r="D998" s="146">
        <v>400</v>
      </c>
      <c r="E998" s="252">
        <v>17.483256643697896</v>
      </c>
      <c r="F998" s="146">
        <v>4.9274643615202907</v>
      </c>
      <c r="G998" s="146">
        <v>20.636386585900723</v>
      </c>
      <c r="H998" s="146">
        <v>11.531926746203634</v>
      </c>
      <c r="I998" s="146"/>
      <c r="J998" s="146">
        <v>0.35621165706578262</v>
      </c>
      <c r="K998" s="146">
        <v>0.18</v>
      </c>
      <c r="L998" s="146">
        <v>117.29351042881531</v>
      </c>
      <c r="M998" s="146">
        <v>58.403407682397663</v>
      </c>
      <c r="N998" s="146">
        <v>2.2371623835666394</v>
      </c>
      <c r="O998" s="146"/>
      <c r="P998" s="146"/>
      <c r="Q998" s="146"/>
      <c r="R998" s="146"/>
      <c r="S998" s="146"/>
      <c r="T998" s="146"/>
      <c r="U998" s="146"/>
      <c r="V998" s="146"/>
      <c r="W998" s="146"/>
      <c r="X998" s="146"/>
      <c r="Y998" s="146"/>
      <c r="Z998" s="146">
        <v>0.19399727667391956</v>
      </c>
      <c r="AA998" s="146"/>
      <c r="AB998" s="146"/>
      <c r="AC998" s="146"/>
      <c r="AD998" s="146"/>
      <c r="AE998" s="146"/>
      <c r="AF998" s="146"/>
      <c r="AG998" s="146"/>
      <c r="AH998" s="146"/>
      <c r="AI998" s="146"/>
      <c r="AJ998" s="146"/>
      <c r="AK998" s="146"/>
      <c r="AL998" s="146">
        <v>1331.1605777476234</v>
      </c>
      <c r="AM998" s="146">
        <v>0.23877554052446628</v>
      </c>
      <c r="AN998" s="146">
        <v>0.12148233900350777</v>
      </c>
      <c r="AO998" s="146">
        <v>256.08396424443993</v>
      </c>
      <c r="AP998" s="146">
        <v>212.57938596430444</v>
      </c>
      <c r="AQ998" t="s">
        <v>326</v>
      </c>
      <c r="AR998">
        <f t="shared" si="57"/>
        <v>9.762677251918257</v>
      </c>
      <c r="AS998">
        <f t="shared" si="58"/>
        <v>2.6643645582431001</v>
      </c>
      <c r="AT998">
        <v>0.2</v>
      </c>
      <c r="AU998">
        <v>1</v>
      </c>
      <c r="AV998">
        <v>0.3</v>
      </c>
      <c r="AW998" s="146">
        <v>3</v>
      </c>
      <c r="AX998" s="146">
        <v>0.26937922191386982</v>
      </c>
      <c r="AY998">
        <v>0.18</v>
      </c>
      <c r="AZ998" s="209">
        <v>212.57938596430444</v>
      </c>
      <c r="BA998">
        <v>0.26937922191386982</v>
      </c>
      <c r="BB998" s="249">
        <v>53.097674616114787</v>
      </c>
      <c r="BC998" s="243">
        <v>209.94871191057388</v>
      </c>
      <c r="BD998" s="209">
        <v>107856.00462259953</v>
      </c>
      <c r="BE998" s="243">
        <v>65.810392666499155</v>
      </c>
      <c r="BF998">
        <v>324053.28853454866</v>
      </c>
      <c r="BG998" t="s">
        <v>390</v>
      </c>
      <c r="BH998">
        <v>6.4594724403461008E-6</v>
      </c>
      <c r="BI998">
        <v>2278560.0462259953</v>
      </c>
      <c r="BJ998">
        <f t="shared" si="59"/>
        <v>0.14221845462061963</v>
      </c>
    </row>
    <row r="999" spans="1:62" x14ac:dyDescent="0.3">
      <c r="A999">
        <v>-0.7</v>
      </c>
      <c r="B999" s="146">
        <v>1000</v>
      </c>
      <c r="C999" s="146">
        <v>25</v>
      </c>
      <c r="D999" s="146">
        <v>400</v>
      </c>
      <c r="E999" s="252">
        <v>16.731241953387332</v>
      </c>
      <c r="F999" s="146">
        <v>5.3732160375932922</v>
      </c>
      <c r="G999" s="146">
        <v>20.116962611616454</v>
      </c>
      <c r="H999" s="146">
        <v>11.610208901584741</v>
      </c>
      <c r="I999" s="146"/>
      <c r="J999" s="146">
        <v>0.36827505677067413</v>
      </c>
      <c r="K999" s="146">
        <v>0.18</v>
      </c>
      <c r="L999" s="146">
        <v>118.22523433648</v>
      </c>
      <c r="M999" s="146">
        <v>58.867336599077184</v>
      </c>
      <c r="N999" s="146">
        <v>2.0774376298840522</v>
      </c>
      <c r="O999" s="146"/>
      <c r="P999" s="146"/>
      <c r="Q999" s="146"/>
      <c r="R999" s="146"/>
      <c r="S999" s="146"/>
      <c r="T999" s="146"/>
      <c r="U999" s="146"/>
      <c r="V999" s="146"/>
      <c r="W999" s="146"/>
      <c r="X999" s="146"/>
      <c r="Y999" s="146"/>
      <c r="Z999" s="146">
        <v>0.17893197680538644</v>
      </c>
      <c r="AA999" s="146"/>
      <c r="AB999" s="146"/>
      <c r="AC999" s="146"/>
      <c r="AD999" s="146"/>
      <c r="AE999" s="146"/>
      <c r="AF999" s="146"/>
      <c r="AG999" s="146"/>
      <c r="AH999" s="146"/>
      <c r="AI999" s="146"/>
      <c r="AJ999" s="146"/>
      <c r="AK999" s="146"/>
      <c r="AL999" s="146">
        <v>1214.9614960035105</v>
      </c>
      <c r="AM999" s="146">
        <v>0.26709877337499011</v>
      </c>
      <c r="AN999" s="146">
        <v>9.1867342102995533E-2</v>
      </c>
      <c r="AO999" s="146">
        <v>217.87606378522</v>
      </c>
      <c r="AP999" s="146">
        <v>176.24268106148418</v>
      </c>
      <c r="AQ999" t="s">
        <v>326</v>
      </c>
      <c r="AR999">
        <f t="shared" si="57"/>
        <v>9.762677251918257</v>
      </c>
      <c r="AS999">
        <f t="shared" si="58"/>
        <v>2.6643645582431001</v>
      </c>
      <c r="AT999">
        <v>0.2</v>
      </c>
      <c r="AU999">
        <v>1</v>
      </c>
      <c r="AV999">
        <v>0.3</v>
      </c>
      <c r="AW999" s="146">
        <v>3</v>
      </c>
      <c r="AX999" s="146">
        <v>0.27322987180255437</v>
      </c>
      <c r="AY999">
        <v>0.18</v>
      </c>
      <c r="AZ999" s="209">
        <v>176.24268106148418</v>
      </c>
      <c r="BA999">
        <v>0.27322987180255437</v>
      </c>
      <c r="BB999" s="249">
        <v>55.358181244993595</v>
      </c>
      <c r="BC999" s="243">
        <v>212.674216022884</v>
      </c>
      <c r="BD999" s="209">
        <v>109775.37533070194</v>
      </c>
      <c r="BE999" s="243">
        <v>66.970839750106094</v>
      </c>
      <c r="BF999">
        <v>310935.50647336745</v>
      </c>
      <c r="BG999" t="s">
        <v>390</v>
      </c>
      <c r="BH999">
        <v>6.1580354213707309E-6</v>
      </c>
      <c r="BI999">
        <v>2297753.7533070194</v>
      </c>
      <c r="BJ999">
        <f t="shared" si="59"/>
        <v>0.13532150955073258</v>
      </c>
    </row>
    <row r="1000" spans="1:62" x14ac:dyDescent="0.3">
      <c r="A1000">
        <v>-0.8</v>
      </c>
      <c r="B1000" s="146">
        <v>1000</v>
      </c>
      <c r="C1000" s="146">
        <v>25</v>
      </c>
      <c r="D1000" s="146">
        <v>400</v>
      </c>
      <c r="E1000" s="252">
        <v>15.200104200647738</v>
      </c>
      <c r="F1000" s="146">
        <v>6.7120880113290067</v>
      </c>
      <c r="G1000" s="146">
        <v>19.293677115213107</v>
      </c>
      <c r="H1000" s="146">
        <v>11.795299220145214</v>
      </c>
      <c r="I1000" s="146"/>
      <c r="J1000" s="146">
        <v>0.39692527355336005</v>
      </c>
      <c r="K1000" s="146">
        <v>0.18</v>
      </c>
      <c r="L1000" s="146">
        <v>120.64749230447727</v>
      </c>
      <c r="M1000" s="146">
        <v>60.073440151606945</v>
      </c>
      <c r="N1000" s="146">
        <v>1.7026418653349022</v>
      </c>
      <c r="O1000" s="146"/>
      <c r="P1000" s="146"/>
      <c r="Q1000" s="146"/>
      <c r="R1000" s="146"/>
      <c r="S1000" s="146"/>
      <c r="T1000" s="146"/>
      <c r="U1000" s="146"/>
      <c r="V1000" s="146"/>
      <c r="W1000" s="146"/>
      <c r="X1000" s="146"/>
      <c r="Y1000" s="146"/>
      <c r="Z1000" s="146">
        <v>0.14434918805849004</v>
      </c>
      <c r="AA1000" s="146"/>
      <c r="AB1000" s="146"/>
      <c r="AC1000" s="146"/>
      <c r="AD1000" s="146"/>
      <c r="AE1000" s="146"/>
      <c r="AF1000" s="146"/>
      <c r="AG1000" s="146"/>
      <c r="AH1000" s="146"/>
      <c r="AI1000" s="146"/>
      <c r="AJ1000" s="146"/>
      <c r="AK1000" s="146"/>
      <c r="AL1000" s="146">
        <v>960.45531609177942</v>
      </c>
      <c r="AM1000" s="146">
        <v>0.34789055353458309</v>
      </c>
      <c r="AN1000" s="146">
        <v>6.0069412770700749E-2</v>
      </c>
      <c r="AO1000" s="146">
        <v>146.95766947697399</v>
      </c>
      <c r="AP1000" s="146">
        <v>109.13438342432873</v>
      </c>
      <c r="AQ1000" t="s">
        <v>326</v>
      </c>
      <c r="AR1000">
        <f t="shared" si="57"/>
        <v>9.762677251918257</v>
      </c>
      <c r="AS1000">
        <f t="shared" si="58"/>
        <v>2.6643645582431001</v>
      </c>
      <c r="AT1000">
        <v>0.2</v>
      </c>
      <c r="AU1000">
        <v>1</v>
      </c>
      <c r="AV1000">
        <v>0.3</v>
      </c>
      <c r="AW1000" s="146">
        <v>3</v>
      </c>
      <c r="AX1000" s="146">
        <v>0.2805650098040629</v>
      </c>
      <c r="AY1000">
        <v>0.18</v>
      </c>
      <c r="AZ1000" s="209">
        <v>109.13438342432873</v>
      </c>
      <c r="BA1000">
        <v>0.2805650098040629</v>
      </c>
      <c r="BB1000" s="249">
        <v>62.768435915540977</v>
      </c>
      <c r="BC1000" s="243">
        <v>219.92687703642071</v>
      </c>
      <c r="BD1000" s="209">
        <v>118351.26742330511</v>
      </c>
      <c r="BE1000" s="243">
        <v>75.084686523925001</v>
      </c>
      <c r="BF1000">
        <v>296521.34434280539</v>
      </c>
      <c r="BG1000" t="s">
        <v>390</v>
      </c>
      <c r="BH1000">
        <v>5.4199762648130162E-6</v>
      </c>
      <c r="BI1000">
        <v>2383512.674233051</v>
      </c>
      <c r="BJ1000">
        <f t="shared" si="59"/>
        <v>0.12440518884096885</v>
      </c>
    </row>
    <row r="1001" spans="1:62" x14ac:dyDescent="0.3">
      <c r="A1001">
        <v>-0.85</v>
      </c>
      <c r="B1001" s="146">
        <v>1000</v>
      </c>
      <c r="C1001" s="146">
        <v>25</v>
      </c>
      <c r="D1001" s="146">
        <v>400</v>
      </c>
      <c r="E1001" s="252">
        <v>10.615802949924461</v>
      </c>
      <c r="F1001" s="146">
        <v>4.1894192198189204</v>
      </c>
      <c r="G1001" s="146">
        <v>13.1368319237788</v>
      </c>
      <c r="H1001" s="146">
        <v>7.8002951133911305</v>
      </c>
      <c r="I1001" s="146"/>
      <c r="J1001" s="146">
        <v>0.3946569392799516</v>
      </c>
      <c r="K1001" s="146">
        <v>0.18</v>
      </c>
      <c r="L1001" s="146">
        <v>80.003603431576366</v>
      </c>
      <c r="M1001" s="146">
        <v>39.835819136054624</v>
      </c>
      <c r="N1001" s="146">
        <v>1.4007249214976483</v>
      </c>
      <c r="O1001" s="146"/>
      <c r="P1001" s="146"/>
      <c r="Q1001" s="146"/>
      <c r="R1001" s="146"/>
      <c r="S1001" s="146"/>
      <c r="T1001" s="146"/>
      <c r="U1001" s="146"/>
      <c r="V1001" s="146"/>
      <c r="W1001" s="146"/>
      <c r="X1001" s="146"/>
      <c r="Y1001" s="146"/>
      <c r="Z1001" s="146">
        <v>0.17957332397500686</v>
      </c>
      <c r="AA1001" s="146"/>
      <c r="AB1001" s="146"/>
      <c r="AC1001" s="146"/>
      <c r="AD1001" s="146"/>
      <c r="AE1001" s="146"/>
      <c r="AF1001" s="146"/>
      <c r="AG1001" s="146"/>
      <c r="AH1001" s="146"/>
      <c r="AI1001" s="146"/>
      <c r="AJ1001" s="146"/>
      <c r="AK1001" s="146"/>
      <c r="AL1001" s="146">
        <v>840.19027777028987</v>
      </c>
      <c r="AM1001" s="146">
        <v>0.3189063576459184</v>
      </c>
      <c r="AN1001" s="146">
        <v>4.5413981241856777E-2</v>
      </c>
      <c r="AO1001" s="146">
        <v>166.24372804073437</v>
      </c>
      <c r="AP1001" s="146">
        <v>139.82781702146605</v>
      </c>
      <c r="AQ1001" t="s">
        <v>326</v>
      </c>
      <c r="AR1001">
        <f t="shared" si="57"/>
        <v>9.762677251918257</v>
      </c>
      <c r="AS1001">
        <f t="shared" si="58"/>
        <v>2.6643645582431001</v>
      </c>
      <c r="AT1001">
        <v>0.2</v>
      </c>
      <c r="AU1001">
        <v>1</v>
      </c>
      <c r="AV1001">
        <v>0.3</v>
      </c>
      <c r="AW1001" s="146">
        <v>3</v>
      </c>
      <c r="AX1001" s="146">
        <v>0.28042249004439945</v>
      </c>
      <c r="AY1001">
        <v>0.18</v>
      </c>
      <c r="AZ1001" s="209">
        <v>139.82781702146605</v>
      </c>
      <c r="BA1001">
        <v>0.28042249004439945</v>
      </c>
      <c r="BB1001" s="249">
        <v>40.818514567320655</v>
      </c>
      <c r="BC1001" s="243">
        <v>122.03269305521529</v>
      </c>
      <c r="BD1001" s="209">
        <v>61609.568387798732</v>
      </c>
      <c r="BE1001" s="243">
        <v>48.495052522736025</v>
      </c>
      <c r="BF1001">
        <v>662138.51794527704</v>
      </c>
      <c r="BG1001" t="s">
        <v>390</v>
      </c>
      <c r="BH1001">
        <v>3.9589309708099827E-6</v>
      </c>
      <c r="BI1001">
        <v>1816095.6838779873</v>
      </c>
      <c r="BJ1001">
        <f t="shared" si="59"/>
        <v>0.36459451108401081</v>
      </c>
    </row>
    <row r="1002" spans="1:62" s="160" customFormat="1" ht="15" thickBot="1" x14ac:dyDescent="0.35">
      <c r="A1002" s="160">
        <v>-0.87</v>
      </c>
      <c r="B1002" s="160">
        <v>1000</v>
      </c>
      <c r="C1002" s="160">
        <v>25</v>
      </c>
      <c r="D1002" s="160">
        <v>400</v>
      </c>
      <c r="E1002" s="250">
        <v>3.6673684933234698</v>
      </c>
      <c r="F1002" s="160">
        <v>0.96291969351146789</v>
      </c>
      <c r="G1002" s="160">
        <v>4.2586531930616989</v>
      </c>
      <c r="H1002" s="160">
        <v>2.3329617764999302</v>
      </c>
      <c r="J1002" s="160">
        <v>0.40462789938436117</v>
      </c>
      <c r="K1002" s="160">
        <v>0.18</v>
      </c>
      <c r="L1002" s="160">
        <v>23.875372708933924</v>
      </c>
      <c r="M1002" s="160">
        <v>11.888152386191166</v>
      </c>
      <c r="N1002" s="160">
        <v>0.67747169298460186</v>
      </c>
      <c r="Z1002" s="160">
        <v>0.29039125278811534</v>
      </c>
      <c r="AL1002" s="160">
        <v>638.07493825291647</v>
      </c>
      <c r="AM1002" s="160">
        <v>0.22610897151246784</v>
      </c>
      <c r="AN1002" s="160">
        <v>4.0065128927982877E-2</v>
      </c>
      <c r="AO1002" s="160">
        <v>308.46482735858484</v>
      </c>
      <c r="AP1002" s="160">
        <v>299.33909176061576</v>
      </c>
      <c r="AQ1002" s="160" t="s">
        <v>326</v>
      </c>
      <c r="AR1002" s="160">
        <f t="shared" si="57"/>
        <v>9.762677251918257</v>
      </c>
      <c r="AS1002" s="160">
        <f t="shared" si="58"/>
        <v>2.6643645582431001</v>
      </c>
      <c r="AT1002" s="160">
        <v>0.2</v>
      </c>
      <c r="AU1002" s="160">
        <v>1</v>
      </c>
      <c r="AV1002" s="160">
        <v>0.3</v>
      </c>
      <c r="AW1002" s="160">
        <v>3</v>
      </c>
      <c r="AX1002" s="160">
        <v>0.2949133609533453</v>
      </c>
      <c r="AY1002" s="160">
        <v>0.18</v>
      </c>
      <c r="AZ1002" s="248">
        <v>299.33909176061576</v>
      </c>
      <c r="BA1002" s="160">
        <v>0.2949133609533453</v>
      </c>
      <c r="BB1002" s="250">
        <v>10.838907385876134</v>
      </c>
      <c r="BC1002" s="246">
        <v>31.294968179099943</v>
      </c>
      <c r="BD1002" s="248">
        <v>12348.335389430098</v>
      </c>
      <c r="BE1002" s="246">
        <v>12.634973013898129</v>
      </c>
      <c r="BF1002" s="160">
        <v>854583.74019348493</v>
      </c>
      <c r="BG1002" t="s">
        <v>390</v>
      </c>
      <c r="BH1002" s="160">
        <v>1.3006712863768673E-6</v>
      </c>
      <c r="BI1002" s="160">
        <v>1323483.353894301</v>
      </c>
      <c r="BJ1002">
        <f t="shared" si="59"/>
        <v>0.64570796276273801</v>
      </c>
    </row>
    <row r="1003" spans="1:62" x14ac:dyDescent="0.3">
      <c r="A1003">
        <v>-0.1</v>
      </c>
      <c r="B1003" s="146">
        <v>100</v>
      </c>
      <c r="C1003" s="146">
        <v>25</v>
      </c>
      <c r="D1003" s="146">
        <v>400</v>
      </c>
      <c r="E1003" s="249">
        <v>3.151616339973335</v>
      </c>
      <c r="F1003">
        <v>0.57728734480817501</v>
      </c>
      <c r="G1003">
        <v>3.6504403332591719</v>
      </c>
      <c r="H1003">
        <v>2.9833730950710113</v>
      </c>
      <c r="J1003">
        <v>0.54170153488062667</v>
      </c>
      <c r="K1003">
        <v>0.27</v>
      </c>
      <c r="L1003">
        <v>20.019527833860813</v>
      </c>
      <c r="M1003">
        <v>8.72220092346633</v>
      </c>
      <c r="N1003">
        <v>1.0064024300087904</v>
      </c>
      <c r="Z1003">
        <v>0.33733710063669914</v>
      </c>
      <c r="AL1003">
        <v>878.81889590713513</v>
      </c>
      <c r="AM1003">
        <v>0.15814183827318268</v>
      </c>
      <c r="AN1003">
        <v>0.19054555601112189</v>
      </c>
      <c r="AO1003">
        <v>383.46003755768839</v>
      </c>
      <c r="AP1003">
        <v>375.61768090273989</v>
      </c>
      <c r="AQ1003" t="s">
        <v>327</v>
      </c>
      <c r="AR1003">
        <f t="shared" ref="AR1003:AR1042" si="60">0.45*Jsat_t</f>
        <v>14.644015877877388</v>
      </c>
      <c r="AS1003">
        <f t="shared" ref="AS1003:AS1042" si="61">0.15*Jatp</f>
        <v>3.9965468373646496</v>
      </c>
      <c r="AT1003">
        <v>0.3</v>
      </c>
      <c r="AU1003">
        <v>1</v>
      </c>
      <c r="AV1003">
        <v>0.4</v>
      </c>
      <c r="AW1003">
        <v>3</v>
      </c>
      <c r="AX1003">
        <v>0.41916290900943654</v>
      </c>
      <c r="AY1003">
        <v>0.27</v>
      </c>
      <c r="AZ1003" s="209">
        <v>375.61768090273989</v>
      </c>
      <c r="BA1003">
        <v>0.41916290900943654</v>
      </c>
      <c r="BB1003" s="249">
        <v>7.5643332240809888</v>
      </c>
      <c r="BC1003" s="243">
        <v>70.227082323401916</v>
      </c>
      <c r="BD1003" s="209">
        <v>24890.278112618482</v>
      </c>
      <c r="BE1003" s="243">
        <v>13.84504602929791</v>
      </c>
      <c r="BF1003">
        <v>17371.267931640934</v>
      </c>
      <c r="BG1003" t="s">
        <v>387</v>
      </c>
      <c r="BH1003">
        <v>1.9438760034604768E-6</v>
      </c>
      <c r="BI1003">
        <v>1448902.7811261849</v>
      </c>
      <c r="BJ1003">
        <f t="shared" si="59"/>
        <v>1.1989257083307421E-2</v>
      </c>
    </row>
    <row r="1004" spans="1:62" x14ac:dyDescent="0.3">
      <c r="A1004">
        <v>-0.1</v>
      </c>
      <c r="B1004" s="146">
        <v>200</v>
      </c>
      <c r="C1004" s="146">
        <v>25</v>
      </c>
      <c r="D1004" s="146">
        <v>400</v>
      </c>
      <c r="E1004" s="252">
        <v>5.9195743757184465</v>
      </c>
      <c r="F1004" s="146">
        <v>0.97867497687807026</v>
      </c>
      <c r="G1004" s="146">
        <v>6.7169016809025388</v>
      </c>
      <c r="H1004" s="146">
        <v>5.5129352054309253</v>
      </c>
      <c r="I1004" s="146"/>
      <c r="J1004" s="146">
        <v>0.55486629907072071</v>
      </c>
      <c r="K1004" s="146">
        <v>0.27</v>
      </c>
      <c r="L1004" s="146">
        <v>37.073307157031728</v>
      </c>
      <c r="M1004" s="146">
        <v>16.152270753063615</v>
      </c>
      <c r="N1004" s="146">
        <v>1.5486892820948457</v>
      </c>
      <c r="O1004" s="146"/>
      <c r="P1004" s="146"/>
      <c r="Q1004" s="146"/>
      <c r="R1004" s="146"/>
      <c r="S1004" s="146"/>
      <c r="T1004" s="146"/>
      <c r="U1004" s="146"/>
      <c r="V1004" s="146"/>
      <c r="W1004" s="146"/>
      <c r="X1004" s="146"/>
      <c r="Y1004" s="146"/>
      <c r="Z1004" s="146">
        <v>0.28091918812490208</v>
      </c>
      <c r="AA1004" s="146"/>
      <c r="AB1004" s="146"/>
      <c r="AC1004" s="146"/>
      <c r="AD1004" s="146"/>
      <c r="AE1004" s="146"/>
      <c r="AF1004" s="146"/>
      <c r="AG1004" s="146"/>
      <c r="AH1004" s="146"/>
      <c r="AI1004" s="146"/>
      <c r="AJ1004" s="146"/>
      <c r="AK1004" s="146"/>
      <c r="AL1004" s="146">
        <v>1132.0329318986362</v>
      </c>
      <c r="AM1004" s="146">
        <v>0.14570333516428177</v>
      </c>
      <c r="AN1004" s="146">
        <v>0.21461984265977851</v>
      </c>
      <c r="AO1004" s="146">
        <v>372.41832673830481</v>
      </c>
      <c r="AP1004" s="146">
        <v>357.68829085121325</v>
      </c>
      <c r="AQ1004" t="s">
        <v>327</v>
      </c>
      <c r="AR1004">
        <f t="shared" si="60"/>
        <v>14.644015877877388</v>
      </c>
      <c r="AS1004">
        <f t="shared" si="61"/>
        <v>3.9965468373646496</v>
      </c>
      <c r="AT1004">
        <v>0.3</v>
      </c>
      <c r="AU1004">
        <v>1</v>
      </c>
      <c r="AV1004">
        <v>0.4</v>
      </c>
      <c r="AW1004" s="146">
        <v>3</v>
      </c>
      <c r="AX1004" s="146">
        <v>0.44968778613846766</v>
      </c>
      <c r="AY1004">
        <v>0.27</v>
      </c>
      <c r="AZ1004" s="209">
        <v>357.68829085121325</v>
      </c>
      <c r="BA1004">
        <v>0.44968778613846766</v>
      </c>
      <c r="BB1004" s="249">
        <v>13.214923309775005</v>
      </c>
      <c r="BC1004" s="243">
        <v>102.19978487259489</v>
      </c>
      <c r="BD1004" s="209">
        <v>39514.154053544909</v>
      </c>
      <c r="BE1004" s="243">
        <v>20.99614182542814</v>
      </c>
      <c r="BF1004">
        <v>48797.081805663474</v>
      </c>
      <c r="BG1004" t="s">
        <v>387</v>
      </c>
      <c r="BH1004">
        <v>3.3869966944456689E-6</v>
      </c>
      <c r="BI1004">
        <v>1595141.5405354491</v>
      </c>
      <c r="BJ1004">
        <f t="shared" si="59"/>
        <v>3.05910670405358E-2</v>
      </c>
    </row>
    <row r="1005" spans="1:62" x14ac:dyDescent="0.3">
      <c r="A1005">
        <v>-0.1</v>
      </c>
      <c r="B1005" s="146">
        <v>300</v>
      </c>
      <c r="C1005" s="146">
        <v>25</v>
      </c>
      <c r="D1005" s="146">
        <v>400</v>
      </c>
      <c r="E1005" s="252">
        <v>8.3301252687287821</v>
      </c>
      <c r="F1005" s="146">
        <v>1.3164437052845455</v>
      </c>
      <c r="G1005" s="146">
        <v>9.3676013677611287</v>
      </c>
      <c r="H1005" s="146">
        <v>7.7396001746839609</v>
      </c>
      <c r="I1005" s="146"/>
      <c r="J1005" s="146">
        <v>0.56603086760468724</v>
      </c>
      <c r="K1005" s="146">
        <v>0.27</v>
      </c>
      <c r="L1005" s="146">
        <v>52.131455893444503</v>
      </c>
      <c r="M1005" s="146">
        <v>22.712874974322297</v>
      </c>
      <c r="N1005" s="146">
        <v>1.9411742225422257</v>
      </c>
      <c r="O1005" s="146"/>
      <c r="P1005" s="146"/>
      <c r="Q1005" s="146"/>
      <c r="R1005" s="146"/>
      <c r="S1005" s="146"/>
      <c r="T1005" s="146"/>
      <c r="U1005" s="146"/>
      <c r="V1005" s="146"/>
      <c r="W1005" s="146"/>
      <c r="X1005" s="146"/>
      <c r="Y1005" s="146"/>
      <c r="Z1005" s="146">
        <v>0.25081065930146601</v>
      </c>
      <c r="AA1005" s="146"/>
      <c r="AB1005" s="146"/>
      <c r="AC1005" s="146"/>
      <c r="AD1005" s="146"/>
      <c r="AE1005" s="146"/>
      <c r="AF1005" s="146"/>
      <c r="AG1005" s="146"/>
      <c r="AH1005" s="146"/>
      <c r="AI1005" s="146"/>
      <c r="AJ1005" s="146"/>
      <c r="AK1005" s="146"/>
      <c r="AL1005" s="146">
        <v>1313.3221667758862</v>
      </c>
      <c r="AM1005" s="146">
        <v>0.14053156764496028</v>
      </c>
      <c r="AN1005" s="146">
        <v>0.22799393516895275</v>
      </c>
      <c r="AO1005" s="146">
        <v>363.46339097767748</v>
      </c>
      <c r="AP1005" s="146">
        <v>342.73505550477358</v>
      </c>
      <c r="AQ1005" t="s">
        <v>327</v>
      </c>
      <c r="AR1005">
        <f t="shared" si="60"/>
        <v>14.644015877877388</v>
      </c>
      <c r="AS1005">
        <f t="shared" si="61"/>
        <v>3.9965468373646496</v>
      </c>
      <c r="AT1005">
        <v>0.3</v>
      </c>
      <c r="AU1005">
        <v>1</v>
      </c>
      <c r="AV1005">
        <v>0.4</v>
      </c>
      <c r="AW1005" s="146">
        <v>3</v>
      </c>
      <c r="AX1005" s="146">
        <v>0.46975414766381757</v>
      </c>
      <c r="AY1005">
        <v>0.27</v>
      </c>
      <c r="AZ1005" s="209">
        <v>342.73505550477358</v>
      </c>
      <c r="BA1005">
        <v>0.46975414766381757</v>
      </c>
      <c r="BB1005" s="249">
        <v>17.961354696825225</v>
      </c>
      <c r="BC1005" s="243">
        <v>125.1845706724128</v>
      </c>
      <c r="BD1005" s="209">
        <v>51090.224662106608</v>
      </c>
      <c r="BE1005" s="243">
        <v>26.51712788361684</v>
      </c>
      <c r="BF1005">
        <v>84977.09913270743</v>
      </c>
      <c r="BG1005" t="s">
        <v>387</v>
      </c>
      <c r="BH1005">
        <v>4.4163843404824117E-6</v>
      </c>
      <c r="BI1005">
        <v>1710902.246621066</v>
      </c>
      <c r="BJ1005">
        <f t="shared" si="59"/>
        <v>4.9668003710049674E-2</v>
      </c>
    </row>
    <row r="1006" spans="1:62" x14ac:dyDescent="0.3">
      <c r="A1006">
        <v>-0.1</v>
      </c>
      <c r="B1006" s="146">
        <v>400</v>
      </c>
      <c r="C1006" s="146">
        <v>25</v>
      </c>
      <c r="D1006" s="146">
        <v>400</v>
      </c>
      <c r="E1006" s="252">
        <v>10.452101121941343</v>
      </c>
      <c r="F1006" s="146">
        <v>1.6132716857527782</v>
      </c>
      <c r="G1006" s="146">
        <v>11.695085949780868</v>
      </c>
      <c r="H1006" s="146">
        <v>9.7292602405789506</v>
      </c>
      <c r="I1006" s="146"/>
      <c r="J1006" s="146">
        <v>0.57598904299670761</v>
      </c>
      <c r="K1006" s="146">
        <v>0.27</v>
      </c>
      <c r="L1006" s="146">
        <v>65.620151384719065</v>
      </c>
      <c r="M1006" s="146">
        <v>28.58969251201453</v>
      </c>
      <c r="N1006" s="146">
        <v>2.2475608776162588</v>
      </c>
      <c r="O1006" s="146"/>
      <c r="P1006" s="146"/>
      <c r="Q1006" s="146"/>
      <c r="R1006" s="146"/>
      <c r="S1006" s="146"/>
      <c r="T1006" s="146"/>
      <c r="U1006" s="146"/>
      <c r="V1006" s="146"/>
      <c r="W1006" s="146"/>
      <c r="X1006" s="146"/>
      <c r="Y1006" s="146"/>
      <c r="Z1006" s="146">
        <v>0.23101045938128953</v>
      </c>
      <c r="AA1006" s="146"/>
      <c r="AB1006" s="146"/>
      <c r="AC1006" s="146"/>
      <c r="AD1006" s="146"/>
      <c r="AE1006" s="146"/>
      <c r="AF1006" s="146"/>
      <c r="AG1006" s="146"/>
      <c r="AH1006" s="146"/>
      <c r="AI1006" s="146"/>
      <c r="AJ1006" s="146"/>
      <c r="AK1006" s="146"/>
      <c r="AL1006" s="146">
        <v>1453.6522980029806</v>
      </c>
      <c r="AM1006" s="146">
        <v>0.13794440611041481</v>
      </c>
      <c r="AN1006" s="146">
        <v>0.23690390216980453</v>
      </c>
      <c r="AO1006" s="146">
        <v>355.88041806736624</v>
      </c>
      <c r="AP1006" s="146">
        <v>329.87185919485046</v>
      </c>
      <c r="AQ1006" t="s">
        <v>327</v>
      </c>
      <c r="AR1006">
        <f t="shared" si="60"/>
        <v>14.644015877877388</v>
      </c>
      <c r="AS1006">
        <f t="shared" si="61"/>
        <v>3.9965468373646496</v>
      </c>
      <c r="AT1006">
        <v>0.3</v>
      </c>
      <c r="AU1006">
        <v>1</v>
      </c>
      <c r="AV1006">
        <v>0.4</v>
      </c>
      <c r="AW1006" s="146">
        <v>3</v>
      </c>
      <c r="AX1006" s="146">
        <v>0.48514859556097822</v>
      </c>
      <c r="AY1006">
        <v>0.27</v>
      </c>
      <c r="AZ1006" s="209">
        <v>329.87185919485046</v>
      </c>
      <c r="BA1006">
        <v>0.48514859556097822</v>
      </c>
      <c r="BB1006" s="249">
        <v>22.07668795208988</v>
      </c>
      <c r="BC1006" s="243">
        <v>143.46423423237152</v>
      </c>
      <c r="BD1006" s="209">
        <v>60825.111283238126</v>
      </c>
      <c r="BE1006" s="243">
        <v>31.075359752882463</v>
      </c>
      <c r="BF1006">
        <v>123033.24146714626</v>
      </c>
      <c r="BG1006" t="s">
        <v>387</v>
      </c>
      <c r="BH1006">
        <v>5.1822657373656413E-6</v>
      </c>
      <c r="BI1006">
        <v>1808251.1128323814</v>
      </c>
      <c r="BJ1006">
        <f t="shared" si="59"/>
        <v>6.8039909166394089E-2</v>
      </c>
    </row>
    <row r="1007" spans="1:62" x14ac:dyDescent="0.3">
      <c r="A1007">
        <v>-0.1</v>
      </c>
      <c r="B1007" s="146">
        <v>600</v>
      </c>
      <c r="C1007" s="146">
        <v>25</v>
      </c>
      <c r="D1007" s="146">
        <v>400</v>
      </c>
      <c r="E1007" s="252">
        <v>14.002469801441038</v>
      </c>
      <c r="F1007" s="146">
        <v>2.1172968476732352</v>
      </c>
      <c r="G1007" s="146">
        <v>15.585010960557385</v>
      </c>
      <c r="H1007" s="146">
        <v>13.136513443690573</v>
      </c>
      <c r="I1007" s="146"/>
      <c r="J1007" s="146">
        <v>0.59461014313583316</v>
      </c>
      <c r="K1007" s="146">
        <v>0.27</v>
      </c>
      <c r="L1007" s="146">
        <v>88.791146054785813</v>
      </c>
      <c r="M1007" s="146">
        <v>38.684939152500043</v>
      </c>
      <c r="N1007" s="146">
        <v>2.6906164369983649</v>
      </c>
      <c r="O1007" s="146"/>
      <c r="P1007" s="146"/>
      <c r="Q1007" s="146"/>
      <c r="R1007" s="146"/>
      <c r="S1007" s="146"/>
      <c r="T1007" s="146"/>
      <c r="U1007" s="146"/>
      <c r="V1007" s="146"/>
      <c r="W1007" s="146"/>
      <c r="X1007" s="146"/>
      <c r="Y1007" s="146"/>
      <c r="Z1007" s="146">
        <v>0.20481967673779222</v>
      </c>
      <c r="AA1007" s="146"/>
      <c r="AB1007" s="146"/>
      <c r="AC1007" s="146"/>
      <c r="AD1007" s="146"/>
      <c r="AE1007" s="146"/>
      <c r="AF1007" s="146"/>
      <c r="AG1007" s="146"/>
      <c r="AH1007" s="146"/>
      <c r="AI1007" s="146"/>
      <c r="AJ1007" s="146"/>
      <c r="AK1007" s="146"/>
      <c r="AL1007" s="146">
        <v>1654.1102245408335</v>
      </c>
      <c r="AM1007" s="146">
        <v>0.13585469096118696</v>
      </c>
      <c r="AN1007" s="146">
        <v>0.24846997940122284</v>
      </c>
      <c r="AO1007" s="146">
        <v>343.6452249274339</v>
      </c>
      <c r="AP1007" s="146">
        <v>308.80200604165111</v>
      </c>
      <c r="AQ1007" t="s">
        <v>327</v>
      </c>
      <c r="AR1007">
        <f t="shared" si="60"/>
        <v>14.644015877877388</v>
      </c>
      <c r="AS1007">
        <f t="shared" si="61"/>
        <v>3.9965468373646496</v>
      </c>
      <c r="AT1007">
        <v>0.3</v>
      </c>
      <c r="AU1007">
        <v>1</v>
      </c>
      <c r="AV1007">
        <v>0.4</v>
      </c>
      <c r="AW1007" s="146">
        <v>3</v>
      </c>
      <c r="AX1007" s="146">
        <v>0.50985003901008408</v>
      </c>
      <c r="AY1007">
        <v>0.27</v>
      </c>
      <c r="AZ1007" s="209">
        <v>308.80200604165111</v>
      </c>
      <c r="BA1007">
        <v>0.50985003901008408</v>
      </c>
      <c r="BB1007" s="249">
        <v>28.888894832393223</v>
      </c>
      <c r="BC1007" s="243">
        <v>171.3477701284061</v>
      </c>
      <c r="BD1007" s="209">
        <v>76400.495168059875</v>
      </c>
      <c r="BE1007" s="243">
        <v>38.209323983486414</v>
      </c>
      <c r="BF1007">
        <v>199279.16513918759</v>
      </c>
      <c r="BG1007" t="s">
        <v>387</v>
      </c>
      <c r="BH1007">
        <v>6.2297947502880656E-6</v>
      </c>
      <c r="BI1007">
        <v>1964004.9516805988</v>
      </c>
      <c r="BJ1007">
        <f t="shared" si="59"/>
        <v>0.10146571421251481</v>
      </c>
    </row>
    <row r="1008" spans="1:62" x14ac:dyDescent="0.3">
      <c r="A1008">
        <v>-0.1</v>
      </c>
      <c r="B1008" s="146">
        <v>800</v>
      </c>
      <c r="C1008" s="146">
        <v>25</v>
      </c>
      <c r="D1008" s="146">
        <v>400</v>
      </c>
      <c r="E1008" s="252">
        <v>16.804757303293147</v>
      </c>
      <c r="F1008" s="146">
        <v>2.5231119630193577</v>
      </c>
      <c r="G1008" s="146">
        <v>18.653151403298448</v>
      </c>
      <c r="H1008" s="146">
        <v>15.9113382756516</v>
      </c>
      <c r="I1008" s="146"/>
      <c r="J1008" s="146">
        <v>0.61116246492966353</v>
      </c>
      <c r="K1008" s="146">
        <v>0.27</v>
      </c>
      <c r="L1008" s="146">
        <v>107.73385155096383</v>
      </c>
      <c r="M1008" s="146">
        <v>46.937985115565155</v>
      </c>
      <c r="N1008" s="146">
        <v>2.9929262772051466</v>
      </c>
      <c r="O1008" s="146"/>
      <c r="P1008" s="146"/>
      <c r="Q1008" s="146"/>
      <c r="R1008" s="146"/>
      <c r="S1008" s="146"/>
      <c r="T1008" s="146"/>
      <c r="U1008" s="146"/>
      <c r="V1008" s="146"/>
      <c r="W1008" s="146"/>
      <c r="X1008" s="146"/>
      <c r="Y1008" s="146"/>
      <c r="Z1008" s="146">
        <v>0.18810022295768081</v>
      </c>
      <c r="AA1008" s="146"/>
      <c r="AB1008" s="146"/>
      <c r="AC1008" s="146"/>
      <c r="AD1008" s="146"/>
      <c r="AE1008" s="146"/>
      <c r="AF1008" s="146"/>
      <c r="AG1008" s="146"/>
      <c r="AH1008" s="146"/>
      <c r="AI1008" s="146"/>
      <c r="AJ1008" s="146"/>
      <c r="AK1008" s="146"/>
      <c r="AL1008" s="146">
        <v>1789.0197237776879</v>
      </c>
      <c r="AM1008" s="146">
        <v>0.13526464823382039</v>
      </c>
      <c r="AN1008" s="146">
        <v>0.25606398430042199</v>
      </c>
      <c r="AO1008" s="146">
        <v>334.37281955443882</v>
      </c>
      <c r="AP1008" s="146">
        <v>292.55658517511603</v>
      </c>
      <c r="AQ1008" t="s">
        <v>327</v>
      </c>
      <c r="AR1008">
        <f t="shared" si="60"/>
        <v>14.644015877877388</v>
      </c>
      <c r="AS1008">
        <f t="shared" si="61"/>
        <v>3.9965468373646496</v>
      </c>
      <c r="AT1008">
        <v>0.3</v>
      </c>
      <c r="AU1008">
        <v>1</v>
      </c>
      <c r="AV1008">
        <v>0.4</v>
      </c>
      <c r="AW1008" s="146">
        <v>3</v>
      </c>
      <c r="AX1008" s="146">
        <v>0.52971294782064238</v>
      </c>
      <c r="AY1008">
        <v>0.27</v>
      </c>
      <c r="AZ1008" s="209">
        <v>292.55658517511603</v>
      </c>
      <c r="BA1008">
        <v>0.52971294782064238</v>
      </c>
      <c r="BB1008" s="249">
        <v>34.204379744171469</v>
      </c>
      <c r="BC1008" s="243">
        <v>191.34533841162735</v>
      </c>
      <c r="BD1008" s="209">
        <v>87991.351748560817</v>
      </c>
      <c r="BE1008" s="243">
        <v>43.389908986621265</v>
      </c>
      <c r="BF1008">
        <v>270398.10517685657</v>
      </c>
      <c r="BG1008" t="s">
        <v>387</v>
      </c>
      <c r="BH1008">
        <v>6.8963234662404334E-6</v>
      </c>
      <c r="BI1008">
        <v>2079913.5174856081</v>
      </c>
      <c r="BJ1008">
        <f t="shared" si="59"/>
        <v>0.13000449437135195</v>
      </c>
    </row>
    <row r="1009" spans="1:62" x14ac:dyDescent="0.3">
      <c r="A1009">
        <v>-0.1</v>
      </c>
      <c r="B1009" s="146">
        <v>1000</v>
      </c>
      <c r="C1009" s="146">
        <v>25</v>
      </c>
      <c r="D1009" s="146">
        <v>400</v>
      </c>
      <c r="E1009" s="252">
        <v>19.015469372604134</v>
      </c>
      <c r="F1009" s="146">
        <v>2.84895071543583</v>
      </c>
      <c r="G1009" s="146">
        <v>21.072634583683865</v>
      </c>
      <c r="H1009" s="146">
        <v>18.168888967400825</v>
      </c>
      <c r="I1009" s="146"/>
      <c r="J1009" s="146">
        <v>0.62720084431983092</v>
      </c>
      <c r="K1009" s="146">
        <v>0.27</v>
      </c>
      <c r="L1009" s="146">
        <v>123.20032510562568</v>
      </c>
      <c r="M1009" s="146">
        <v>53.676490191247709</v>
      </c>
      <c r="N1009" s="146">
        <v>3.1936319508557709</v>
      </c>
      <c r="O1009" s="146"/>
      <c r="P1009" s="146"/>
      <c r="Q1009" s="146"/>
      <c r="R1009" s="146"/>
      <c r="S1009" s="146"/>
      <c r="T1009" s="146"/>
      <c r="U1009" s="146"/>
      <c r="V1009" s="146"/>
      <c r="W1009" s="146"/>
      <c r="X1009" s="146"/>
      <c r="Y1009" s="146"/>
      <c r="Z1009" s="146">
        <v>0.17577475191718561</v>
      </c>
      <c r="AA1009" s="146"/>
      <c r="AB1009" s="146"/>
      <c r="AC1009" s="146"/>
      <c r="AD1009" s="146"/>
      <c r="AE1009" s="146"/>
      <c r="AF1009" s="146"/>
      <c r="AG1009" s="146"/>
      <c r="AH1009" s="146"/>
      <c r="AI1009" s="146"/>
      <c r="AJ1009" s="146"/>
      <c r="AK1009" s="146"/>
      <c r="AL1009" s="146">
        <v>1876.7806281083792</v>
      </c>
      <c r="AM1009" s="146">
        <v>0.13519670281957613</v>
      </c>
      <c r="AN1009" s="146">
        <v>0.26149670164606115</v>
      </c>
      <c r="AO1009" s="146">
        <v>327.2821827085919</v>
      </c>
      <c r="AP1009" s="146">
        <v>279.96465268049479</v>
      </c>
      <c r="AQ1009" t="s">
        <v>327</v>
      </c>
      <c r="AR1009">
        <f t="shared" si="60"/>
        <v>14.644015877877388</v>
      </c>
      <c r="AS1009">
        <f t="shared" si="61"/>
        <v>3.9965468373646496</v>
      </c>
      <c r="AT1009">
        <v>0.3</v>
      </c>
      <c r="AU1009">
        <v>1</v>
      </c>
      <c r="AV1009">
        <v>0.4</v>
      </c>
      <c r="AW1009" s="146">
        <v>3</v>
      </c>
      <c r="AX1009" s="146">
        <v>0.54767405029479199</v>
      </c>
      <c r="AY1009">
        <v>0.27</v>
      </c>
      <c r="AZ1009" s="209">
        <v>279.96465268049479</v>
      </c>
      <c r="BA1009">
        <v>0.54767405029479199</v>
      </c>
      <c r="BB1009" s="249">
        <v>38.34262116409424</v>
      </c>
      <c r="BC1009" s="243">
        <v>205.95201119578223</v>
      </c>
      <c r="BD1009" s="209">
        <v>96589.561045136419</v>
      </c>
      <c r="BE1009" s="243">
        <v>47.12393014894306</v>
      </c>
      <c r="BF1009">
        <v>333235.45763513696</v>
      </c>
      <c r="BG1009" t="s">
        <v>387</v>
      </c>
      <c r="BH1009">
        <v>7.3466067919418209E-6</v>
      </c>
      <c r="BI1009">
        <v>2165895.610451364</v>
      </c>
      <c r="BJ1009">
        <f t="shared" si="59"/>
        <v>0.15385573340983502</v>
      </c>
    </row>
    <row r="1010" spans="1:62" x14ac:dyDescent="0.3">
      <c r="A1010">
        <v>-0.1</v>
      </c>
      <c r="B1010" s="146">
        <v>1300</v>
      </c>
      <c r="C1010" s="146">
        <v>25</v>
      </c>
      <c r="D1010" s="146">
        <v>400</v>
      </c>
      <c r="E1010" s="252">
        <v>21.526399221349156</v>
      </c>
      <c r="F1010" s="146">
        <v>3.2346273445159865</v>
      </c>
      <c r="G1010" s="146">
        <v>23.824192427449695</v>
      </c>
      <c r="H1010" s="146">
        <v>20.756560012976305</v>
      </c>
      <c r="I1010" s="146"/>
      <c r="J1010" s="146">
        <v>0.64249608605568398</v>
      </c>
      <c r="K1010" s="146">
        <v>0.27</v>
      </c>
      <c r="L1010" s="146">
        <v>141.00768295814666</v>
      </c>
      <c r="M1010" s="146">
        <v>61.434882616619916</v>
      </c>
      <c r="N1010" s="146">
        <v>3.4116710261091434</v>
      </c>
      <c r="O1010" s="146"/>
      <c r="P1010" s="146"/>
      <c r="Q1010" s="146"/>
      <c r="R1010" s="146"/>
      <c r="S1010" s="146"/>
      <c r="T1010" s="146"/>
      <c r="U1010" s="146"/>
      <c r="V1010" s="146"/>
      <c r="W1010" s="146"/>
      <c r="X1010" s="146"/>
      <c r="Y1010" s="146"/>
      <c r="Z1010" s="146">
        <v>0.16436591727994818</v>
      </c>
      <c r="AA1010" s="146"/>
      <c r="AB1010" s="146"/>
      <c r="AC1010" s="146"/>
      <c r="AD1010" s="146"/>
      <c r="AE1010" s="146"/>
      <c r="AF1010" s="146"/>
      <c r="AG1010" s="146"/>
      <c r="AH1010" s="146"/>
      <c r="AI1010" s="146"/>
      <c r="AJ1010" s="146"/>
      <c r="AK1010" s="146"/>
      <c r="AL1010" s="146">
        <v>1971.3144956307674</v>
      </c>
      <c r="AM1010" s="146">
        <v>0.13577070259007487</v>
      </c>
      <c r="AN1010" s="146">
        <v>0.26590356697174078</v>
      </c>
      <c r="AO1010" s="146">
        <v>319.04433826704962</v>
      </c>
      <c r="AP1010" s="146">
        <v>265.47898257619647</v>
      </c>
      <c r="AQ1010" t="s">
        <v>327</v>
      </c>
      <c r="AR1010">
        <f t="shared" si="60"/>
        <v>14.644015877877388</v>
      </c>
      <c r="AS1010">
        <f t="shared" si="61"/>
        <v>3.9965468373646496</v>
      </c>
      <c r="AT1010">
        <v>0.3</v>
      </c>
      <c r="AU1010">
        <v>1</v>
      </c>
      <c r="AV1010">
        <v>0.4</v>
      </c>
      <c r="AW1010" s="146">
        <v>3</v>
      </c>
      <c r="AX1010" s="146">
        <v>0.56501411263698165</v>
      </c>
      <c r="AY1010">
        <v>0.27</v>
      </c>
      <c r="AZ1010" s="209">
        <v>265.47898257619647</v>
      </c>
      <c r="BA1010">
        <v>0.56501411263698165</v>
      </c>
      <c r="BB1010" s="249">
        <v>43.08568785188119</v>
      </c>
      <c r="BC1010" s="243">
        <v>220.55361951294816</v>
      </c>
      <c r="BD1010" s="209">
        <v>105895.8895584494</v>
      </c>
      <c r="BE1010" s="243">
        <v>51.63819402407082</v>
      </c>
      <c r="BF1010">
        <v>412333.79465933639</v>
      </c>
      <c r="BG1010" t="s">
        <v>387</v>
      </c>
      <c r="BH1010">
        <v>7.7863868387608766E-6</v>
      </c>
      <c r="BI1010">
        <v>2258958.8955844939</v>
      </c>
      <c r="BJ1010">
        <f t="shared" si="59"/>
        <v>0.1825326682416889</v>
      </c>
    </row>
    <row r="1011" spans="1:62" x14ac:dyDescent="0.3">
      <c r="A1011">
        <v>-0.1</v>
      </c>
      <c r="B1011" s="227">
        <v>1600</v>
      </c>
      <c r="C1011" s="146">
        <v>25</v>
      </c>
      <c r="D1011" s="146">
        <v>400</v>
      </c>
      <c r="E1011" s="252">
        <v>23.400021118605618</v>
      </c>
      <c r="F1011" s="146">
        <v>3.5585055084912893</v>
      </c>
      <c r="G1011" s="146">
        <v>25.892957574944568</v>
      </c>
      <c r="H1011" s="146">
        <v>22.590836750778724</v>
      </c>
      <c r="I1011" s="146"/>
      <c r="J1011" s="146">
        <v>0.64269701762579889</v>
      </c>
      <c r="K1011" s="146">
        <v>0.27</v>
      </c>
      <c r="L1011" s="146">
        <v>153.70643625945661</v>
      </c>
      <c r="M1011" s="146">
        <v>66.967534469887738</v>
      </c>
      <c r="N1011" s="146">
        <v>3.6026610076202914</v>
      </c>
      <c r="O1011" s="146"/>
      <c r="P1011" s="146"/>
      <c r="Q1011" s="146"/>
      <c r="R1011" s="146"/>
      <c r="S1011" s="146"/>
      <c r="T1011" s="146"/>
      <c r="U1011" s="146"/>
      <c r="V1011" s="146"/>
      <c r="W1011" s="146"/>
      <c r="X1011" s="146"/>
      <c r="Y1011" s="146"/>
      <c r="Z1011" s="146">
        <v>0.15947443856837684</v>
      </c>
      <c r="AA1011" s="146"/>
      <c r="AB1011" s="146"/>
      <c r="AC1011" s="146"/>
      <c r="AD1011" s="146"/>
      <c r="AE1011" s="146"/>
      <c r="AF1011" s="146"/>
      <c r="AG1011" s="146"/>
      <c r="AH1011" s="146"/>
      <c r="AI1011" s="146"/>
      <c r="AJ1011" s="146"/>
      <c r="AK1011" s="146"/>
      <c r="AL1011" s="146">
        <v>2055.187292229748</v>
      </c>
      <c r="AM1011" s="146">
        <v>0.13743140381671551</v>
      </c>
      <c r="AN1011" s="146">
        <v>0.26616462224615983</v>
      </c>
      <c r="AO1011" s="146">
        <v>312.08440505303395</v>
      </c>
      <c r="AP1011" s="146">
        <v>253.85678841960109</v>
      </c>
      <c r="AQ1011" t="s">
        <v>327</v>
      </c>
      <c r="AR1011">
        <f t="shared" si="60"/>
        <v>14.644015877877388</v>
      </c>
      <c r="AS1011">
        <f t="shared" si="61"/>
        <v>3.9965468373646496</v>
      </c>
      <c r="AT1011">
        <v>0.3</v>
      </c>
      <c r="AU1011">
        <v>1</v>
      </c>
      <c r="AV1011">
        <v>0.4</v>
      </c>
      <c r="AW1011" s="146">
        <v>3</v>
      </c>
      <c r="AX1011" s="146">
        <v>0.56679720201337647</v>
      </c>
      <c r="AY1011">
        <v>0.27</v>
      </c>
      <c r="AZ1011" s="209">
        <v>253.85678841960109</v>
      </c>
      <c r="BA1011">
        <v>0.56679720201337647</v>
      </c>
      <c r="BB1011" s="249">
        <v>46.921595515087503</v>
      </c>
      <c r="BC1011" s="243">
        <v>229.11163965995053</v>
      </c>
      <c r="BD1011" s="209">
        <v>112766.93305704459</v>
      </c>
      <c r="BE1011" s="243">
        <v>56.361841177371282</v>
      </c>
      <c r="BF1011">
        <v>477648.74043952621</v>
      </c>
      <c r="BG1011" t="s">
        <v>387</v>
      </c>
      <c r="BH1011">
        <v>8.0618504520319629E-6</v>
      </c>
      <c r="BI1011">
        <v>2327669.3305704459</v>
      </c>
      <c r="BJ1011">
        <f t="shared" si="59"/>
        <v>0.20520472309632917</v>
      </c>
    </row>
    <row r="1012" spans="1:62" s="140" customFormat="1" x14ac:dyDescent="0.3">
      <c r="A1012" s="140">
        <v>-0.1</v>
      </c>
      <c r="B1012" s="140">
        <v>1900</v>
      </c>
      <c r="C1012" s="140">
        <v>25</v>
      </c>
      <c r="D1012" s="140">
        <v>400</v>
      </c>
      <c r="E1012" s="253">
        <v>24.720828619570767</v>
      </c>
      <c r="F1012" s="140">
        <v>3.8001292639022366</v>
      </c>
      <c r="G1012" s="140">
        <v>27.355272826365692</v>
      </c>
      <c r="H1012" s="140">
        <v>23.88765801307667</v>
      </c>
      <c r="J1012" s="140">
        <v>0.6436981415183729</v>
      </c>
      <c r="K1012" s="140">
        <v>0.27</v>
      </c>
      <c r="L1012" s="140">
        <v>162.73562099978926</v>
      </c>
      <c r="M1012" s="140">
        <v>70.901411638912336</v>
      </c>
      <c r="N1012" s="140">
        <v>3.7178775034372329</v>
      </c>
      <c r="Z1012" s="140">
        <v>0.15564010090072367</v>
      </c>
      <c r="AL1012" s="140">
        <v>2104.5662817812622</v>
      </c>
      <c r="AM1012" s="140">
        <v>0.13891761518969672</v>
      </c>
      <c r="AN1012" s="140">
        <v>0.26622130735209509</v>
      </c>
      <c r="AO1012" s="140">
        <v>307.14181045292571</v>
      </c>
      <c r="AP1012" s="140">
        <v>245.62753006264685</v>
      </c>
      <c r="AQ1012" t="s">
        <v>327</v>
      </c>
      <c r="AR1012">
        <f t="shared" si="60"/>
        <v>14.644015877877388</v>
      </c>
      <c r="AS1012">
        <f t="shared" si="61"/>
        <v>3.9965468373646496</v>
      </c>
      <c r="AT1012">
        <v>0.3</v>
      </c>
      <c r="AU1012" s="140">
        <v>1</v>
      </c>
      <c r="AV1012">
        <v>0.4</v>
      </c>
      <c r="AW1012" s="140">
        <v>3</v>
      </c>
      <c r="AX1012" s="140">
        <v>0.56867354846518214</v>
      </c>
      <c r="AY1012">
        <v>0.27</v>
      </c>
      <c r="AZ1012" s="209">
        <v>245.62753006264685</v>
      </c>
      <c r="BA1012" s="140">
        <v>0.56867354846518214</v>
      </c>
      <c r="BB1012" s="253">
        <v>49.68388475542109</v>
      </c>
      <c r="BC1012" s="245">
        <v>233.99714895775253</v>
      </c>
      <c r="BD1012" s="210">
        <v>117188.20477485801</v>
      </c>
      <c r="BE1012" s="245">
        <v>59.754680979769788</v>
      </c>
      <c r="BF1012" s="140">
        <v>525952.96303935768</v>
      </c>
      <c r="BG1012" t="s">
        <v>387</v>
      </c>
      <c r="BH1012" s="140">
        <v>8.2460929667734044E-6</v>
      </c>
      <c r="BI1012" s="140">
        <v>2371882.0477485801</v>
      </c>
      <c r="BJ1012">
        <f t="shared" si="59"/>
        <v>0.2217449908770121</v>
      </c>
    </row>
    <row r="1013" spans="1:62" x14ac:dyDescent="0.3">
      <c r="A1013">
        <v>-0.1</v>
      </c>
      <c r="B1013" s="146">
        <v>1000</v>
      </c>
      <c r="C1013" s="146">
        <v>25</v>
      </c>
      <c r="D1013" s="146">
        <v>200</v>
      </c>
      <c r="E1013" s="252">
        <v>17.583302605048338</v>
      </c>
      <c r="F1013" s="146">
        <v>4.6045614477133086</v>
      </c>
      <c r="G1013" s="146">
        <v>20.56428135760985</v>
      </c>
      <c r="H1013" s="146">
        <v>18.562560310699311</v>
      </c>
      <c r="I1013" s="146"/>
      <c r="J1013" s="146">
        <v>0.76525220938176619</v>
      </c>
      <c r="K1013" s="146">
        <v>0.27</v>
      </c>
      <c r="L1013" s="146">
        <v>127.47355234787962</v>
      </c>
      <c r="M1013" s="146">
        <v>55.538269695134268</v>
      </c>
      <c r="N1013" s="146">
        <v>1.8568043755148267</v>
      </c>
      <c r="O1013" s="146"/>
      <c r="P1013" s="146"/>
      <c r="Q1013" s="146"/>
      <c r="R1013" s="146"/>
      <c r="S1013" s="146"/>
      <c r="T1013" s="146"/>
      <c r="U1013" s="146"/>
      <c r="V1013" s="146"/>
      <c r="W1013" s="146"/>
      <c r="X1013" s="146"/>
      <c r="Y1013" s="146"/>
      <c r="Z1013" s="146">
        <v>0.10002954034549746</v>
      </c>
      <c r="AA1013" s="146"/>
      <c r="AB1013" s="146"/>
      <c r="AC1013" s="146"/>
      <c r="AD1013" s="146"/>
      <c r="AE1013" s="146"/>
      <c r="AF1013" s="146"/>
      <c r="AG1013" s="146"/>
      <c r="AH1013" s="146"/>
      <c r="AI1013" s="146"/>
      <c r="AJ1013" s="146"/>
      <c r="AK1013" s="146"/>
      <c r="AL1013" s="146">
        <v>1011.8114183523295</v>
      </c>
      <c r="AM1013" s="146">
        <v>0.2239106423239722</v>
      </c>
      <c r="AN1013" s="146">
        <v>0.24140537746047805</v>
      </c>
      <c r="AO1013" s="146">
        <v>127.16275507190386</v>
      </c>
      <c r="AP1013" s="146">
        <v>83.409230594915556</v>
      </c>
      <c r="AQ1013" t="s">
        <v>327</v>
      </c>
      <c r="AR1013">
        <f t="shared" si="60"/>
        <v>14.644015877877388</v>
      </c>
      <c r="AS1013">
        <f t="shared" si="61"/>
        <v>3.9965468373646496</v>
      </c>
      <c r="AT1013">
        <v>0.3</v>
      </c>
      <c r="AU1013">
        <v>1</v>
      </c>
      <c r="AV1013">
        <v>0.4</v>
      </c>
      <c r="AW1013" s="146">
        <v>3</v>
      </c>
      <c r="AX1013" s="146">
        <v>0.66176098177908904</v>
      </c>
      <c r="AY1013">
        <v>0.27</v>
      </c>
      <c r="AZ1013" s="209">
        <v>83.409230594915556</v>
      </c>
      <c r="BA1013">
        <v>0.66176098177908904</v>
      </c>
      <c r="BB1013" s="249">
        <v>46.513330051840867</v>
      </c>
      <c r="BC1013" s="243">
        <v>217.74008081579368</v>
      </c>
      <c r="BD1013" s="209">
        <v>106051.24424869005</v>
      </c>
      <c r="BE1013" s="243">
        <v>53.739130666149649</v>
      </c>
      <c r="BF1013">
        <v>322741.74016148935</v>
      </c>
      <c r="BG1013" t="s">
        <v>388</v>
      </c>
      <c r="BH1013">
        <v>6.5483447467413859E-6</v>
      </c>
      <c r="BI1013">
        <v>2260512.4424869008</v>
      </c>
      <c r="BJ1013">
        <f t="shared" si="59"/>
        <v>0.14277370657001351</v>
      </c>
    </row>
    <row r="1014" spans="1:62" x14ac:dyDescent="0.3">
      <c r="A1014">
        <v>-0.1</v>
      </c>
      <c r="B1014" s="146">
        <v>1000</v>
      </c>
      <c r="C1014" s="146">
        <v>25</v>
      </c>
      <c r="D1014" s="146">
        <v>300</v>
      </c>
      <c r="E1014" s="252">
        <v>18.36641534247617</v>
      </c>
      <c r="F1014" s="146">
        <v>3.4341367860584091</v>
      </c>
      <c r="G1014" s="146">
        <v>20.730359117582033</v>
      </c>
      <c r="H1014" s="146">
        <v>18.335513997221096</v>
      </c>
      <c r="I1014" s="146"/>
      <c r="J1014" s="146">
        <v>0.66951275712144775</v>
      </c>
      <c r="K1014" s="146">
        <v>0.27</v>
      </c>
      <c r="L1014" s="146">
        <v>124.64260450219047</v>
      </c>
      <c r="M1014" s="146">
        <v>54.304869181452275</v>
      </c>
      <c r="N1014" s="146">
        <v>2.6549395282762163</v>
      </c>
      <c r="O1014" s="146"/>
      <c r="P1014" s="146"/>
      <c r="Q1014" s="146"/>
      <c r="R1014" s="146"/>
      <c r="S1014" s="146"/>
      <c r="T1014" s="146"/>
      <c r="U1014" s="146"/>
      <c r="V1014" s="146"/>
      <c r="W1014" s="146"/>
      <c r="X1014" s="146"/>
      <c r="Y1014" s="146"/>
      <c r="Z1014" s="146">
        <v>0.14479766035894032</v>
      </c>
      <c r="AA1014" s="146"/>
      <c r="AB1014" s="146"/>
      <c r="AC1014" s="146"/>
      <c r="AD1014" s="146"/>
      <c r="AE1014" s="146"/>
      <c r="AF1014" s="146"/>
      <c r="AG1014" s="146"/>
      <c r="AH1014" s="146"/>
      <c r="AI1014" s="146"/>
      <c r="AJ1014" s="146"/>
      <c r="AK1014" s="146"/>
      <c r="AL1014" s="146">
        <v>1510.4292453726366</v>
      </c>
      <c r="AM1014" s="146">
        <v>0.16565737074693587</v>
      </c>
      <c r="AN1014" s="146">
        <v>0.25745510044211611</v>
      </c>
      <c r="AO1014" s="146">
        <v>228.66167610998443</v>
      </c>
      <c r="AP1014" s="146">
        <v>182.95948123452831</v>
      </c>
      <c r="AQ1014" t="s">
        <v>327</v>
      </c>
      <c r="AR1014">
        <f t="shared" si="60"/>
        <v>14.644015877877388</v>
      </c>
      <c r="AS1014">
        <f t="shared" si="61"/>
        <v>3.9965468373646496</v>
      </c>
      <c r="AT1014">
        <v>0.3</v>
      </c>
      <c r="AU1014">
        <v>1</v>
      </c>
      <c r="AV1014">
        <v>0.4</v>
      </c>
      <c r="AW1014" s="146">
        <v>3</v>
      </c>
      <c r="AX1014" s="146">
        <v>0.57690033346360048</v>
      </c>
      <c r="AY1014">
        <v>0.27</v>
      </c>
      <c r="AZ1014" s="209">
        <v>182.95948123452831</v>
      </c>
      <c r="BA1014">
        <v>0.57690033346360048</v>
      </c>
      <c r="BB1014" s="249">
        <v>41.09877908977893</v>
      </c>
      <c r="BC1014" s="243">
        <v>209.85844960729176</v>
      </c>
      <c r="BD1014" s="209">
        <v>99438.838251092646</v>
      </c>
      <c r="BE1014" s="243">
        <v>48.891703223370783</v>
      </c>
      <c r="BF1014">
        <v>325952.83152300771</v>
      </c>
      <c r="BG1014" t="s">
        <v>388</v>
      </c>
      <c r="BH1014">
        <v>7.0269198788150794E-6</v>
      </c>
      <c r="BI1014">
        <v>2194388.3825109266</v>
      </c>
      <c r="BJ1014">
        <f t="shared" si="59"/>
        <v>0.14853926229323022</v>
      </c>
    </row>
    <row r="1015" spans="1:62" x14ac:dyDescent="0.3">
      <c r="A1015">
        <v>-0.1</v>
      </c>
      <c r="B1015" s="146">
        <v>1000</v>
      </c>
      <c r="C1015" s="146">
        <v>25</v>
      </c>
      <c r="D1015" s="146">
        <v>400</v>
      </c>
      <c r="E1015" s="252">
        <v>19.015186943840742</v>
      </c>
      <c r="F1015" s="146">
        <v>2.8487589907808273</v>
      </c>
      <c r="G1015" s="146">
        <v>21.0722376025263</v>
      </c>
      <c r="H1015" s="146">
        <v>18.168380208167868</v>
      </c>
      <c r="I1015" s="146"/>
      <c r="J1015" s="146">
        <v>0.62710067295603011</v>
      </c>
      <c r="K1015" s="146">
        <v>0.27</v>
      </c>
      <c r="L1015" s="146">
        <v>123.19691345044349</v>
      </c>
      <c r="M1015" s="146">
        <v>53.675003785462934</v>
      </c>
      <c r="N1015" s="146">
        <v>3.1945682965507487</v>
      </c>
      <c r="O1015" s="146"/>
      <c r="P1015" s="146"/>
      <c r="Q1015" s="146"/>
      <c r="R1015" s="146"/>
      <c r="S1015" s="146"/>
      <c r="T1015" s="146"/>
      <c r="U1015" s="146"/>
      <c r="V1015" s="146"/>
      <c r="W1015" s="146"/>
      <c r="X1015" s="146"/>
      <c r="Y1015" s="146"/>
      <c r="Z1015" s="146">
        <v>0.17583121114531622</v>
      </c>
      <c r="AA1015" s="146"/>
      <c r="AB1015" s="146"/>
      <c r="AC1015" s="146"/>
      <c r="AD1015" s="146"/>
      <c r="AE1015" s="146"/>
      <c r="AF1015" s="146"/>
      <c r="AG1015" s="146"/>
      <c r="AH1015" s="146"/>
      <c r="AI1015" s="146"/>
      <c r="AJ1015" s="146"/>
      <c r="AK1015" s="146"/>
      <c r="AL1015" s="146">
        <v>1877.2522723799104</v>
      </c>
      <c r="AM1015" s="146">
        <v>0.13519015135057591</v>
      </c>
      <c r="AN1015" s="146">
        <v>0.2615018376858097</v>
      </c>
      <c r="AO1015" s="146">
        <v>327.28469095239325</v>
      </c>
      <c r="AP1015" s="146">
        <v>279.96812410453634</v>
      </c>
      <c r="AQ1015" t="s">
        <v>327</v>
      </c>
      <c r="AR1015">
        <f t="shared" si="60"/>
        <v>14.644015877877388</v>
      </c>
      <c r="AS1015">
        <f t="shared" si="61"/>
        <v>3.9965468373646496</v>
      </c>
      <c r="AT1015">
        <v>0.3</v>
      </c>
      <c r="AU1015">
        <v>1</v>
      </c>
      <c r="AV1015">
        <v>0.4</v>
      </c>
      <c r="AW1015" s="146">
        <v>3</v>
      </c>
      <c r="AX1015" s="146">
        <v>0.54758818016480504</v>
      </c>
      <c r="AY1015">
        <v>0.27</v>
      </c>
      <c r="AZ1015" s="209">
        <v>279.96812410453634</v>
      </c>
      <c r="BA1015">
        <v>0.54758818016480504</v>
      </c>
      <c r="BB1015" s="249">
        <v>38.341979242914817</v>
      </c>
      <c r="BC1015" s="243">
        <v>205.942854727541</v>
      </c>
      <c r="BD1015" s="209">
        <v>96586.819277714472</v>
      </c>
      <c r="BE1015" s="243">
        <v>47.12561059051594</v>
      </c>
      <c r="BF1015">
        <v>333223.14851293771</v>
      </c>
      <c r="BG1015" t="s">
        <v>388</v>
      </c>
      <c r="BH1015">
        <v>7.3466160425061882E-6</v>
      </c>
      <c r="BI1015">
        <v>2165868.1927771447</v>
      </c>
      <c r="BJ1015">
        <f t="shared" si="59"/>
        <v>0.1538519978381826</v>
      </c>
    </row>
    <row r="1016" spans="1:62" x14ac:dyDescent="0.3">
      <c r="A1016">
        <v>-0.1</v>
      </c>
      <c r="B1016" s="146">
        <v>1000</v>
      </c>
      <c r="C1016" s="146">
        <v>25</v>
      </c>
      <c r="D1016" s="146">
        <v>500</v>
      </c>
      <c r="E1016" s="252">
        <v>19.589964932229314</v>
      </c>
      <c r="F1016" s="146">
        <v>2.4780673391772057</v>
      </c>
      <c r="G1016" s="146">
        <v>21.454191200633382</v>
      </c>
      <c r="H1016" s="146">
        <v>18.021128882294224</v>
      </c>
      <c r="I1016" s="146"/>
      <c r="J1016" s="146">
        <v>0.59400855198376157</v>
      </c>
      <c r="K1016" s="146">
        <v>0.27</v>
      </c>
      <c r="L1016" s="146">
        <v>122.06163338568756</v>
      </c>
      <c r="M1016" s="146">
        <v>53.180379690859723</v>
      </c>
      <c r="N1016" s="146">
        <v>3.6498910872644945</v>
      </c>
      <c r="O1016" s="146"/>
      <c r="P1016" s="146"/>
      <c r="Q1016" s="146"/>
      <c r="R1016" s="146"/>
      <c r="S1016" s="146"/>
      <c r="T1016" s="146"/>
      <c r="U1016" s="146"/>
      <c r="V1016" s="146"/>
      <c r="W1016" s="146"/>
      <c r="X1016" s="146"/>
      <c r="Y1016" s="146"/>
      <c r="Z1016" s="146">
        <v>0.20253398724929578</v>
      </c>
      <c r="AA1016" s="146"/>
      <c r="AB1016" s="146"/>
      <c r="AC1016" s="146"/>
      <c r="AD1016" s="146"/>
      <c r="AE1016" s="146"/>
      <c r="AF1016" s="146"/>
      <c r="AG1016" s="146"/>
      <c r="AH1016" s="146"/>
      <c r="AI1016" s="146"/>
      <c r="AJ1016" s="146"/>
      <c r="AK1016" s="146"/>
      <c r="AL1016" s="146">
        <v>2200.7604212408701</v>
      </c>
      <c r="AM1016" s="146">
        <v>0.11550504589070908</v>
      </c>
      <c r="AN1016" s="146">
        <v>0.25968197022498446</v>
      </c>
      <c r="AO1016" s="146">
        <v>424.56170555369374</v>
      </c>
      <c r="AP1016" s="146">
        <v>375.81487760862376</v>
      </c>
      <c r="AQ1016" t="s">
        <v>327</v>
      </c>
      <c r="AR1016">
        <f t="shared" si="60"/>
        <v>14.644015877877388</v>
      </c>
      <c r="AS1016">
        <f t="shared" si="61"/>
        <v>3.9965468373646496</v>
      </c>
      <c r="AT1016">
        <v>0.3</v>
      </c>
      <c r="AU1016">
        <v>1</v>
      </c>
      <c r="AV1016">
        <v>0.4</v>
      </c>
      <c r="AW1016" s="146">
        <v>3</v>
      </c>
      <c r="AX1016" s="146">
        <v>0.52429236190141415</v>
      </c>
      <c r="AY1016">
        <v>0.27</v>
      </c>
      <c r="AZ1016" s="209">
        <v>375.81487760862376</v>
      </c>
      <c r="BA1016">
        <v>0.52429236190141415</v>
      </c>
      <c r="BB1016" s="249">
        <v>36.709197597797939</v>
      </c>
      <c r="BC1016" s="243">
        <v>202.91745316192478</v>
      </c>
      <c r="BD1016" s="209">
        <v>95333.845979005739</v>
      </c>
      <c r="BE1016" s="243">
        <v>47.159586364260015</v>
      </c>
      <c r="BF1016">
        <v>342298.69665071147</v>
      </c>
      <c r="BG1016" t="s">
        <v>388</v>
      </c>
      <c r="BH1016">
        <v>7.5856772929963956E-6</v>
      </c>
      <c r="BI1016">
        <v>2153338.4597900575</v>
      </c>
      <c r="BJ1016">
        <f t="shared" si="59"/>
        <v>0.15896186458494979</v>
      </c>
    </row>
    <row r="1017" spans="1:62" s="146" customFormat="1" x14ac:dyDescent="0.3">
      <c r="A1017">
        <v>-0.1</v>
      </c>
      <c r="B1017" s="146">
        <v>1000</v>
      </c>
      <c r="C1017" s="146">
        <v>25</v>
      </c>
      <c r="D1017" s="146">
        <v>600</v>
      </c>
      <c r="E1017" s="252">
        <v>20.009522199245847</v>
      </c>
      <c r="F1017" s="146">
        <v>2.1916766126862735</v>
      </c>
      <c r="G1017" s="146">
        <v>21.724136302952111</v>
      </c>
      <c r="H1017" s="146">
        <v>17.917586270403586</v>
      </c>
      <c r="J1017" s="146">
        <v>0.57550832100400007</v>
      </c>
      <c r="K1017" s="146">
        <v>0.27</v>
      </c>
      <c r="L1017" s="146">
        <v>121.281165357327</v>
      </c>
      <c r="M1017" s="146">
        <v>52.840341753192263</v>
      </c>
      <c r="N1017" s="146">
        <v>3.9919643202995001</v>
      </c>
      <c r="Z1017" s="146">
        <v>0.22279587551887273</v>
      </c>
      <c r="AL1017" s="146">
        <v>2468.742263473508</v>
      </c>
      <c r="AM1017" s="146">
        <v>0.10088670877969241</v>
      </c>
      <c r="AN1017" s="146">
        <v>0.2583577121350551</v>
      </c>
      <c r="AO1017" s="146">
        <v>522.55109385398964</v>
      </c>
      <c r="AP1017" s="146">
        <v>472.76010332375853</v>
      </c>
      <c r="AQ1017" t="s">
        <v>327</v>
      </c>
      <c r="AR1017">
        <f t="shared" si="60"/>
        <v>14.644015877877388</v>
      </c>
      <c r="AS1017">
        <f t="shared" si="61"/>
        <v>3.9965468373646496</v>
      </c>
      <c r="AT1017">
        <v>0.3</v>
      </c>
      <c r="AU1017">
        <v>1</v>
      </c>
      <c r="AV1017">
        <v>0.4</v>
      </c>
      <c r="AW1017" s="146">
        <v>3</v>
      </c>
      <c r="AX1017" s="146">
        <v>0.51275087499729732</v>
      </c>
      <c r="AY1017">
        <v>0.27</v>
      </c>
      <c r="AZ1017" s="209">
        <v>472.76010332375853</v>
      </c>
      <c r="BA1017" s="146">
        <v>0.51275087499729732</v>
      </c>
      <c r="BB1017" s="252">
        <v>35.325536818275062</v>
      </c>
      <c r="BC1017" s="244">
        <v>200.86211492771582</v>
      </c>
      <c r="BD1017" s="229">
        <v>94128.240447584714</v>
      </c>
      <c r="BE1017" s="244">
        <v>46.648204017535214</v>
      </c>
      <c r="BF1017" s="146">
        <v>348090.03761923779</v>
      </c>
      <c r="BG1017" t="s">
        <v>388</v>
      </c>
      <c r="BH1017" s="146">
        <v>7.7727243083749533E-6</v>
      </c>
      <c r="BI1017" s="146">
        <v>2141282.4044758473</v>
      </c>
      <c r="BJ1017">
        <f t="shared" si="59"/>
        <v>0.16256148039681148</v>
      </c>
    </row>
    <row r="1018" spans="1:62" s="140" customFormat="1" x14ac:dyDescent="0.3">
      <c r="A1018">
        <v>-0.1</v>
      </c>
      <c r="B1018" s="146">
        <v>1000</v>
      </c>
      <c r="C1018" s="146">
        <v>25</v>
      </c>
      <c r="D1018" s="146">
        <v>700</v>
      </c>
      <c r="E1018" s="252">
        <v>20.329298850941836</v>
      </c>
      <c r="F1018" s="146">
        <v>1.9659193838128046</v>
      </c>
      <c r="G1018" s="146">
        <v>21.925729577824413</v>
      </c>
      <c r="H1018" s="146">
        <v>17.839285738162296</v>
      </c>
      <c r="I1018" s="146"/>
      <c r="J1018" s="146">
        <v>0.56291130290891955</v>
      </c>
      <c r="K1018" s="146">
        <v>0.27</v>
      </c>
      <c r="L1018" s="146">
        <v>120.6999573167078</v>
      </c>
      <c r="M1018" s="146">
        <v>52.587118333005471</v>
      </c>
      <c r="N1018" s="146">
        <v>4.2695655783745785</v>
      </c>
      <c r="O1018" s="146"/>
      <c r="P1018" s="146"/>
      <c r="Q1018" s="146"/>
      <c r="R1018" s="146"/>
      <c r="S1018" s="146"/>
      <c r="T1018" s="146"/>
      <c r="U1018" s="146"/>
      <c r="V1018" s="146"/>
      <c r="W1018" s="146"/>
      <c r="X1018" s="146"/>
      <c r="Y1018" s="146"/>
      <c r="Z1018" s="146">
        <v>0.23933500707604033</v>
      </c>
      <c r="AA1018" s="146"/>
      <c r="AB1018" s="146"/>
      <c r="AC1018" s="146"/>
      <c r="AD1018" s="146"/>
      <c r="AE1018" s="146"/>
      <c r="AF1018" s="146"/>
      <c r="AG1018" s="146"/>
      <c r="AH1018" s="146"/>
      <c r="AI1018" s="146"/>
      <c r="AJ1018" s="146"/>
      <c r="AK1018" s="146"/>
      <c r="AL1018" s="146">
        <v>2705.1993329273846</v>
      </c>
      <c r="AM1018" s="146">
        <v>8.9662666723807766E-2</v>
      </c>
      <c r="AN1018" s="146">
        <v>0.25734299949638589</v>
      </c>
      <c r="AO1018" s="146">
        <v>621.00310134440883</v>
      </c>
      <c r="AP1018" s="146">
        <v>570.41654374009431</v>
      </c>
      <c r="AQ1018" t="s">
        <v>327</v>
      </c>
      <c r="AR1018">
        <f t="shared" si="60"/>
        <v>14.644015877877388</v>
      </c>
      <c r="AS1018">
        <f t="shared" si="61"/>
        <v>3.9965468373646496</v>
      </c>
      <c r="AT1018">
        <v>0.3</v>
      </c>
      <c r="AU1018">
        <v>1</v>
      </c>
      <c r="AV1018">
        <v>0.4</v>
      </c>
      <c r="AW1018" s="146">
        <v>3</v>
      </c>
      <c r="AX1018" s="146">
        <v>0.50543880313929723</v>
      </c>
      <c r="AY1018">
        <v>0.27</v>
      </c>
      <c r="AZ1018" s="209">
        <v>570.41654374009431</v>
      </c>
      <c r="BA1018" s="140">
        <v>0.50543880313929723</v>
      </c>
      <c r="BB1018" s="253">
        <v>34.187987485361809</v>
      </c>
      <c r="BC1018" s="245">
        <v>199.3442337246268</v>
      </c>
      <c r="BD1018" s="210">
        <v>93089.011044005965</v>
      </c>
      <c r="BE1018" s="245">
        <v>46.044180265843146</v>
      </c>
      <c r="BF1018" s="140">
        <v>352097.92814606515</v>
      </c>
      <c r="BG1018" t="s">
        <v>388</v>
      </c>
      <c r="BH1018" s="140">
        <v>7.9212580049141582E-6</v>
      </c>
      <c r="BI1018" s="140">
        <v>2130890.1104400596</v>
      </c>
      <c r="BJ1018">
        <f t="shared" si="59"/>
        <v>0.16523514113703022</v>
      </c>
    </row>
    <row r="1019" spans="1:62" x14ac:dyDescent="0.3">
      <c r="A1019">
        <v>-0.1</v>
      </c>
      <c r="B1019" s="146">
        <v>1000</v>
      </c>
      <c r="C1019" s="146">
        <v>25</v>
      </c>
      <c r="D1019" s="146">
        <v>800</v>
      </c>
      <c r="E1019" s="252">
        <v>20.581585942582549</v>
      </c>
      <c r="F1019" s="146">
        <v>1.7840219855881367</v>
      </c>
      <c r="G1019" s="146">
        <v>22.082691017459311</v>
      </c>
      <c r="H1019" s="146">
        <v>17.77781364854534</v>
      </c>
      <c r="I1019" s="146"/>
      <c r="J1019" s="146">
        <v>0.55327851059641464</v>
      </c>
      <c r="K1019" s="146">
        <v>0.27</v>
      </c>
      <c r="L1019" s="146">
        <v>120.24834585786135</v>
      </c>
      <c r="M1019" s="146">
        <v>52.390358153840012</v>
      </c>
      <c r="N1019" s="146">
        <v>4.5047387015731584</v>
      </c>
      <c r="O1019" s="146"/>
      <c r="P1019" s="146"/>
      <c r="Q1019" s="146"/>
      <c r="R1019" s="146"/>
      <c r="S1019" s="146"/>
      <c r="T1019" s="146"/>
      <c r="U1019" s="146"/>
      <c r="V1019" s="146"/>
      <c r="W1019" s="146"/>
      <c r="X1019" s="146"/>
      <c r="Y1019" s="146"/>
      <c r="Z1019" s="146">
        <v>0.25339104068861451</v>
      </c>
      <c r="AA1019" s="146"/>
      <c r="AB1019" s="146"/>
      <c r="AC1019" s="146"/>
      <c r="AD1019" s="146"/>
      <c r="AE1019" s="146"/>
      <c r="AF1019" s="146"/>
      <c r="AG1019" s="146"/>
      <c r="AH1019" s="146"/>
      <c r="AI1019" s="146"/>
      <c r="AJ1019" s="146"/>
      <c r="AK1019" s="146"/>
      <c r="AL1019" s="146">
        <v>2920.9260328788796</v>
      </c>
      <c r="AM1019" s="146">
        <v>8.0788251041398418E-2</v>
      </c>
      <c r="AN1019" s="146">
        <v>0.25653555534970851</v>
      </c>
      <c r="AO1019" s="146">
        <v>719.77101998775265</v>
      </c>
      <c r="AP1019" s="146">
        <v>668.55668209230078</v>
      </c>
      <c r="AQ1019" t="s">
        <v>327</v>
      </c>
      <c r="AR1019">
        <f t="shared" si="60"/>
        <v>14.644015877877388</v>
      </c>
      <c r="AS1019">
        <f t="shared" si="61"/>
        <v>3.9965468373646496</v>
      </c>
      <c r="AT1019">
        <v>0.3</v>
      </c>
      <c r="AU1019">
        <v>1</v>
      </c>
      <c r="AV1019">
        <v>0.4</v>
      </c>
      <c r="AW1019" s="146">
        <v>3</v>
      </c>
      <c r="AX1019" s="146">
        <v>0.50001935807166731</v>
      </c>
      <c r="AY1019">
        <v>0.27</v>
      </c>
      <c r="AZ1019" s="209">
        <v>668.55668209230078</v>
      </c>
      <c r="BA1019">
        <v>0.50001935807166731</v>
      </c>
      <c r="BB1019" s="249">
        <v>33.249600652072218</v>
      </c>
      <c r="BC1019" s="243">
        <v>198.1721857894978</v>
      </c>
      <c r="BD1019" s="209">
        <v>92213.275117789439</v>
      </c>
      <c r="BE1019" s="243">
        <v>45.46544704357931</v>
      </c>
      <c r="BF1019">
        <v>355040.72812964232</v>
      </c>
      <c r="BG1019" t="s">
        <v>388</v>
      </c>
      <c r="BH1019">
        <v>8.0416110296653074E-6</v>
      </c>
      <c r="BI1019">
        <v>2122132.7511778944</v>
      </c>
      <c r="BJ1019">
        <f t="shared" si="59"/>
        <v>0.16730373155617911</v>
      </c>
    </row>
    <row r="1020" spans="1:62" x14ac:dyDescent="0.3">
      <c r="A1020">
        <v>-0.1</v>
      </c>
      <c r="B1020" s="146">
        <v>1000</v>
      </c>
      <c r="C1020" s="146">
        <v>25</v>
      </c>
      <c r="D1020" s="146">
        <v>900</v>
      </c>
      <c r="E1020" s="252">
        <v>20.786669183506607</v>
      </c>
      <c r="F1020" s="146">
        <v>1.6345602753540418</v>
      </c>
      <c r="G1020" s="146">
        <v>22.209420717081777</v>
      </c>
      <c r="H1020" s="146">
        <v>17.728527012866973</v>
      </c>
      <c r="I1020" s="146"/>
      <c r="J1020" s="146">
        <v>0.54537195517536186</v>
      </c>
      <c r="K1020" s="146">
        <v>0.27</v>
      </c>
      <c r="L1020" s="146">
        <v>119.88871713326962</v>
      </c>
      <c r="M1020" s="146">
        <v>52.233673439806267</v>
      </c>
      <c r="N1020" s="146">
        <v>4.709244003807779</v>
      </c>
      <c r="O1020" s="146"/>
      <c r="P1020" s="146"/>
      <c r="Q1020" s="146"/>
      <c r="R1020" s="146"/>
      <c r="S1020" s="146"/>
      <c r="T1020" s="146"/>
      <c r="U1020" s="146"/>
      <c r="V1020" s="146"/>
      <c r="W1020" s="146"/>
      <c r="X1020" s="146"/>
      <c r="Y1020" s="146"/>
      <c r="Z1020" s="146">
        <v>0.26563086715494827</v>
      </c>
      <c r="AA1020" s="146"/>
      <c r="AB1020" s="146"/>
      <c r="AC1020" s="146"/>
      <c r="AD1020" s="146"/>
      <c r="AE1020" s="146"/>
      <c r="AF1020" s="146"/>
      <c r="AG1020" s="146"/>
      <c r="AH1020" s="146"/>
      <c r="AI1020" s="146"/>
      <c r="AJ1020" s="146"/>
      <c r="AK1020" s="146"/>
      <c r="AL1020" s="146">
        <v>3121.6566391320216</v>
      </c>
      <c r="AM1020" s="146">
        <v>7.3597609598924113E-2</v>
      </c>
      <c r="AN1020" s="146">
        <v>0.25586517372598211</v>
      </c>
      <c r="AO1020" s="146">
        <v>818.75928685094118</v>
      </c>
      <c r="AP1020" s="146">
        <v>767.03463722813217</v>
      </c>
      <c r="AQ1020" t="s">
        <v>327</v>
      </c>
      <c r="AR1020">
        <f t="shared" si="60"/>
        <v>14.644015877877388</v>
      </c>
      <c r="AS1020">
        <f t="shared" si="61"/>
        <v>3.9965468373646496</v>
      </c>
      <c r="AT1020">
        <v>0.3</v>
      </c>
      <c r="AU1020">
        <v>1</v>
      </c>
      <c r="AV1020">
        <v>0.4</v>
      </c>
      <c r="AW1020" s="146">
        <v>3</v>
      </c>
      <c r="AX1020" s="146">
        <v>0.49558704700181744</v>
      </c>
      <c r="AY1020">
        <v>0.27</v>
      </c>
      <c r="AZ1020" s="209">
        <v>767.03463722813217</v>
      </c>
      <c r="BA1020">
        <v>0.49558704700181744</v>
      </c>
      <c r="BB1020" s="249">
        <v>32.467599469501039</v>
      </c>
      <c r="BC1020" s="243">
        <v>197.24341906626347</v>
      </c>
      <c r="BD1020" s="209">
        <v>91479.363889813991</v>
      </c>
      <c r="BE1020" s="243">
        <v>44.945139292995876</v>
      </c>
      <c r="BF1020">
        <v>357321.59892439732</v>
      </c>
      <c r="BG1020" t="s">
        <v>388</v>
      </c>
      <c r="BH1020">
        <v>8.141002388776494E-6</v>
      </c>
      <c r="BI1020">
        <v>2114793.6388981398</v>
      </c>
      <c r="BJ1020">
        <f t="shared" si="59"/>
        <v>0.16896286822130352</v>
      </c>
    </row>
    <row r="1021" spans="1:62" x14ac:dyDescent="0.3">
      <c r="A1021">
        <v>-0.1</v>
      </c>
      <c r="B1021" s="146">
        <v>1000</v>
      </c>
      <c r="C1021" s="146">
        <v>25</v>
      </c>
      <c r="D1021" s="146">
        <v>1000</v>
      </c>
      <c r="E1021" s="252">
        <v>20.956996340477854</v>
      </c>
      <c r="F1021" s="146">
        <v>1.5095324140918251</v>
      </c>
      <c r="G1021" s="146">
        <v>22.314196122930298</v>
      </c>
      <c r="H1021" s="146">
        <v>17.688077340628833</v>
      </c>
      <c r="I1021" s="146"/>
      <c r="J1021" s="146">
        <v>0.5385579600955871</v>
      </c>
      <c r="K1021" s="146">
        <v>0.27</v>
      </c>
      <c r="L1021" s="146">
        <v>119.59508596763359</v>
      </c>
      <c r="M1021" s="146">
        <v>52.105742848968987</v>
      </c>
      <c r="N1021" s="146">
        <v>4.8907630901233823</v>
      </c>
      <c r="O1021" s="146"/>
      <c r="P1021" s="146"/>
      <c r="Q1021" s="146"/>
      <c r="R1021" s="146"/>
      <c r="S1021" s="146"/>
      <c r="T1021" s="146"/>
      <c r="U1021" s="146"/>
      <c r="V1021" s="146"/>
      <c r="W1021" s="146"/>
      <c r="X1021" s="146"/>
      <c r="Y1021" s="146"/>
      <c r="Z1021" s="146">
        <v>0.2765005486995179</v>
      </c>
      <c r="AA1021" s="146"/>
      <c r="AB1021" s="146"/>
      <c r="AC1021" s="146"/>
      <c r="AD1021" s="146"/>
      <c r="AE1021" s="146"/>
      <c r="AF1021" s="146"/>
      <c r="AG1021" s="146"/>
      <c r="AH1021" s="146"/>
      <c r="AI1021" s="146"/>
      <c r="AJ1021" s="146"/>
      <c r="AK1021" s="146"/>
      <c r="AL1021" s="146">
        <v>3311.1442706989478</v>
      </c>
      <c r="AM1021" s="146">
        <v>6.7648971344327929E-2</v>
      </c>
      <c r="AN1021" s="146">
        <v>0.25529689546517498</v>
      </c>
      <c r="AO1021" s="146">
        <v>917.91127619357758</v>
      </c>
      <c r="AP1021" s="146">
        <v>865.76272563725388</v>
      </c>
      <c r="AQ1021" t="s">
        <v>327</v>
      </c>
      <c r="AR1021">
        <f t="shared" si="60"/>
        <v>14.644015877877388</v>
      </c>
      <c r="AS1021">
        <f t="shared" si="61"/>
        <v>3.9965468373646496</v>
      </c>
      <c r="AT1021">
        <v>0.3</v>
      </c>
      <c r="AU1021">
        <v>1</v>
      </c>
      <c r="AV1021">
        <v>0.4</v>
      </c>
      <c r="AW1021" s="146">
        <v>3</v>
      </c>
      <c r="AX1021" s="146">
        <v>0.49171380246397589</v>
      </c>
      <c r="AY1021">
        <v>0.27</v>
      </c>
      <c r="AZ1021" s="209">
        <v>865.76272563725388</v>
      </c>
      <c r="BA1021">
        <v>0.49171380246397589</v>
      </c>
      <c r="BB1021" s="249">
        <v>31.807222528648602</v>
      </c>
      <c r="BC1021" s="243">
        <v>196.48806801698072</v>
      </c>
      <c r="BD1021" s="209">
        <v>90858.938729639311</v>
      </c>
      <c r="BE1021" s="243">
        <v>44.485362145632358</v>
      </c>
      <c r="BF1021">
        <v>359148.58533139445</v>
      </c>
      <c r="BG1021" t="s">
        <v>388</v>
      </c>
      <c r="BH1021">
        <v>8.2244737074680079E-6</v>
      </c>
      <c r="BI1021">
        <v>2108589.387296393</v>
      </c>
      <c r="BJ1021">
        <f t="shared" si="59"/>
        <v>0.17032646920028857</v>
      </c>
    </row>
    <row r="1022" spans="1:62" s="140" customFormat="1" x14ac:dyDescent="0.3">
      <c r="A1022" s="140">
        <v>-0.1</v>
      </c>
      <c r="B1022" s="140">
        <v>1000</v>
      </c>
      <c r="C1022" s="140">
        <v>25</v>
      </c>
      <c r="D1022" s="140">
        <v>1100</v>
      </c>
      <c r="E1022" s="253">
        <v>21.100003043808336</v>
      </c>
      <c r="F1022" s="140">
        <v>1.4031854435061955</v>
      </c>
      <c r="G1022" s="140">
        <v>22.401414528340105</v>
      </c>
      <c r="H1022" s="140">
        <v>17.653764541859484</v>
      </c>
      <c r="J1022" s="140">
        <v>0.53243689041762332</v>
      </c>
      <c r="K1022" s="140">
        <v>0.27</v>
      </c>
      <c r="L1022" s="140">
        <v>119.34726500732904</v>
      </c>
      <c r="M1022" s="140">
        <v>51.997771061284439</v>
      </c>
      <c r="N1022" s="140">
        <v>5.0554574730348438</v>
      </c>
      <c r="Z1022" s="140">
        <v>0.28636710663312998</v>
      </c>
      <c r="AL1022" s="140">
        <v>3492.4220356666328</v>
      </c>
      <c r="AM1022" s="140">
        <v>6.2638251782315843E-2</v>
      </c>
      <c r="AN1022" s="140">
        <v>0.25482594657599078</v>
      </c>
      <c r="AO1022" s="140">
        <v>1017.198372742957</v>
      </c>
      <c r="AP1022" s="140">
        <v>964.69329914921082</v>
      </c>
      <c r="AQ1022" t="s">
        <v>327</v>
      </c>
      <c r="AR1022">
        <f t="shared" si="60"/>
        <v>14.644015877877388</v>
      </c>
      <c r="AS1022">
        <f t="shared" si="61"/>
        <v>3.9965468373646496</v>
      </c>
      <c r="AT1022">
        <v>0.3</v>
      </c>
      <c r="AU1022" s="140">
        <v>1</v>
      </c>
      <c r="AV1022">
        <v>0.4</v>
      </c>
      <c r="AW1022" s="140">
        <v>3</v>
      </c>
      <c r="AX1022" s="140">
        <v>0.4881397203801075</v>
      </c>
      <c r="AY1022">
        <v>0.27</v>
      </c>
      <c r="AZ1022" s="209">
        <v>964.69329914921082</v>
      </c>
      <c r="BA1022" s="140">
        <v>0.4881397203801075</v>
      </c>
      <c r="BB1022" s="253">
        <v>31.240816941883196</v>
      </c>
      <c r="BC1022" s="245">
        <v>195.85262514147291</v>
      </c>
      <c r="BD1022" s="210">
        <v>90321.861476150792</v>
      </c>
      <c r="BE1022" s="245">
        <v>44.074879969995351</v>
      </c>
      <c r="BF1022" s="140">
        <v>360610.17159081571</v>
      </c>
      <c r="BG1022" t="s">
        <v>388</v>
      </c>
      <c r="BH1022" s="140">
        <v>8.2956058688051831E-6</v>
      </c>
      <c r="BI1022" s="140">
        <v>2103218.6147615081</v>
      </c>
      <c r="BJ1022">
        <f t="shared" si="59"/>
        <v>0.17145634270249488</v>
      </c>
    </row>
    <row r="1023" spans="1:62" x14ac:dyDescent="0.3">
      <c r="A1023">
        <v>-0.1</v>
      </c>
      <c r="B1023" s="146">
        <v>1000</v>
      </c>
      <c r="C1023" s="146">
        <v>25</v>
      </c>
      <c r="D1023" s="146">
        <v>400</v>
      </c>
      <c r="E1023" s="252">
        <v>19.01545149877618</v>
      </c>
      <c r="F1023" s="146">
        <v>2.8489385488249557</v>
      </c>
      <c r="G1023" s="146">
        <v>21.072609371972717</v>
      </c>
      <c r="H1023" s="146">
        <v>18.168856409791406</v>
      </c>
      <c r="I1023" s="146"/>
      <c r="J1023" s="146">
        <v>0.62719521642351039</v>
      </c>
      <c r="K1023" s="146">
        <v>0.27</v>
      </c>
      <c r="L1023" s="146">
        <v>123.20010630049639</v>
      </c>
      <c r="M1023" s="146">
        <v>53.676394861212124</v>
      </c>
      <c r="N1023" s="146">
        <v>3.1936841670098204</v>
      </c>
      <c r="O1023" s="146"/>
      <c r="P1023" s="146"/>
      <c r="Q1023" s="146"/>
      <c r="R1023" s="146"/>
      <c r="S1023" s="146"/>
      <c r="T1023" s="146"/>
      <c r="U1023" s="146"/>
      <c r="V1023" s="146"/>
      <c r="W1023" s="146"/>
      <c r="X1023" s="146"/>
      <c r="Y1023" s="146"/>
      <c r="Z1023" s="146">
        <v>0.17577794083334311</v>
      </c>
      <c r="AA1023" s="146"/>
      <c r="AB1023" s="146"/>
      <c r="AC1023" s="146"/>
      <c r="AD1023" s="146"/>
      <c r="AE1023" s="146"/>
      <c r="AF1023" s="146"/>
      <c r="AG1023" s="146"/>
      <c r="AH1023" s="146"/>
      <c r="AI1023" s="146"/>
      <c r="AJ1023" s="146"/>
      <c r="AK1023" s="146"/>
      <c r="AL1023" s="146">
        <v>1876.8071829997928</v>
      </c>
      <c r="AM1023" s="146">
        <v>0.13519628720561488</v>
      </c>
      <c r="AN1023" s="146">
        <v>0.26149697402523731</v>
      </c>
      <c r="AO1023" s="146">
        <v>327.28232680451214</v>
      </c>
      <c r="AP1023" s="146">
        <v>279.96509949488262</v>
      </c>
      <c r="AQ1023" t="s">
        <v>327</v>
      </c>
      <c r="AR1023">
        <f t="shared" si="60"/>
        <v>14.644015877877388</v>
      </c>
      <c r="AS1023">
        <f t="shared" si="61"/>
        <v>3.9965468373646496</v>
      </c>
      <c r="AT1023">
        <v>0.3</v>
      </c>
      <c r="AU1023">
        <v>1</v>
      </c>
      <c r="AV1023">
        <v>0.4</v>
      </c>
      <c r="AW1023" s="146">
        <v>3</v>
      </c>
      <c r="AX1023" s="146">
        <v>0.54766923372536647</v>
      </c>
      <c r="AY1023">
        <v>0.27</v>
      </c>
      <c r="AZ1023" s="209">
        <v>279.96509949488262</v>
      </c>
      <c r="BA1023">
        <v>0.54766923372536647</v>
      </c>
      <c r="BB1023" s="249">
        <v>38.342573895808528</v>
      </c>
      <c r="BC1023" s="243">
        <v>205.95142393762399</v>
      </c>
      <c r="BD1023" s="209">
        <v>96589.37026492384</v>
      </c>
      <c r="BE1023" s="243">
        <v>47.124015576000815</v>
      </c>
      <c r="BF1023">
        <v>333234.63845762331</v>
      </c>
      <c r="BG1023" t="s">
        <v>389</v>
      </c>
      <c r="BH1023">
        <v>7.3466080275318059E-6</v>
      </c>
      <c r="BI1023">
        <v>2165893.7026492385</v>
      </c>
      <c r="BJ1023">
        <f t="shared" si="59"/>
        <v>0.15385549071499835</v>
      </c>
    </row>
    <row r="1024" spans="1:62" x14ac:dyDescent="0.3">
      <c r="A1024">
        <v>-0.1</v>
      </c>
      <c r="B1024" s="146">
        <v>1000</v>
      </c>
      <c r="C1024" s="146">
        <v>25</v>
      </c>
      <c r="D1024" s="146">
        <v>400</v>
      </c>
      <c r="E1024" s="252">
        <v>18.354263314039624</v>
      </c>
      <c r="F1024" s="146">
        <v>2.7349464579434377</v>
      </c>
      <c r="G1024" s="146">
        <v>20.321922269894557</v>
      </c>
      <c r="H1024" s="146">
        <v>17.557622426888816</v>
      </c>
      <c r="I1024" s="146"/>
      <c r="J1024" s="146">
        <v>0.6317753366319574</v>
      </c>
      <c r="K1024" s="146">
        <v>0.27</v>
      </c>
      <c r="L1024" s="146">
        <v>119.09831072556044</v>
      </c>
      <c r="M1024" s="146">
        <v>51.889305502837537</v>
      </c>
      <c r="N1024" s="146">
        <v>3.093640452267497</v>
      </c>
      <c r="O1024" s="146"/>
      <c r="P1024" s="146"/>
      <c r="Q1024" s="146"/>
      <c r="R1024" s="146"/>
      <c r="S1024" s="146"/>
      <c r="T1024" s="146"/>
      <c r="U1024" s="146"/>
      <c r="V1024" s="146"/>
      <c r="W1024" s="146"/>
      <c r="X1024" s="146"/>
      <c r="Y1024" s="146"/>
      <c r="Z1024" s="146">
        <v>0.17619928126086748</v>
      </c>
      <c r="AA1024" s="146"/>
      <c r="AB1024" s="146"/>
      <c r="AC1024" s="146"/>
      <c r="AD1024" s="146"/>
      <c r="AE1024" s="146"/>
      <c r="AF1024" s="146"/>
      <c r="AG1024" s="146"/>
      <c r="AH1024" s="146"/>
      <c r="AI1024" s="146"/>
      <c r="AJ1024" s="146"/>
      <c r="AK1024" s="146"/>
      <c r="AL1024" s="146">
        <v>1831.3710793489815</v>
      </c>
      <c r="AM1024" s="146">
        <v>0.13458109039197838</v>
      </c>
      <c r="AN1024" s="146">
        <v>0.26304101940945546</v>
      </c>
      <c r="AO1024" s="146">
        <v>330.2228095251221</v>
      </c>
      <c r="AP1024" s="146">
        <v>284.55085321523188</v>
      </c>
      <c r="AQ1024" t="s">
        <v>327</v>
      </c>
      <c r="AR1024">
        <f t="shared" si="60"/>
        <v>14.644015877877388</v>
      </c>
      <c r="AS1024">
        <f t="shared" si="61"/>
        <v>3.9965468373646496</v>
      </c>
      <c r="AT1024">
        <v>0.3</v>
      </c>
      <c r="AU1024">
        <v>1</v>
      </c>
      <c r="AV1024">
        <v>0.4</v>
      </c>
      <c r="AW1024" s="146">
        <v>2.5</v>
      </c>
      <c r="AX1024" s="146">
        <v>0.55168972028321017</v>
      </c>
      <c r="AY1024">
        <v>0.27</v>
      </c>
      <c r="AZ1024" s="209">
        <v>284.55085321523188</v>
      </c>
      <c r="BA1024">
        <v>0.55168972028321017</v>
      </c>
      <c r="BB1024" s="249">
        <v>36.915203407298314</v>
      </c>
      <c r="BC1024" s="243">
        <v>195.21616607566261</v>
      </c>
      <c r="BD1024" s="209">
        <v>90573.998925801367</v>
      </c>
      <c r="BE1024" s="243">
        <v>44.858124677623387</v>
      </c>
      <c r="BF1024">
        <v>378839.85648738866</v>
      </c>
      <c r="BG1024" t="s">
        <v>389</v>
      </c>
      <c r="BH1024">
        <v>7.116114799908444E-6</v>
      </c>
      <c r="BI1024">
        <v>2105739.9892580137</v>
      </c>
      <c r="BJ1024">
        <f t="shared" si="59"/>
        <v>0.17990818354590782</v>
      </c>
    </row>
    <row r="1025" spans="1:62" x14ac:dyDescent="0.3">
      <c r="A1025">
        <v>-0.1</v>
      </c>
      <c r="B1025" s="146">
        <v>1000</v>
      </c>
      <c r="C1025" s="146">
        <v>25</v>
      </c>
      <c r="D1025" s="146">
        <v>400</v>
      </c>
      <c r="E1025" s="252">
        <v>16.038797374804577</v>
      </c>
      <c r="F1025" s="146">
        <v>2.3656106648558528</v>
      </c>
      <c r="G1025" s="146">
        <v>17.717843874296001</v>
      </c>
      <c r="H1025" s="146">
        <v>15.344958577835797</v>
      </c>
      <c r="I1025" s="146"/>
      <c r="J1025" s="146">
        <v>0.63862033749717173</v>
      </c>
      <c r="K1025" s="146">
        <v>0.27</v>
      </c>
      <c r="L1025" s="146">
        <v>104.21949021944431</v>
      </c>
      <c r="M1025" s="146">
        <v>45.406831838347102</v>
      </c>
      <c r="N1025" s="146">
        <v>2.7771494441298472</v>
      </c>
      <c r="O1025" s="146"/>
      <c r="P1025" s="146"/>
      <c r="Q1025" s="146"/>
      <c r="R1025" s="146"/>
      <c r="S1025" s="146"/>
      <c r="T1025" s="146"/>
      <c r="U1025" s="146"/>
      <c r="V1025" s="146"/>
      <c r="W1025" s="146"/>
      <c r="X1025" s="146"/>
      <c r="Y1025" s="146"/>
      <c r="Z1025" s="146">
        <v>0.18098122781127293</v>
      </c>
      <c r="AA1025" s="146"/>
      <c r="AB1025" s="146"/>
      <c r="AC1025" s="146"/>
      <c r="AD1025" s="146"/>
      <c r="AE1025" s="146"/>
      <c r="AF1025" s="146"/>
      <c r="AG1025" s="146"/>
      <c r="AH1025" s="146"/>
      <c r="AI1025" s="146"/>
      <c r="AJ1025" s="146"/>
      <c r="AK1025" s="146"/>
      <c r="AL1025" s="146">
        <v>1688.3478712454705</v>
      </c>
      <c r="AM1025" s="146">
        <v>0.13351571904794468</v>
      </c>
      <c r="AN1025" s="146">
        <v>0.26591017954787649</v>
      </c>
      <c r="AO1025" s="146">
        <v>339.68340210940727</v>
      </c>
      <c r="AP1025" s="146">
        <v>299.77314918054901</v>
      </c>
      <c r="AQ1025" t="s">
        <v>327</v>
      </c>
      <c r="AR1025">
        <f t="shared" si="60"/>
        <v>14.644015877877388</v>
      </c>
      <c r="AS1025">
        <f t="shared" si="61"/>
        <v>3.9965468373646496</v>
      </c>
      <c r="AT1025">
        <v>0.3</v>
      </c>
      <c r="AU1025">
        <v>1</v>
      </c>
      <c r="AV1025">
        <v>0.4</v>
      </c>
      <c r="AW1025" s="146">
        <v>1.5</v>
      </c>
      <c r="AX1025" s="146">
        <v>0.55674519478418449</v>
      </c>
      <c r="AY1025">
        <v>0.27</v>
      </c>
      <c r="AZ1025" s="209">
        <v>299.77314918054901</v>
      </c>
      <c r="BA1025">
        <v>0.55674519478418449</v>
      </c>
      <c r="BB1025" s="249">
        <v>32.187886804669958</v>
      </c>
      <c r="BC1025" s="243">
        <v>160.22978836045124</v>
      </c>
      <c r="BD1025" s="209">
        <v>71976.752964620566</v>
      </c>
      <c r="BE1025" s="243">
        <v>38.266678464947773</v>
      </c>
      <c r="BF1025">
        <v>500602.93187342101</v>
      </c>
      <c r="BG1025" t="s">
        <v>389</v>
      </c>
      <c r="BH1025">
        <v>6.3300675762421844E-6</v>
      </c>
      <c r="BI1025">
        <v>1919767.5296462057</v>
      </c>
      <c r="BJ1025">
        <f t="shared" si="59"/>
        <v>0.26076226633840255</v>
      </c>
    </row>
    <row r="1026" spans="1:62" x14ac:dyDescent="0.3">
      <c r="A1026">
        <v>-0.1</v>
      </c>
      <c r="B1026" s="146">
        <v>1000</v>
      </c>
      <c r="C1026" s="146">
        <v>25</v>
      </c>
      <c r="D1026" s="146">
        <v>400</v>
      </c>
      <c r="E1026" s="252">
        <v>13.915978988597164</v>
      </c>
      <c r="F1026" s="146">
        <v>2.0511072254722666</v>
      </c>
      <c r="G1026" s="146">
        <v>15.353831112336762</v>
      </c>
      <c r="H1026" s="146">
        <v>13.265369546401148</v>
      </c>
      <c r="I1026" s="146"/>
      <c r="J1026" s="146">
        <v>0.63527226081165933</v>
      </c>
      <c r="K1026" s="146">
        <v>0.27</v>
      </c>
      <c r="L1026" s="146">
        <v>90.193873081775905</v>
      </c>
      <c r="M1026" s="146">
        <v>39.296085782516478</v>
      </c>
      <c r="N1026" s="146">
        <v>2.5161331264173175</v>
      </c>
      <c r="O1026" s="146"/>
      <c r="P1026" s="146"/>
      <c r="Q1026" s="146"/>
      <c r="R1026" s="146"/>
      <c r="S1026" s="146"/>
      <c r="T1026" s="146"/>
      <c r="U1026" s="146"/>
      <c r="V1026" s="146"/>
      <c r="W1026" s="146"/>
      <c r="X1026" s="146"/>
      <c r="Y1026" s="146"/>
      <c r="Z1026" s="146">
        <v>0.18967682111049339</v>
      </c>
      <c r="AA1026" s="146"/>
      <c r="AB1026" s="146"/>
      <c r="AC1026" s="146"/>
      <c r="AD1026" s="146"/>
      <c r="AE1026" s="146"/>
      <c r="AF1026" s="146"/>
      <c r="AG1026" s="146"/>
      <c r="AH1026" s="146"/>
      <c r="AI1026" s="146"/>
      <c r="AJ1026" s="146"/>
      <c r="AK1026" s="146"/>
      <c r="AL1026" s="146">
        <v>1571.1743365653494</v>
      </c>
      <c r="AM1026" s="146">
        <v>0.13358927882332947</v>
      </c>
      <c r="AN1026" s="146">
        <v>0.2662616082464343</v>
      </c>
      <c r="AO1026" s="146">
        <v>347.73569092350164</v>
      </c>
      <c r="AP1026" s="146">
        <v>313.10777335669002</v>
      </c>
      <c r="AQ1026" t="s">
        <v>327</v>
      </c>
      <c r="AR1026">
        <f t="shared" si="60"/>
        <v>14.644015877877388</v>
      </c>
      <c r="AS1026">
        <f t="shared" si="61"/>
        <v>3.9965468373646496</v>
      </c>
      <c r="AT1026">
        <v>0.3</v>
      </c>
      <c r="AU1026">
        <v>1</v>
      </c>
      <c r="AV1026">
        <v>0.4</v>
      </c>
      <c r="AW1026" s="146">
        <v>1</v>
      </c>
      <c r="AX1026" s="146">
        <v>0.55179776475203046</v>
      </c>
      <c r="AY1026">
        <v>0.27</v>
      </c>
      <c r="AZ1026" s="209">
        <v>313.10777335669002</v>
      </c>
      <c r="BA1026">
        <v>0.55179776475203046</v>
      </c>
      <c r="BB1026" s="249">
        <v>28.059783176979785</v>
      </c>
      <c r="BC1026" s="243">
        <v>131.68129363518415</v>
      </c>
      <c r="BD1026" s="209">
        <v>57598.208819229912</v>
      </c>
      <c r="BE1026" s="243">
        <v>33.238110766201054</v>
      </c>
      <c r="BF1026">
        <v>575599.86218247784</v>
      </c>
      <c r="BG1026" t="s">
        <v>389</v>
      </c>
      <c r="BH1026">
        <v>5.6034829351380514E-6</v>
      </c>
      <c r="BI1026">
        <v>1775982.088192299</v>
      </c>
      <c r="BJ1026">
        <f t="shared" si="59"/>
        <v>0.32410229022543685</v>
      </c>
    </row>
    <row r="1027" spans="1:62" x14ac:dyDescent="0.3">
      <c r="A1027">
        <v>-0.1</v>
      </c>
      <c r="B1027" s="146">
        <v>1000</v>
      </c>
      <c r="C1027" s="146">
        <v>25</v>
      </c>
      <c r="D1027" s="146">
        <v>400</v>
      </c>
      <c r="E1027" s="252">
        <v>12.727657072384986</v>
      </c>
      <c r="F1027" s="146">
        <v>1.8795168147377495</v>
      </c>
      <c r="G1027" s="146">
        <v>14.03670072132163</v>
      </c>
      <c r="H1027" s="146">
        <v>12.115103756652447</v>
      </c>
      <c r="I1027" s="146"/>
      <c r="J1027" s="146">
        <v>0.633874504688408</v>
      </c>
      <c r="K1027" s="146">
        <v>0.27</v>
      </c>
      <c r="L1027" s="146">
        <v>82.419546342698908</v>
      </c>
      <c r="M1027" s="146">
        <v>35.90893097918417</v>
      </c>
      <c r="N1027" s="146">
        <v>2.3623488293406218</v>
      </c>
      <c r="O1027" s="146"/>
      <c r="P1027" s="146"/>
      <c r="Q1027" s="146"/>
      <c r="R1027" s="146"/>
      <c r="S1027" s="146"/>
      <c r="T1027" s="146"/>
      <c r="U1027" s="146"/>
      <c r="V1027" s="146"/>
      <c r="W1027" s="146"/>
      <c r="X1027" s="146"/>
      <c r="Y1027" s="146"/>
      <c r="Z1027" s="146">
        <v>0.19499204272546553</v>
      </c>
      <c r="AA1027" s="146"/>
      <c r="AB1027" s="146"/>
      <c r="AC1027" s="146"/>
      <c r="AD1027" s="146"/>
      <c r="AE1027" s="146"/>
      <c r="AF1027" s="146"/>
      <c r="AG1027" s="146"/>
      <c r="AH1027" s="146"/>
      <c r="AI1027" s="146"/>
      <c r="AJ1027" s="146"/>
      <c r="AK1027" s="146"/>
      <c r="AL1027" s="146">
        <v>1501.7392374447893</v>
      </c>
      <c r="AM1027" s="146">
        <v>0.13390018438469514</v>
      </c>
      <c r="AN1027" s="146">
        <v>0.26646908210667652</v>
      </c>
      <c r="AO1027" s="146">
        <v>352.23589554269688</v>
      </c>
      <c r="AP1027" s="146">
        <v>320.56482277447788</v>
      </c>
      <c r="AQ1027" t="s">
        <v>327</v>
      </c>
      <c r="AR1027">
        <f t="shared" si="60"/>
        <v>14.644015877877388</v>
      </c>
      <c r="AS1027">
        <f t="shared" si="61"/>
        <v>3.9965468373646496</v>
      </c>
      <c r="AT1027">
        <v>0.3</v>
      </c>
      <c r="AU1027">
        <v>1</v>
      </c>
      <c r="AV1027">
        <v>0.4</v>
      </c>
      <c r="AW1027" s="146">
        <v>0.8</v>
      </c>
      <c r="AX1027" s="146">
        <v>0.54927440697360341</v>
      </c>
      <c r="AY1027">
        <v>0.27</v>
      </c>
      <c r="AZ1027" s="209">
        <v>320.56482277447788</v>
      </c>
      <c r="BA1027">
        <v>0.54927440697360341</v>
      </c>
      <c r="BB1027" s="249">
        <v>25.764996049666188</v>
      </c>
      <c r="BC1027" s="243">
        <v>117.28025080317516</v>
      </c>
      <c r="BD1027" s="209">
        <v>50461.323492621203</v>
      </c>
      <c r="BE1027" s="243">
        <v>30.433845823932479</v>
      </c>
      <c r="BF1027">
        <v>605866.80920928298</v>
      </c>
      <c r="BG1027" t="s">
        <v>389</v>
      </c>
      <c r="BH1027">
        <v>5.1862915889168812E-6</v>
      </c>
      <c r="BI1027">
        <v>1704613.2349262121</v>
      </c>
      <c r="BJ1027">
        <f t="shared" si="59"/>
        <v>0.35542772800042777</v>
      </c>
    </row>
    <row r="1028" spans="1:62" x14ac:dyDescent="0.3">
      <c r="A1028">
        <v>-0.1</v>
      </c>
      <c r="B1028" s="146">
        <v>1000</v>
      </c>
      <c r="C1028" s="146">
        <v>25</v>
      </c>
      <c r="D1028" s="146">
        <v>400</v>
      </c>
      <c r="E1028" s="252">
        <v>11.22814499963696</v>
      </c>
      <c r="F1028" s="146">
        <v>1.6648570005530265</v>
      </c>
      <c r="G1028" s="146">
        <v>12.378832062055642</v>
      </c>
      <c r="H1028" s="146">
        <v>10.674040015958175</v>
      </c>
      <c r="I1028" s="146"/>
      <c r="J1028" s="146">
        <v>0.63050300783264179</v>
      </c>
      <c r="K1028" s="146">
        <v>0.27</v>
      </c>
      <c r="L1028" s="146">
        <v>72.664705864176696</v>
      </c>
      <c r="M1028" s="146">
        <v>31.658896745803123</v>
      </c>
      <c r="N1028" s="146">
        <v>2.1741324850676946</v>
      </c>
      <c r="O1028" s="146"/>
      <c r="P1028" s="146"/>
      <c r="Q1028" s="146"/>
      <c r="R1028" s="146"/>
      <c r="S1028" s="146"/>
      <c r="T1028" s="146"/>
      <c r="U1028" s="146"/>
      <c r="V1028" s="146"/>
      <c r="W1028" s="146"/>
      <c r="X1028" s="146"/>
      <c r="Y1028" s="146"/>
      <c r="Z1028" s="146">
        <v>0.20368412351998566</v>
      </c>
      <c r="AA1028" s="146"/>
      <c r="AB1028" s="146"/>
      <c r="AC1028" s="146"/>
      <c r="AD1028" s="146"/>
      <c r="AE1028" s="146"/>
      <c r="AF1028" s="146"/>
      <c r="AG1028" s="146"/>
      <c r="AH1028" s="146"/>
      <c r="AI1028" s="146"/>
      <c r="AJ1028" s="146"/>
      <c r="AK1028" s="146"/>
      <c r="AL1028" s="146">
        <v>1417.0561249465732</v>
      </c>
      <c r="AM1028" s="146">
        <v>0.13449225195131687</v>
      </c>
      <c r="AN1028" s="146">
        <v>0.26688962587730852</v>
      </c>
      <c r="AO1028" s="146">
        <v>357.92963116221449</v>
      </c>
      <c r="AP1028" s="146">
        <v>329.98988241272582</v>
      </c>
      <c r="AQ1028" t="s">
        <v>327</v>
      </c>
      <c r="AR1028">
        <f t="shared" si="60"/>
        <v>14.644015877877388</v>
      </c>
      <c r="AS1028">
        <f t="shared" si="61"/>
        <v>3.9965468373646496</v>
      </c>
      <c r="AT1028">
        <v>0.3</v>
      </c>
      <c r="AU1028">
        <v>1</v>
      </c>
      <c r="AV1028">
        <v>0.4</v>
      </c>
      <c r="AW1028" s="146">
        <v>0.6</v>
      </c>
      <c r="AX1028" s="146">
        <v>0.54449560108074102</v>
      </c>
      <c r="AY1028">
        <v>0.27</v>
      </c>
      <c r="AZ1028" s="209">
        <v>329.98988241272582</v>
      </c>
      <c r="BA1028">
        <v>0.54449560108074102</v>
      </c>
      <c r="BB1028" s="249">
        <v>22.875016231615611</v>
      </c>
      <c r="BC1028" s="243">
        <v>100.37677846384319</v>
      </c>
      <c r="BD1028" s="209">
        <v>42223.422752048209</v>
      </c>
      <c r="BE1028" s="243">
        <v>26.926646393024217</v>
      </c>
      <c r="BF1028">
        <v>632287.85014760331</v>
      </c>
      <c r="BG1028" t="s">
        <v>389</v>
      </c>
      <c r="BH1028">
        <v>4.6493991008254518E-6</v>
      </c>
      <c r="BI1028">
        <v>1622234.2275204821</v>
      </c>
      <c r="BJ1028">
        <f t="shared" ref="BJ1028:BJ1091" si="62">BF1028/BI1028</f>
        <v>0.38976359851192949</v>
      </c>
    </row>
    <row r="1029" spans="1:62" x14ac:dyDescent="0.3">
      <c r="A1029">
        <v>-0.1</v>
      </c>
      <c r="B1029" s="146">
        <v>1000</v>
      </c>
      <c r="C1029" s="146">
        <v>25</v>
      </c>
      <c r="D1029" s="146">
        <v>400</v>
      </c>
      <c r="E1029" s="252">
        <v>9.2905896094423088</v>
      </c>
      <c r="F1029" s="146">
        <v>1.399712548091121</v>
      </c>
      <c r="G1029" s="146">
        <v>10.247175472495783</v>
      </c>
      <c r="H1029" s="146">
        <v>8.8240261827746505</v>
      </c>
      <c r="I1029" s="146"/>
      <c r="J1029" s="146">
        <v>0.63121312458276546</v>
      </c>
      <c r="K1029" s="146">
        <v>0.27</v>
      </c>
      <c r="L1029" s="146">
        <v>60.119224080683473</v>
      </c>
      <c r="M1029" s="146">
        <v>26.193022939716869</v>
      </c>
      <c r="N1029" s="146">
        <v>1.8802158970425626</v>
      </c>
      <c r="O1029" s="146"/>
      <c r="P1029" s="146"/>
      <c r="Q1029" s="146"/>
      <c r="R1029" s="146"/>
      <c r="S1029" s="146"/>
      <c r="T1029" s="146"/>
      <c r="U1029" s="146"/>
      <c r="V1029" s="146"/>
      <c r="W1029" s="146"/>
      <c r="X1029" s="146"/>
      <c r="Y1029" s="146"/>
      <c r="Z1029" s="146">
        <v>0.21307913849042348</v>
      </c>
      <c r="AA1029" s="146"/>
      <c r="AB1029" s="146"/>
      <c r="AC1029" s="146"/>
      <c r="AD1029" s="146"/>
      <c r="AE1029" s="146"/>
      <c r="AF1029" s="146"/>
      <c r="AG1029" s="146"/>
      <c r="AH1029" s="146"/>
      <c r="AI1029" s="146"/>
      <c r="AJ1029" s="146"/>
      <c r="AK1029" s="146"/>
      <c r="AL1029" s="146">
        <v>1282.1281816315502</v>
      </c>
      <c r="AM1029" s="146">
        <v>0.13659496237261268</v>
      </c>
      <c r="AN1029" s="146">
        <v>0.26650056969843622</v>
      </c>
      <c r="AO1029" s="146">
        <v>365.13857505087043</v>
      </c>
      <c r="AP1029" s="146">
        <v>342.02023311026863</v>
      </c>
      <c r="AQ1029" t="s">
        <v>327</v>
      </c>
      <c r="AR1029">
        <f t="shared" si="60"/>
        <v>14.644015877877388</v>
      </c>
      <c r="AS1029">
        <f t="shared" si="61"/>
        <v>3.9965468373646496</v>
      </c>
      <c r="AT1029">
        <v>0.3</v>
      </c>
      <c r="AU1029">
        <v>1</v>
      </c>
      <c r="AV1029">
        <v>0.4</v>
      </c>
      <c r="AW1029" s="146">
        <v>0.4</v>
      </c>
      <c r="AX1029" s="146">
        <v>0.54214376123648078</v>
      </c>
      <c r="AY1029">
        <v>0.27</v>
      </c>
      <c r="AZ1029" s="209">
        <v>342.02023311026863</v>
      </c>
      <c r="BA1029">
        <v>0.54214376123648078</v>
      </c>
      <c r="BB1029" s="249">
        <v>19.1822269212877</v>
      </c>
      <c r="BC1029" s="243">
        <v>80.227872407279222</v>
      </c>
      <c r="BD1029" s="209">
        <v>32692.559893624893</v>
      </c>
      <c r="BE1029" s="243">
        <v>22.463963195886635</v>
      </c>
      <c r="BF1029">
        <v>654127.60485277674</v>
      </c>
      <c r="BG1029" t="s">
        <v>389</v>
      </c>
      <c r="BH1029">
        <v>3.9197207133238588E-6</v>
      </c>
      <c r="BI1029">
        <v>1526925.598936249</v>
      </c>
      <c r="BJ1029">
        <f t="shared" si="62"/>
        <v>0.42839520491927213</v>
      </c>
    </row>
    <row r="1030" spans="1:62" x14ac:dyDescent="0.3">
      <c r="A1030">
        <v>-0.1</v>
      </c>
      <c r="B1030" s="146">
        <v>1000</v>
      </c>
      <c r="C1030" s="146">
        <v>25</v>
      </c>
      <c r="D1030" s="146">
        <v>400</v>
      </c>
      <c r="E1030" s="252">
        <v>8.0541969645278471</v>
      </c>
      <c r="F1030" s="146">
        <v>1.2300111817419088</v>
      </c>
      <c r="G1030" s="146">
        <v>8.8888241160522732</v>
      </c>
      <c r="H1030" s="146">
        <v>7.6516536056648334</v>
      </c>
      <c r="I1030" s="146"/>
      <c r="J1030" s="146">
        <v>0.62970217443240939</v>
      </c>
      <c r="K1030" s="146">
        <v>0.27</v>
      </c>
      <c r="L1030" s="146">
        <v>52.156911871671518</v>
      </c>
      <c r="M1030" s="146">
        <v>22.723965753217882</v>
      </c>
      <c r="N1030" s="146">
        <v>1.698511817406378</v>
      </c>
      <c r="O1030" s="146"/>
      <c r="P1030" s="146"/>
      <c r="Q1030" s="146"/>
      <c r="R1030" s="146"/>
      <c r="S1030" s="146"/>
      <c r="T1030" s="146"/>
      <c r="U1030" s="146"/>
      <c r="V1030" s="146"/>
      <c r="W1030" s="146"/>
      <c r="X1030" s="146"/>
      <c r="Y1030" s="146"/>
      <c r="Z1030" s="146">
        <v>0.22197970594864619</v>
      </c>
      <c r="AA1030" s="146"/>
      <c r="AB1030" s="146"/>
      <c r="AC1030" s="146"/>
      <c r="AD1030" s="146"/>
      <c r="AE1030" s="146"/>
      <c r="AF1030" s="146"/>
      <c r="AG1030" s="146"/>
      <c r="AH1030" s="146"/>
      <c r="AI1030" s="146"/>
      <c r="AJ1030" s="146"/>
      <c r="AK1030" s="146"/>
      <c r="AL1030" s="146">
        <v>1198.9842514773613</v>
      </c>
      <c r="AM1030" s="146">
        <v>0.1383772662933716</v>
      </c>
      <c r="AN1030" s="146">
        <v>0.26643109811337345</v>
      </c>
      <c r="AO1030" s="146">
        <v>369.77005679306785</v>
      </c>
      <c r="AP1030" s="146">
        <v>349.72834277417223</v>
      </c>
      <c r="AQ1030" t="s">
        <v>327</v>
      </c>
      <c r="AR1030">
        <f t="shared" si="60"/>
        <v>14.644015877877388</v>
      </c>
      <c r="AS1030">
        <f t="shared" si="61"/>
        <v>3.9965468373646496</v>
      </c>
      <c r="AT1030">
        <v>0.3</v>
      </c>
      <c r="AU1030">
        <v>1</v>
      </c>
      <c r="AV1030">
        <v>0.4</v>
      </c>
      <c r="AW1030" s="146">
        <v>0.3</v>
      </c>
      <c r="AX1030" s="146">
        <v>0.53868809380875959</v>
      </c>
      <c r="AY1030">
        <v>0.27</v>
      </c>
      <c r="AZ1030" s="209">
        <v>349.72834277417223</v>
      </c>
      <c r="BA1030">
        <v>0.53868809380875959</v>
      </c>
      <c r="BB1030" s="249">
        <v>16.813728716033623</v>
      </c>
      <c r="BC1030" s="243">
        <v>68.219019783760857</v>
      </c>
      <c r="BD1030" s="209">
        <v>27199.240555040022</v>
      </c>
      <c r="BE1030" s="243">
        <v>19.629604477627783</v>
      </c>
      <c r="BF1030">
        <v>659339.60006272909</v>
      </c>
      <c r="BG1030" t="s">
        <v>389</v>
      </c>
      <c r="BH1030">
        <v>3.4345839741362912E-6</v>
      </c>
      <c r="BI1030">
        <v>1471992.4055504003</v>
      </c>
      <c r="BJ1030">
        <f t="shared" si="62"/>
        <v>0.44792323491383235</v>
      </c>
    </row>
    <row r="1031" spans="1:62" x14ac:dyDescent="0.3">
      <c r="A1031">
        <v>-0.1</v>
      </c>
      <c r="B1031" s="146">
        <v>1000</v>
      </c>
      <c r="C1031" s="146">
        <v>25</v>
      </c>
      <c r="D1031" s="146">
        <v>400</v>
      </c>
      <c r="E1031" s="252">
        <v>6.5025355079564058</v>
      </c>
      <c r="F1031" s="146">
        <v>1.0182300268874431</v>
      </c>
      <c r="G1031" s="146">
        <v>7.1866387975666175</v>
      </c>
      <c r="H1031" s="146">
        <v>6.1911894941676158</v>
      </c>
      <c r="I1031" s="146"/>
      <c r="J1031" s="146">
        <v>0.62985768791246999</v>
      </c>
      <c r="K1031" s="146">
        <v>0.27</v>
      </c>
      <c r="L1031" s="146">
        <v>42.225928000102748</v>
      </c>
      <c r="M1031" s="146">
        <v>18.39718854776261</v>
      </c>
      <c r="N1031" s="146">
        <v>1.4512606756413087</v>
      </c>
      <c r="O1031" s="146"/>
      <c r="P1031" s="146"/>
      <c r="Q1031" s="146"/>
      <c r="R1031" s="146"/>
      <c r="S1031" s="146"/>
      <c r="T1031" s="146"/>
      <c r="U1031" s="146"/>
      <c r="V1031" s="146"/>
      <c r="W1031" s="146"/>
      <c r="X1031" s="146"/>
      <c r="Y1031" s="146"/>
      <c r="Z1031" s="146">
        <v>0.23440740701095689</v>
      </c>
      <c r="AA1031" s="146"/>
      <c r="AB1031" s="146"/>
      <c r="AC1031" s="146"/>
      <c r="AD1031" s="146"/>
      <c r="AE1031" s="146"/>
      <c r="AF1031" s="146"/>
      <c r="AG1031" s="146"/>
      <c r="AH1031" s="146"/>
      <c r="AI1031" s="146"/>
      <c r="AJ1031" s="146"/>
      <c r="AK1031" s="146"/>
      <c r="AL1031" s="146">
        <v>1085.0452040923628</v>
      </c>
      <c r="AM1031" s="146">
        <v>0.14168376282278358</v>
      </c>
      <c r="AN1031" s="146">
        <v>0.26644816857395615</v>
      </c>
      <c r="AO1031" s="146">
        <v>375.59549557890267</v>
      </c>
      <c r="AP1031" s="146">
        <v>359.41486627170826</v>
      </c>
      <c r="AQ1031" t="s">
        <v>327</v>
      </c>
      <c r="AR1031">
        <f t="shared" si="60"/>
        <v>14.644015877877388</v>
      </c>
      <c r="AS1031">
        <f t="shared" si="61"/>
        <v>3.9965468373646496</v>
      </c>
      <c r="AT1031">
        <v>0.3</v>
      </c>
      <c r="AU1031">
        <v>1</v>
      </c>
      <c r="AV1031">
        <v>0.4</v>
      </c>
      <c r="AW1031" s="146">
        <v>0.2</v>
      </c>
      <c r="AX1031" s="146">
        <v>0.53589456621558451</v>
      </c>
      <c r="AY1031">
        <v>0.27</v>
      </c>
      <c r="AZ1031" s="209">
        <v>359.41486627170826</v>
      </c>
      <c r="BA1031">
        <v>0.53589456621558451</v>
      </c>
      <c r="BB1031" s="249">
        <v>13.826182418314641</v>
      </c>
      <c r="BC1031" s="243">
        <v>53.958850018028684</v>
      </c>
      <c r="BD1031" s="209">
        <v>20879.136944833812</v>
      </c>
      <c r="BE1031" s="243">
        <v>16.036460448567606</v>
      </c>
      <c r="BF1031">
        <v>650570.16890779638</v>
      </c>
      <c r="BG1031" t="s">
        <v>389</v>
      </c>
      <c r="BH1031">
        <v>2.8101252161617409E-6</v>
      </c>
      <c r="BI1031">
        <v>1408791.3694483382</v>
      </c>
      <c r="BJ1031">
        <f t="shared" si="62"/>
        <v>0.46179312495543612</v>
      </c>
    </row>
    <row r="1032" spans="1:62" s="140" customFormat="1" x14ac:dyDescent="0.3">
      <c r="A1032" s="140">
        <v>-0.1</v>
      </c>
      <c r="B1032" s="140">
        <v>1000</v>
      </c>
      <c r="C1032" s="140">
        <v>25</v>
      </c>
      <c r="D1032" s="140">
        <v>400</v>
      </c>
      <c r="E1032" s="253">
        <v>4.427977130571195</v>
      </c>
      <c r="F1032" s="140">
        <v>0.73289697753495164</v>
      </c>
      <c r="G1032" s="140">
        <v>4.9124737377066552</v>
      </c>
      <c r="H1032" s="140">
        <v>4.2427942494887612</v>
      </c>
      <c r="J1032" s="140">
        <v>0.63141697160422994</v>
      </c>
      <c r="K1032" s="140">
        <v>0.27</v>
      </c>
      <c r="L1032" s="140">
        <v>28.958013118336048</v>
      </c>
      <c r="M1032" s="140">
        <v>12.616561732055123</v>
      </c>
      <c r="N1032" s="140">
        <v>1.0886908148743815</v>
      </c>
      <c r="Z1032" s="140">
        <v>0.25659759838827068</v>
      </c>
      <c r="AL1032" s="140">
        <v>916.67697140314431</v>
      </c>
      <c r="AM1032" s="140">
        <v>0.14919102201187504</v>
      </c>
      <c r="AN1032" s="140">
        <v>0.26594508210869583</v>
      </c>
      <c r="AO1032" s="140">
        <v>383.35003191086867</v>
      </c>
      <c r="AP1032" s="140">
        <v>372.33156396595308</v>
      </c>
      <c r="AQ1032" t="s">
        <v>327</v>
      </c>
      <c r="AR1032">
        <f t="shared" si="60"/>
        <v>14.644015877877388</v>
      </c>
      <c r="AS1032">
        <f t="shared" si="61"/>
        <v>3.9965468373646496</v>
      </c>
      <c r="AT1032">
        <v>0.3</v>
      </c>
      <c r="AU1032" s="140">
        <v>1</v>
      </c>
      <c r="AV1032">
        <v>0.4</v>
      </c>
      <c r="AW1032" s="140">
        <v>0.1</v>
      </c>
      <c r="AX1032" s="140">
        <v>0.53305999647662827</v>
      </c>
      <c r="AY1032">
        <v>0.27</v>
      </c>
      <c r="AZ1032" s="209">
        <v>372.33156396595308</v>
      </c>
      <c r="BA1032" s="140">
        <v>0.53305999647662827</v>
      </c>
      <c r="BB1032" s="253">
        <v>9.7769424202475488</v>
      </c>
      <c r="BC1032" s="245">
        <v>35.96750682354611</v>
      </c>
      <c r="BD1032" s="210">
        <v>13337.099611936628</v>
      </c>
      <c r="BE1032" s="245">
        <v>11.251740523647626</v>
      </c>
      <c r="BF1032" s="140">
        <v>620532.51680093107</v>
      </c>
      <c r="BG1032" t="s">
        <v>389</v>
      </c>
      <c r="BH1032" s="140">
        <v>1.9180141506640708E-6</v>
      </c>
      <c r="BI1032" s="140">
        <v>1333370.9961193663</v>
      </c>
      <c r="BJ1032">
        <f t="shared" si="62"/>
        <v>0.46538624179386279</v>
      </c>
    </row>
    <row r="1033" spans="1:62" x14ac:dyDescent="0.3">
      <c r="A1033">
        <v>-0.1</v>
      </c>
      <c r="B1033" s="146">
        <v>1000</v>
      </c>
      <c r="C1033" s="146">
        <v>25</v>
      </c>
      <c r="D1033" s="146">
        <v>400</v>
      </c>
      <c r="E1033" s="252">
        <v>19.016170149878036</v>
      </c>
      <c r="F1033" s="146">
        <v>2.8494232784855384</v>
      </c>
      <c r="G1033" s="146">
        <v>21.073618007507879</v>
      </c>
      <c r="H1033" s="146">
        <v>18.17016519691493</v>
      </c>
      <c r="I1033" s="146"/>
      <c r="J1033" s="146">
        <v>0.627452946882462</v>
      </c>
      <c r="K1033" s="146">
        <v>0.27</v>
      </c>
      <c r="L1033" s="146">
        <v>123.20888102166521</v>
      </c>
      <c r="M1033" s="146">
        <v>53.680217872509743</v>
      </c>
      <c r="N1033" s="146">
        <v>3.1912848850629736</v>
      </c>
      <c r="O1033" s="146"/>
      <c r="P1033" s="146"/>
      <c r="Q1033" s="146"/>
      <c r="R1033" s="146"/>
      <c r="S1033" s="146"/>
      <c r="T1033" s="146"/>
      <c r="U1033" s="146"/>
      <c r="V1033" s="146"/>
      <c r="W1033" s="146"/>
      <c r="X1033" s="146"/>
      <c r="Y1033" s="146"/>
      <c r="Z1033" s="146">
        <v>0.1756332345071257</v>
      </c>
      <c r="AA1033" s="146"/>
      <c r="AB1033" s="146"/>
      <c r="AC1033" s="146"/>
      <c r="AD1033" s="146"/>
      <c r="AE1033" s="146"/>
      <c r="AF1033" s="146"/>
      <c r="AG1033" s="146"/>
      <c r="AH1033" s="146"/>
      <c r="AI1033" s="146"/>
      <c r="AJ1033" s="146"/>
      <c r="AK1033" s="146"/>
      <c r="AL1033" s="146">
        <v>1875.5994439554011</v>
      </c>
      <c r="AM1033" s="146">
        <v>0.13521281810604979</v>
      </c>
      <c r="AN1033" s="146">
        <v>0.26148424754430855</v>
      </c>
      <c r="AO1033" s="146">
        <v>327.27603927018299</v>
      </c>
      <c r="AP1033" s="146">
        <v>279.95700142391405</v>
      </c>
      <c r="AQ1033" t="s">
        <v>327</v>
      </c>
      <c r="AR1033">
        <f t="shared" si="60"/>
        <v>14.644015877877388</v>
      </c>
      <c r="AS1033">
        <f t="shared" si="61"/>
        <v>3.9965468373646496</v>
      </c>
      <c r="AT1033">
        <v>0.3</v>
      </c>
      <c r="AU1033">
        <v>1</v>
      </c>
      <c r="AV1033">
        <v>0.4</v>
      </c>
      <c r="AW1033" s="146">
        <v>3</v>
      </c>
      <c r="AX1033" s="146">
        <v>0.5478903824004423</v>
      </c>
      <c r="AY1033">
        <v>0.27</v>
      </c>
      <c r="AZ1033" s="209">
        <v>279.95700142391405</v>
      </c>
      <c r="BA1033">
        <v>0.5478903824004423</v>
      </c>
      <c r="BB1033" s="249">
        <v>38.344162597922384</v>
      </c>
      <c r="BC1033" s="243">
        <v>205.97497595927541</v>
      </c>
      <c r="BD1033" s="209">
        <v>96596.301139920994</v>
      </c>
      <c r="BE1033" s="243">
        <v>47.119511395553474</v>
      </c>
      <c r="BF1033">
        <v>333265.85407030332</v>
      </c>
      <c r="BG1033" t="s">
        <v>390</v>
      </c>
      <c r="BH1033">
        <v>7.3465862071427383E-6</v>
      </c>
      <c r="BI1033">
        <v>2165963.01139921</v>
      </c>
      <c r="BJ1033">
        <f t="shared" si="62"/>
        <v>0.15386497937239191</v>
      </c>
    </row>
    <row r="1034" spans="1:62" s="140" customFormat="1" x14ac:dyDescent="0.3">
      <c r="A1034">
        <v>-0.2</v>
      </c>
      <c r="B1034" s="146">
        <v>1000</v>
      </c>
      <c r="C1034" s="146">
        <v>25</v>
      </c>
      <c r="D1034" s="146">
        <v>400</v>
      </c>
      <c r="E1034" s="252">
        <v>18.952542707092267</v>
      </c>
      <c r="F1034" s="146">
        <v>2.8875226904192042</v>
      </c>
      <c r="G1034" s="146">
        <v>21.029682684694158</v>
      </c>
      <c r="H1034" s="146">
        <v>18.185483365770356</v>
      </c>
      <c r="I1034" s="146"/>
      <c r="J1034" s="146">
        <v>0.63163432299225875</v>
      </c>
      <c r="K1034" s="146">
        <v>0.27</v>
      </c>
      <c r="L1034" s="146">
        <v>123.330323501409</v>
      </c>
      <c r="M1034" s="146">
        <v>53.733128496464495</v>
      </c>
      <c r="N1034" s="146">
        <v>3.1438227200185587</v>
      </c>
      <c r="O1034" s="146"/>
      <c r="P1034" s="146"/>
      <c r="Q1034" s="146"/>
      <c r="R1034" s="146"/>
      <c r="S1034" s="146"/>
      <c r="T1034" s="146"/>
      <c r="U1034" s="146"/>
      <c r="V1034" s="146"/>
      <c r="W1034" s="146"/>
      <c r="X1034" s="146"/>
      <c r="Y1034" s="146"/>
      <c r="Z1034" s="146">
        <v>0.172875400493122</v>
      </c>
      <c r="AA1034" s="146"/>
      <c r="AB1034" s="146"/>
      <c r="AC1034" s="146"/>
      <c r="AD1034" s="146"/>
      <c r="AE1034" s="146"/>
      <c r="AF1034" s="146"/>
      <c r="AG1034" s="146"/>
      <c r="AH1034" s="146"/>
      <c r="AI1034" s="146"/>
      <c r="AJ1034" s="146"/>
      <c r="AK1034" s="146"/>
      <c r="AL1034" s="146">
        <v>1843.2777212208846</v>
      </c>
      <c r="AM1034" s="146">
        <v>0.13730700237910881</v>
      </c>
      <c r="AN1034" s="146">
        <v>0.23262372675870976</v>
      </c>
      <c r="AO1034" s="146">
        <v>318.52704377507075</v>
      </c>
      <c r="AP1034" s="146">
        <v>271.36636121160637</v>
      </c>
      <c r="AQ1034" t="s">
        <v>327</v>
      </c>
      <c r="AR1034">
        <f t="shared" si="60"/>
        <v>14.644015877877388</v>
      </c>
      <c r="AS1034">
        <f t="shared" si="61"/>
        <v>3.9965468373646496</v>
      </c>
      <c r="AT1034">
        <v>0.3</v>
      </c>
      <c r="AU1034">
        <v>1</v>
      </c>
      <c r="AV1034">
        <v>0.4</v>
      </c>
      <c r="AW1034" s="146">
        <v>3</v>
      </c>
      <c r="AX1034" s="146">
        <v>0.55102673867871488</v>
      </c>
      <c r="AY1034">
        <v>0.27</v>
      </c>
      <c r="AZ1034" s="209">
        <v>271.36636121160637</v>
      </c>
      <c r="BA1034" s="140">
        <v>0.55102673867871488</v>
      </c>
      <c r="BB1034" s="253">
        <v>38.496828801718955</v>
      </c>
      <c r="BC1034" s="245">
        <v>206.30120337266712</v>
      </c>
      <c r="BD1034" s="210">
        <v>96687.717715252569</v>
      </c>
      <c r="BE1034" s="245">
        <v>47.050249584248668</v>
      </c>
      <c r="BF1034" s="140">
        <v>332142.59816077125</v>
      </c>
      <c r="BG1034" t="s">
        <v>390</v>
      </c>
      <c r="BH1034" s="140">
        <v>7.3219664180504386E-6</v>
      </c>
      <c r="BI1034" s="140">
        <v>2166877.1771525256</v>
      </c>
      <c r="BJ1034">
        <f t="shared" si="62"/>
        <v>0.1532816911188464</v>
      </c>
    </row>
    <row r="1035" spans="1:62" x14ac:dyDescent="0.3">
      <c r="A1035">
        <v>-0.3</v>
      </c>
      <c r="B1035" s="146">
        <v>1000</v>
      </c>
      <c r="C1035" s="146">
        <v>25</v>
      </c>
      <c r="D1035" s="146">
        <v>400</v>
      </c>
      <c r="E1035" s="252">
        <v>18.867488441744076</v>
      </c>
      <c r="F1035" s="146">
        <v>2.9364681592450013</v>
      </c>
      <c r="G1035" s="146">
        <v>20.969837789052967</v>
      </c>
      <c r="H1035" s="146">
        <v>18.203670466777961</v>
      </c>
      <c r="I1035" s="146"/>
      <c r="J1035" s="146">
        <v>0.63696119265316187</v>
      </c>
      <c r="K1035" s="146">
        <v>0.27</v>
      </c>
      <c r="L1035" s="146">
        <v>123.47797613839543</v>
      </c>
      <c r="M1035" s="146">
        <v>53.797458483533276</v>
      </c>
      <c r="N1035" s="146">
        <v>3.085154293815048</v>
      </c>
      <c r="O1035" s="146"/>
      <c r="P1035" s="146"/>
      <c r="Q1035" s="146"/>
      <c r="R1035" s="146"/>
      <c r="S1035" s="146"/>
      <c r="T1035" s="146"/>
      <c r="U1035" s="146"/>
      <c r="V1035" s="146"/>
      <c r="W1035" s="146"/>
      <c r="X1035" s="146"/>
      <c r="Y1035" s="146"/>
      <c r="Z1035" s="146">
        <v>0.16947979252016851</v>
      </c>
      <c r="AA1035" s="146"/>
      <c r="AB1035" s="146"/>
      <c r="AC1035" s="146"/>
      <c r="AD1035" s="146"/>
      <c r="AE1035" s="146"/>
      <c r="AF1035" s="146"/>
      <c r="AG1035" s="146"/>
      <c r="AH1035" s="146"/>
      <c r="AI1035" s="146"/>
      <c r="AJ1035" s="146"/>
      <c r="AK1035" s="146"/>
      <c r="AL1035" s="146">
        <v>1803.0425692001852</v>
      </c>
      <c r="AM1035" s="146">
        <v>0.14003294583317885</v>
      </c>
      <c r="AN1035" s="146">
        <v>0.2037845482676425</v>
      </c>
      <c r="AO1035" s="146">
        <v>307.41452871606208</v>
      </c>
      <c r="AP1035" s="146">
        <v>260.46542229266061</v>
      </c>
      <c r="AQ1035" t="s">
        <v>327</v>
      </c>
      <c r="AR1035">
        <f t="shared" si="60"/>
        <v>14.644015877877388</v>
      </c>
      <c r="AS1035">
        <f t="shared" si="61"/>
        <v>3.9965468373646496</v>
      </c>
      <c r="AT1035">
        <v>0.3</v>
      </c>
      <c r="AU1035">
        <v>1</v>
      </c>
      <c r="AV1035">
        <v>0.4</v>
      </c>
      <c r="AW1035" s="146">
        <v>3</v>
      </c>
      <c r="AX1035" s="146">
        <v>0.5550399283142976</v>
      </c>
      <c r="AY1035">
        <v>0.27</v>
      </c>
      <c r="AZ1035" s="209">
        <v>260.46542229266061</v>
      </c>
      <c r="BA1035">
        <v>0.5550399283142976</v>
      </c>
      <c r="BB1035" s="249">
        <v>38.689026844380621</v>
      </c>
      <c r="BC1035" s="243">
        <v>206.6985096053854</v>
      </c>
      <c r="BD1035" s="209">
        <v>96786.838182095773</v>
      </c>
      <c r="BE1035" s="243">
        <v>46.947597469169885</v>
      </c>
      <c r="BF1035">
        <v>330587.11366859241</v>
      </c>
      <c r="BG1035" t="s">
        <v>390</v>
      </c>
      <c r="BH1035">
        <v>7.2899130639502201E-6</v>
      </c>
      <c r="BI1035">
        <v>2167868.3818209576</v>
      </c>
      <c r="BJ1035">
        <f t="shared" si="62"/>
        <v>0.15249408886664381</v>
      </c>
    </row>
    <row r="1036" spans="1:62" x14ac:dyDescent="0.3">
      <c r="A1036">
        <v>-0.4</v>
      </c>
      <c r="B1036" s="146">
        <v>1000</v>
      </c>
      <c r="C1036" s="146">
        <v>25</v>
      </c>
      <c r="D1036" s="146">
        <v>400</v>
      </c>
      <c r="E1036" s="252">
        <v>18.752943500059175</v>
      </c>
      <c r="F1036" s="146">
        <v>3.0058128894824749</v>
      </c>
      <c r="G1036" s="146">
        <v>20.891147181989353</v>
      </c>
      <c r="H1036" s="146">
        <v>18.237085597895007</v>
      </c>
      <c r="I1036" s="146"/>
      <c r="J1036" s="146">
        <v>0.64665740000798555</v>
      </c>
      <c r="K1036" s="146">
        <v>0.27</v>
      </c>
      <c r="L1036" s="146">
        <v>123.73945549292067</v>
      </c>
      <c r="M1036" s="146">
        <v>53.911381023886598</v>
      </c>
      <c r="N1036" s="146">
        <v>2.9888507350211633</v>
      </c>
      <c r="O1036" s="146"/>
      <c r="P1036" s="146"/>
      <c r="Q1036" s="146"/>
      <c r="R1036" s="146"/>
      <c r="S1036" s="146"/>
      <c r="T1036" s="146"/>
      <c r="U1036" s="146"/>
      <c r="V1036" s="146"/>
      <c r="W1036" s="146"/>
      <c r="X1036" s="146"/>
      <c r="Y1036" s="146"/>
      <c r="Z1036" s="146">
        <v>0.16388861690522238</v>
      </c>
      <c r="AA1036" s="146"/>
      <c r="AB1036" s="146"/>
      <c r="AC1036" s="146"/>
      <c r="AD1036" s="146"/>
      <c r="AE1036" s="146"/>
      <c r="AF1036" s="146"/>
      <c r="AG1036" s="146"/>
      <c r="AH1036" s="146"/>
      <c r="AI1036" s="146"/>
      <c r="AJ1036" s="146"/>
      <c r="AK1036" s="146"/>
      <c r="AL1036" s="146">
        <v>1740.5507200784909</v>
      </c>
      <c r="AM1036" s="146">
        <v>0.14387974309394758</v>
      </c>
      <c r="AN1036" s="146">
        <v>0.17491688233288744</v>
      </c>
      <c r="AO1036" s="146">
        <v>292.78940231526587</v>
      </c>
      <c r="AP1036" s="146">
        <v>246.12535256790954</v>
      </c>
      <c r="AQ1036" t="s">
        <v>327</v>
      </c>
      <c r="AR1036">
        <f t="shared" si="60"/>
        <v>14.644015877877388</v>
      </c>
      <c r="AS1036">
        <f t="shared" si="61"/>
        <v>3.9965468373646496</v>
      </c>
      <c r="AT1036">
        <v>0.3</v>
      </c>
      <c r="AU1036">
        <v>1</v>
      </c>
      <c r="AV1036">
        <v>0.4</v>
      </c>
      <c r="AW1036" s="146">
        <v>3</v>
      </c>
      <c r="AX1036" s="146">
        <v>0.56271170666569048</v>
      </c>
      <c r="AY1036">
        <v>0.27</v>
      </c>
      <c r="AZ1036" s="209">
        <v>246.12535256790954</v>
      </c>
      <c r="BA1036">
        <v>0.56271170666569048</v>
      </c>
      <c r="BB1036" s="249">
        <v>38.944868089881304</v>
      </c>
      <c r="BC1036" s="243">
        <v>207.4039181998514</v>
      </c>
      <c r="BD1036" s="209">
        <v>96929.189675624424</v>
      </c>
      <c r="BE1036" s="243">
        <v>46.714976675724856</v>
      </c>
      <c r="BF1036">
        <v>328512.04466634186</v>
      </c>
      <c r="BG1036" t="s">
        <v>390</v>
      </c>
      <c r="BH1036">
        <v>7.2463962406199668E-6</v>
      </c>
      <c r="BI1036">
        <v>2169291.8967562444</v>
      </c>
      <c r="BJ1036">
        <f t="shared" si="62"/>
        <v>0.15143745530860458</v>
      </c>
    </row>
    <row r="1037" spans="1:62" x14ac:dyDescent="0.3">
      <c r="A1037">
        <v>-0.5</v>
      </c>
      <c r="B1037" s="146">
        <v>1000</v>
      </c>
      <c r="C1037" s="146">
        <v>25</v>
      </c>
      <c r="D1037" s="146">
        <v>400</v>
      </c>
      <c r="E1037" s="252">
        <v>18.623503344025554</v>
      </c>
      <c r="F1037" s="146">
        <v>3.1256831707964166</v>
      </c>
      <c r="G1037" s="146">
        <v>20.824692725194222</v>
      </c>
      <c r="H1037" s="146">
        <v>18.271918751474903</v>
      </c>
      <c r="I1037" s="146"/>
      <c r="J1037" s="146">
        <v>0.65447754435814276</v>
      </c>
      <c r="K1037" s="146">
        <v>0.27</v>
      </c>
      <c r="L1037" s="146">
        <v>124.03628784589746</v>
      </c>
      <c r="M1037" s="146">
        <v>54.040706322901386</v>
      </c>
      <c r="N1037" s="146">
        <v>2.8836198790253782</v>
      </c>
      <c r="O1037" s="146"/>
      <c r="P1037" s="146"/>
      <c r="Q1037" s="146"/>
      <c r="R1037" s="146"/>
      <c r="S1037" s="146"/>
      <c r="T1037" s="146"/>
      <c r="U1037" s="146"/>
      <c r="V1037" s="146"/>
      <c r="W1037" s="146"/>
      <c r="X1037" s="146"/>
      <c r="Y1037" s="146"/>
      <c r="Z1037" s="146">
        <v>0.15781702612883025</v>
      </c>
      <c r="AA1037" s="146"/>
      <c r="AB1037" s="146"/>
      <c r="AC1037" s="146"/>
      <c r="AD1037" s="146"/>
      <c r="AE1037" s="146"/>
      <c r="AF1037" s="146"/>
      <c r="AG1037" s="146"/>
      <c r="AH1037" s="146"/>
      <c r="AI1037" s="146"/>
      <c r="AJ1037" s="146"/>
      <c r="AK1037" s="146"/>
      <c r="AL1037" s="146">
        <v>1667.2676784787764</v>
      </c>
      <c r="AM1037" s="146">
        <v>0.15009504399625012</v>
      </c>
      <c r="AN1037" s="146">
        <v>0.1452688207473366</v>
      </c>
      <c r="AO1037" s="146">
        <v>271.79972103981572</v>
      </c>
      <c r="AP1037" s="146">
        <v>225.457738966086</v>
      </c>
      <c r="AQ1037" t="s">
        <v>327</v>
      </c>
      <c r="AR1037">
        <f t="shared" si="60"/>
        <v>14.644015877877388</v>
      </c>
      <c r="AS1037">
        <f t="shared" si="61"/>
        <v>3.9965468373646496</v>
      </c>
      <c r="AT1037">
        <v>0.3</v>
      </c>
      <c r="AU1037">
        <v>1</v>
      </c>
      <c r="AV1037">
        <v>0.4</v>
      </c>
      <c r="AW1037" s="146">
        <v>3</v>
      </c>
      <c r="AX1037" s="146">
        <v>0.56791217738911948</v>
      </c>
      <c r="AY1037">
        <v>0.27</v>
      </c>
      <c r="AZ1037" s="209">
        <v>225.457738966086</v>
      </c>
      <c r="BA1037">
        <v>0.56791217738911948</v>
      </c>
      <c r="BB1037" s="249">
        <v>39.522359251575679</v>
      </c>
      <c r="BC1037" s="243">
        <v>208.2075301553007</v>
      </c>
      <c r="BD1037" s="209">
        <v>97593.994799068532</v>
      </c>
      <c r="BE1037" s="243">
        <v>47.131588152883197</v>
      </c>
      <c r="BF1037">
        <v>327300.04823517706</v>
      </c>
      <c r="BG1037" t="s">
        <v>390</v>
      </c>
      <c r="BH1037">
        <v>7.1787424894793121E-6</v>
      </c>
      <c r="BI1037">
        <v>2175939.9479906852</v>
      </c>
      <c r="BJ1037">
        <f t="shared" si="62"/>
        <v>0.15041777625224156</v>
      </c>
    </row>
    <row r="1038" spans="1:62" x14ac:dyDescent="0.3">
      <c r="A1038">
        <v>-0.6</v>
      </c>
      <c r="B1038" s="146">
        <v>1000</v>
      </c>
      <c r="C1038" s="146">
        <v>25</v>
      </c>
      <c r="D1038" s="146">
        <v>400</v>
      </c>
      <c r="E1038" s="252">
        <v>18.457541439448338</v>
      </c>
      <c r="F1038" s="146">
        <v>3.3603743088691389</v>
      </c>
      <c r="G1038" s="146">
        <v>20.783604614557266</v>
      </c>
      <c r="H1038" s="146">
        <v>18.340147186161467</v>
      </c>
      <c r="I1038" s="146"/>
      <c r="J1038" s="146">
        <v>0.66598382995538075</v>
      </c>
      <c r="K1038" s="146">
        <v>0.27</v>
      </c>
      <c r="L1038" s="146">
        <v>124.62176248817714</v>
      </c>
      <c r="M1038" s="146">
        <v>54.295788635927799</v>
      </c>
      <c r="N1038" s="146">
        <v>2.7081401264905516</v>
      </c>
      <c r="O1038" s="146"/>
      <c r="P1038" s="146"/>
      <c r="Q1038" s="146"/>
      <c r="R1038" s="146"/>
      <c r="S1038" s="146"/>
      <c r="T1038" s="146"/>
      <c r="U1038" s="146"/>
      <c r="V1038" s="146"/>
      <c r="W1038" s="146"/>
      <c r="X1038" s="146"/>
      <c r="Y1038" s="146"/>
      <c r="Z1038" s="146">
        <v>0.147661853473781</v>
      </c>
      <c r="AA1038" s="146"/>
      <c r="AB1038" s="146"/>
      <c r="AC1038" s="146"/>
      <c r="AD1038" s="146"/>
      <c r="AE1038" s="146"/>
      <c r="AF1038" s="146"/>
      <c r="AG1038" s="146"/>
      <c r="AH1038" s="146"/>
      <c r="AI1038" s="146"/>
      <c r="AJ1038" s="146"/>
      <c r="AK1038" s="146"/>
      <c r="AL1038" s="146">
        <v>1547.3321322110858</v>
      </c>
      <c r="AM1038" s="146">
        <v>0.16168390282576214</v>
      </c>
      <c r="AN1038" s="146">
        <v>0.11477929379475837</v>
      </c>
      <c r="AO1038" s="146">
        <v>239.19101756756723</v>
      </c>
      <c r="AP1038" s="146">
        <v>193.26206896580945</v>
      </c>
      <c r="AQ1038" t="s">
        <v>327</v>
      </c>
      <c r="AR1038">
        <f t="shared" si="60"/>
        <v>14.644015877877388</v>
      </c>
      <c r="AS1038">
        <f t="shared" si="61"/>
        <v>3.9965468373646496</v>
      </c>
      <c r="AT1038">
        <v>0.3</v>
      </c>
      <c r="AU1038">
        <v>1</v>
      </c>
      <c r="AV1038">
        <v>0.4</v>
      </c>
      <c r="AW1038" s="146">
        <v>3</v>
      </c>
      <c r="AX1038" s="146">
        <v>0.5747953730267864</v>
      </c>
      <c r="AY1038">
        <v>0.27</v>
      </c>
      <c r="AZ1038" s="209">
        <v>193.26206896580945</v>
      </c>
      <c r="BA1038">
        <v>0.5747953730267864</v>
      </c>
      <c r="BB1038" s="249">
        <v>40.751526101004778</v>
      </c>
      <c r="BC1038" s="243">
        <v>209.80148755474917</v>
      </c>
      <c r="BD1038" s="209">
        <v>99171.650674006247</v>
      </c>
      <c r="BE1038" s="243">
        <v>48.548920714993635</v>
      </c>
      <c r="BF1038">
        <v>327301.71833713568</v>
      </c>
      <c r="BG1038" t="s">
        <v>390</v>
      </c>
      <c r="BH1038">
        <v>7.0666408108249015E-6</v>
      </c>
      <c r="BI1038">
        <v>2191716.5067400625</v>
      </c>
      <c r="BJ1038">
        <f t="shared" si="62"/>
        <v>0.14933579107088127</v>
      </c>
    </row>
    <row r="1039" spans="1:62" x14ac:dyDescent="0.3">
      <c r="A1039">
        <v>-0.7</v>
      </c>
      <c r="B1039" s="146">
        <v>1000</v>
      </c>
      <c r="C1039" s="146">
        <v>25</v>
      </c>
      <c r="D1039" s="146">
        <v>400</v>
      </c>
      <c r="E1039" s="252">
        <v>18.082605610004503</v>
      </c>
      <c r="F1039" s="146">
        <v>3.856992691236123</v>
      </c>
      <c r="G1039" s="146">
        <v>20.670624319777204</v>
      </c>
      <c r="H1039" s="146">
        <v>18.442630044495072</v>
      </c>
      <c r="I1039" s="146"/>
      <c r="J1039" s="146">
        <v>0.69673355775634827</v>
      </c>
      <c r="K1039" s="146">
        <v>0.27</v>
      </c>
      <c r="L1039" s="146">
        <v>125.67522221346997</v>
      </c>
      <c r="M1039" s="146">
        <v>54.75476486478982</v>
      </c>
      <c r="N1039" s="146">
        <v>2.349938662596422</v>
      </c>
      <c r="O1039" s="146"/>
      <c r="P1039" s="146"/>
      <c r="Q1039" s="146"/>
      <c r="R1039" s="146"/>
      <c r="S1039" s="146"/>
      <c r="T1039" s="146"/>
      <c r="U1039" s="146"/>
      <c r="V1039" s="146"/>
      <c r="W1039" s="146"/>
      <c r="X1039" s="146"/>
      <c r="Y1039" s="146"/>
      <c r="Z1039" s="146">
        <v>0.12741884736216641</v>
      </c>
      <c r="AA1039" s="146"/>
      <c r="AB1039" s="146"/>
      <c r="AC1039" s="146"/>
      <c r="AD1039" s="146"/>
      <c r="AE1039" s="146"/>
      <c r="AF1039" s="146"/>
      <c r="AG1039" s="146"/>
      <c r="AH1039" s="146"/>
      <c r="AI1039" s="146"/>
      <c r="AJ1039" s="146"/>
      <c r="AK1039" s="146"/>
      <c r="AL1039" s="146">
        <v>1314.2180626588224</v>
      </c>
      <c r="AM1039" s="146">
        <v>0.18659294618139988</v>
      </c>
      <c r="AN1039" s="146">
        <v>8.3810714190757821E-2</v>
      </c>
      <c r="AO1039" s="146">
        <v>184.24470206938588</v>
      </c>
      <c r="AP1039" s="146">
        <v>139.24873136061208</v>
      </c>
      <c r="AQ1039" t="s">
        <v>327</v>
      </c>
      <c r="AR1039">
        <f t="shared" si="60"/>
        <v>14.644015877877388</v>
      </c>
      <c r="AS1039">
        <f t="shared" si="61"/>
        <v>3.9965468373646496</v>
      </c>
      <c r="AT1039">
        <v>0.3</v>
      </c>
      <c r="AU1039">
        <v>1</v>
      </c>
      <c r="AV1039">
        <v>0.4</v>
      </c>
      <c r="AW1039" s="146">
        <v>3</v>
      </c>
      <c r="AX1039" s="146">
        <v>0.59673314739969729</v>
      </c>
      <c r="AY1039">
        <v>0.27</v>
      </c>
      <c r="AZ1039" s="209">
        <v>139.24873136061208</v>
      </c>
      <c r="BA1039">
        <v>0.59673314739969729</v>
      </c>
      <c r="BB1039" s="249">
        <v>43.200219615973346</v>
      </c>
      <c r="BC1039" s="243">
        <v>212.69980586473505</v>
      </c>
      <c r="BD1039" s="209">
        <v>102123.73678967752</v>
      </c>
      <c r="BE1039" s="243">
        <v>51.109139797121387</v>
      </c>
      <c r="BF1039">
        <v>325623.78474147822</v>
      </c>
      <c r="BG1039" t="s">
        <v>390</v>
      </c>
      <c r="BH1039">
        <v>6.8402926461922496E-6</v>
      </c>
      <c r="BI1039">
        <v>2221237.3678967752</v>
      </c>
      <c r="BJ1039">
        <f t="shared" si="62"/>
        <v>0.14659567205543722</v>
      </c>
    </row>
    <row r="1040" spans="1:62" x14ac:dyDescent="0.3">
      <c r="A1040">
        <v>-0.8</v>
      </c>
      <c r="B1040" s="146">
        <v>1000</v>
      </c>
      <c r="C1040" s="146">
        <v>25</v>
      </c>
      <c r="D1040" s="146">
        <v>400</v>
      </c>
      <c r="E1040" s="252">
        <v>17.326571805632803</v>
      </c>
      <c r="F1040" s="146">
        <v>5.5380452548218244</v>
      </c>
      <c r="G1040" s="146">
        <v>20.820698645529347</v>
      </c>
      <c r="H1040" s="146">
        <v>18.842580969833637</v>
      </c>
      <c r="I1040" s="146"/>
      <c r="J1040" s="146">
        <v>0.91845061587433763</v>
      </c>
      <c r="K1040" s="146">
        <v>0.27</v>
      </c>
      <c r="L1040" s="146">
        <v>132.9770210908992</v>
      </c>
      <c r="M1040" s="146">
        <v>57.936046533379319</v>
      </c>
      <c r="N1040" s="146">
        <v>1.3275833125658991</v>
      </c>
      <c r="O1040" s="146"/>
      <c r="P1040" s="146"/>
      <c r="Q1040" s="146"/>
      <c r="R1040" s="146"/>
      <c r="S1040" s="146"/>
      <c r="T1040" s="146"/>
      <c r="U1040" s="146"/>
      <c r="V1040" s="146"/>
      <c r="W1040" s="146"/>
      <c r="X1040" s="146"/>
      <c r="Y1040" s="146"/>
      <c r="Z1040" s="146">
        <v>7.0456553414381881E-2</v>
      </c>
      <c r="AA1040" s="146"/>
      <c r="AB1040" s="146"/>
      <c r="AC1040" s="146"/>
      <c r="AD1040" s="146"/>
      <c r="AE1040" s="146"/>
      <c r="AF1040" s="146"/>
      <c r="AG1040" s="146"/>
      <c r="AH1040" s="146"/>
      <c r="AI1040" s="146"/>
      <c r="AJ1040" s="146"/>
      <c r="AK1040" s="146"/>
      <c r="AL1040" s="146">
        <v>704.23119835930856</v>
      </c>
      <c r="AM1040" s="146">
        <v>0.2659874843350159</v>
      </c>
      <c r="AN1040" s="146">
        <v>5.4753690652731127E-2</v>
      </c>
      <c r="AO1040" s="146">
        <v>83.554266405080227</v>
      </c>
      <c r="AP1040" s="146">
        <v>40.439542076359132</v>
      </c>
      <c r="AQ1040" t="s">
        <v>327</v>
      </c>
      <c r="AR1040">
        <f t="shared" si="60"/>
        <v>14.644015877877388</v>
      </c>
      <c r="AS1040">
        <f t="shared" si="61"/>
        <v>3.9965468373646496</v>
      </c>
      <c r="AT1040">
        <v>0.3</v>
      </c>
      <c r="AU1040">
        <v>1</v>
      </c>
      <c r="AV1040">
        <v>0.4</v>
      </c>
      <c r="AW1040" s="146">
        <v>3</v>
      </c>
      <c r="AX1040" s="146">
        <v>0.88286142914471766</v>
      </c>
      <c r="AY1040">
        <v>0.27</v>
      </c>
      <c r="AZ1040" s="209">
        <v>40.439542076359132</v>
      </c>
      <c r="BA1040">
        <v>0.88286142914471766</v>
      </c>
      <c r="BB1040" s="249">
        <v>49.801535469192942</v>
      </c>
      <c r="BC1040" s="243">
        <v>233.94717575219855</v>
      </c>
      <c r="BD1040" s="209">
        <v>114626.00329204155</v>
      </c>
      <c r="BE1040" s="243">
        <v>56.09450924205494</v>
      </c>
      <c r="BF1040">
        <v>339265.82787146239</v>
      </c>
      <c r="BG1040" t="s">
        <v>390</v>
      </c>
      <c r="BH1040">
        <v>6.1928811869879892E-6</v>
      </c>
      <c r="BI1040">
        <v>2346260.0329204155</v>
      </c>
      <c r="BJ1040">
        <f t="shared" si="62"/>
        <v>0.14459856244031677</v>
      </c>
    </row>
    <row r="1041" spans="1:62" x14ac:dyDescent="0.3">
      <c r="A1041">
        <v>-0.85</v>
      </c>
      <c r="B1041" s="146">
        <v>1000</v>
      </c>
      <c r="C1041" s="146">
        <v>25</v>
      </c>
      <c r="D1041" s="146">
        <v>400</v>
      </c>
      <c r="E1041" s="252">
        <v>11.946298586416701</v>
      </c>
      <c r="F1041" s="146">
        <v>3.5530937982848139</v>
      </c>
      <c r="G1041" s="146">
        <v>14.144931047256931</v>
      </c>
      <c r="H1041" s="146">
        <v>12.78920503771271</v>
      </c>
      <c r="I1041" s="146"/>
      <c r="J1041" s="146">
        <v>0.80789487034098939</v>
      </c>
      <c r="K1041" s="146">
        <v>0.27</v>
      </c>
      <c r="L1041" s="146">
        <v>88.963141390713233</v>
      </c>
      <c r="M1041" s="146">
        <v>38.759874879771331</v>
      </c>
      <c r="N1041" s="146">
        <v>1.2913917873302871</v>
      </c>
      <c r="O1041" s="146"/>
      <c r="P1041" s="146"/>
      <c r="Q1041" s="146"/>
      <c r="R1041" s="146"/>
      <c r="S1041" s="146"/>
      <c r="T1041" s="146"/>
      <c r="U1041" s="146"/>
      <c r="V1041" s="146"/>
      <c r="W1041" s="146"/>
      <c r="X1041" s="146"/>
      <c r="Y1041" s="146"/>
      <c r="Z1041" s="146">
        <v>0.10097514141983344</v>
      </c>
      <c r="AA1041" s="146"/>
      <c r="AB1041" s="146"/>
      <c r="AC1041" s="146"/>
      <c r="AD1041" s="146"/>
      <c r="AE1041" s="146"/>
      <c r="AF1041" s="146"/>
      <c r="AG1041" s="146"/>
      <c r="AH1041" s="146"/>
      <c r="AI1041" s="146"/>
      <c r="AJ1041" s="146"/>
      <c r="AK1041" s="146"/>
      <c r="AL1041" s="146">
        <v>719.11227521353248</v>
      </c>
      <c r="AM1041" s="146">
        <v>0.25119201970050259</v>
      </c>
      <c r="AN1041" s="146">
        <v>4.0242608408517726E-2</v>
      </c>
      <c r="AO1041" s="146">
        <v>103.14303523406414</v>
      </c>
      <c r="AP1041" s="146">
        <v>73.416381548389182</v>
      </c>
      <c r="AQ1041" t="s">
        <v>327</v>
      </c>
      <c r="AR1041">
        <f t="shared" si="60"/>
        <v>14.644015877877388</v>
      </c>
      <c r="AS1041">
        <f t="shared" si="61"/>
        <v>3.9965468373646496</v>
      </c>
      <c r="AT1041">
        <v>0.3</v>
      </c>
      <c r="AU1041">
        <v>1</v>
      </c>
      <c r="AV1041">
        <v>0.4</v>
      </c>
      <c r="AW1041" s="146">
        <v>3</v>
      </c>
      <c r="AX1041" s="146">
        <v>0.71850706536134445</v>
      </c>
      <c r="AY1041">
        <v>0.27</v>
      </c>
      <c r="AZ1041" s="209">
        <v>73.416381548389182</v>
      </c>
      <c r="BA1041">
        <v>0.71850706536134445</v>
      </c>
      <c r="BB1041" s="249">
        <v>34.773284878978146</v>
      </c>
      <c r="BC1041" s="243">
        <v>129.34067672102654</v>
      </c>
      <c r="BD1041" s="209">
        <v>60515.973404592332</v>
      </c>
      <c r="BE1041" s="243">
        <v>39.493547958103036</v>
      </c>
      <c r="BF1041">
        <v>676808.04792276642</v>
      </c>
      <c r="BG1041" t="s">
        <v>390</v>
      </c>
      <c r="BH1041">
        <v>4.4859813875159043E-6</v>
      </c>
      <c r="BI1041">
        <v>1805159.7340459232</v>
      </c>
      <c r="BJ1041">
        <f t="shared" si="62"/>
        <v>0.37492972791157353</v>
      </c>
    </row>
    <row r="1042" spans="1:62" s="261" customFormat="1" ht="15" thickBot="1" x14ac:dyDescent="0.35">
      <c r="A1042" s="256">
        <v>-0.87</v>
      </c>
      <c r="B1042" s="256">
        <v>1000</v>
      </c>
      <c r="C1042" s="256">
        <v>25</v>
      </c>
      <c r="D1042" s="256">
        <v>400</v>
      </c>
      <c r="E1042" s="260">
        <v>3.9550092600144207</v>
      </c>
      <c r="F1042" s="261">
        <v>0.79168318873371712</v>
      </c>
      <c r="G1042" s="261">
        <v>4.4615369918938095</v>
      </c>
      <c r="H1042" s="261">
        <v>3.9205427940653359</v>
      </c>
      <c r="J1042" s="261">
        <v>0.64167782493365033</v>
      </c>
      <c r="K1042" s="261">
        <v>0.27</v>
      </c>
      <c r="L1042" s="261">
        <v>26.81147673085291</v>
      </c>
      <c r="M1042" s="261">
        <v>11.681348783151684</v>
      </c>
      <c r="N1042" s="261">
        <v>0.99193935804350231</v>
      </c>
      <c r="Z1042" s="261">
        <v>0.25301072074638131</v>
      </c>
      <c r="AL1042" s="261">
        <v>781.65713956631578</v>
      </c>
      <c r="AM1042" s="261">
        <v>0.17744629040891749</v>
      </c>
      <c r="AN1042" s="261">
        <v>3.7857559959263237E-2</v>
      </c>
      <c r="AO1042" s="261">
        <v>295.52920832007601</v>
      </c>
      <c r="AP1042" s="261">
        <v>285.687460544565</v>
      </c>
      <c r="AQ1042" s="254" t="s">
        <v>327</v>
      </c>
      <c r="AR1042" s="254">
        <f t="shared" si="60"/>
        <v>14.644015877877388</v>
      </c>
      <c r="AS1042" s="254">
        <f t="shared" si="61"/>
        <v>3.9965468373646496</v>
      </c>
      <c r="AT1042" s="254">
        <v>0.3</v>
      </c>
      <c r="AU1042" s="261">
        <v>1</v>
      </c>
      <c r="AV1042" s="254">
        <v>0.4</v>
      </c>
      <c r="AW1042" s="256">
        <v>3</v>
      </c>
      <c r="AX1042" s="256">
        <v>0.53391657868999287</v>
      </c>
      <c r="AY1042" s="254">
        <v>0.27</v>
      </c>
      <c r="AZ1042" s="258">
        <v>285.687460544565</v>
      </c>
      <c r="BA1042" s="261">
        <v>0.53391657868999287</v>
      </c>
      <c r="BB1042" s="260">
        <v>9.726886325490689</v>
      </c>
      <c r="BC1042" s="262">
        <v>33.157276718759078</v>
      </c>
      <c r="BD1042" s="263">
        <v>12498.567765961079</v>
      </c>
      <c r="BE1042" s="262">
        <v>11.117178286252976</v>
      </c>
      <c r="BF1042" s="261">
        <v>876856.95487578958</v>
      </c>
      <c r="BG1042" t="s">
        <v>390</v>
      </c>
      <c r="BH1042" s="261">
        <v>1.4103827291490342E-6</v>
      </c>
      <c r="BI1042" s="261">
        <v>1324985.6776596108</v>
      </c>
      <c r="BJ1042">
        <f t="shared" si="62"/>
        <v>0.66178598732072813</v>
      </c>
    </row>
    <row r="1043" spans="1:62" x14ac:dyDescent="0.3">
      <c r="A1043">
        <v>-0.1</v>
      </c>
      <c r="B1043" s="146">
        <v>100</v>
      </c>
      <c r="C1043" s="146">
        <v>25</v>
      </c>
      <c r="D1043" s="146">
        <v>400</v>
      </c>
      <c r="E1043" s="249">
        <v>3.2521605390297759</v>
      </c>
      <c r="F1043">
        <v>0.89151253129301733</v>
      </c>
      <c r="G1043">
        <v>3.9209968646186377</v>
      </c>
      <c r="H1043">
        <v>0.89089613536279</v>
      </c>
      <c r="J1043">
        <v>0.14514520417724394</v>
      </c>
      <c r="K1043">
        <v>0.08</v>
      </c>
      <c r="L1043">
        <v>17.921707513565753</v>
      </c>
      <c r="M1043">
        <v>10.010763052536729</v>
      </c>
      <c r="N1043">
        <v>0.32019656589769796</v>
      </c>
      <c r="Z1043">
        <v>0.35940953517247864</v>
      </c>
      <c r="AL1043">
        <v>536.3628989744941</v>
      </c>
      <c r="AM1043">
        <v>0.22736884574880353</v>
      </c>
      <c r="AN1043">
        <v>0.20790170316612913</v>
      </c>
      <c r="AO1043">
        <v>384.35722031372177</v>
      </c>
      <c r="AP1043">
        <v>376.26461602564524</v>
      </c>
      <c r="AQ1043" t="s">
        <v>382</v>
      </c>
      <c r="AR1043">
        <f t="shared" ref="AR1043:AR1082" si="63">0.15*Jsat_t</f>
        <v>4.8813386259591285</v>
      </c>
      <c r="AS1043">
        <f t="shared" ref="AS1043:AS1082" si="64">0.05*Jatp</f>
        <v>1.3321822791215501</v>
      </c>
      <c r="AT1043">
        <v>0.1</v>
      </c>
      <c r="AU1043">
        <v>0</v>
      </c>
      <c r="AV1043">
        <v>0.2</v>
      </c>
      <c r="AW1043">
        <v>3</v>
      </c>
      <c r="AX1043">
        <v>8.2942077484156287E-2</v>
      </c>
      <c r="AY1043">
        <v>0.08</v>
      </c>
      <c r="AZ1043" s="209">
        <v>376.26461602564524</v>
      </c>
      <c r="BA1043">
        <v>8.2942077484156287E-2</v>
      </c>
      <c r="BB1043" s="249">
        <v>10.114280011992973</v>
      </c>
      <c r="BC1043" s="243">
        <v>69.866232366694206</v>
      </c>
      <c r="BD1043" s="209">
        <v>26063.311507390139</v>
      </c>
      <c r="BE1043" s="243">
        <v>19.365791610247022</v>
      </c>
      <c r="BF1043">
        <v>18650.960906060805</v>
      </c>
      <c r="BG1043" t="s">
        <v>387</v>
      </c>
      <c r="BH1043">
        <v>1.9925854607236029E-6</v>
      </c>
      <c r="BI1043">
        <v>1460633.1150739014</v>
      </c>
      <c r="BJ1043">
        <f t="shared" si="62"/>
        <v>1.2769093561949779E-2</v>
      </c>
    </row>
    <row r="1044" spans="1:62" x14ac:dyDescent="0.3">
      <c r="A1044">
        <v>-0.1</v>
      </c>
      <c r="B1044" s="146">
        <v>200</v>
      </c>
      <c r="C1044" s="146">
        <v>25</v>
      </c>
      <c r="D1044" s="146">
        <v>400</v>
      </c>
      <c r="E1044" s="252">
        <v>5.9361882762376625</v>
      </c>
      <c r="F1044" s="146">
        <v>1.6467033872639552</v>
      </c>
      <c r="G1044" s="146">
        <v>7.0899564261706871</v>
      </c>
      <c r="H1044" s="146">
        <v>1.6459499218261284</v>
      </c>
      <c r="I1044" s="146"/>
      <c r="J1044" s="146">
        <v>0.1423528474289473</v>
      </c>
      <c r="K1044" s="146">
        <v>0.08</v>
      </c>
      <c r="L1044" s="146">
        <v>33.172707057793666</v>
      </c>
      <c r="M1044" s="146">
        <v>18.529713751628616</v>
      </c>
      <c r="N1044" s="146">
        <v>0.51719402362162903</v>
      </c>
      <c r="O1044" s="146"/>
      <c r="P1044" s="146"/>
      <c r="Q1044" s="146"/>
      <c r="R1044" s="146"/>
      <c r="S1044" s="146"/>
      <c r="T1044" s="146"/>
      <c r="U1044" s="146"/>
      <c r="V1044" s="146"/>
      <c r="W1044" s="146"/>
      <c r="X1044" s="146"/>
      <c r="Y1044" s="146"/>
      <c r="Z1044" s="146">
        <v>0.31422221099401304</v>
      </c>
      <c r="AA1044" s="146"/>
      <c r="AB1044" s="146"/>
      <c r="AC1044" s="146"/>
      <c r="AD1044" s="146"/>
      <c r="AE1044" s="146"/>
      <c r="AF1044" s="146"/>
      <c r="AG1044" s="146"/>
      <c r="AH1044" s="146"/>
      <c r="AI1044" s="146"/>
      <c r="AJ1044" s="146"/>
      <c r="AK1044" s="146"/>
      <c r="AL1044" s="146">
        <v>618.23298313481951</v>
      </c>
      <c r="AM1044" s="146">
        <v>0.23225860474763821</v>
      </c>
      <c r="AN1044" s="146">
        <v>0.23194872352893414</v>
      </c>
      <c r="AO1044" s="146">
        <v>374.40732509356894</v>
      </c>
      <c r="AP1044" s="146">
        <v>359.63597132400497</v>
      </c>
      <c r="AQ1044" t="s">
        <v>382</v>
      </c>
      <c r="AR1044">
        <f t="shared" si="63"/>
        <v>4.8813386259591285</v>
      </c>
      <c r="AS1044">
        <f t="shared" si="64"/>
        <v>1.3321822791215501</v>
      </c>
      <c r="AT1044">
        <v>0.1</v>
      </c>
      <c r="AU1044">
        <v>0</v>
      </c>
      <c r="AV1044">
        <v>0.2</v>
      </c>
      <c r="AW1044">
        <v>3</v>
      </c>
      <c r="AX1044">
        <v>8.3713031201933352E-2</v>
      </c>
      <c r="AY1044">
        <v>0.08</v>
      </c>
      <c r="AZ1044" s="209">
        <v>359.63597132400497</v>
      </c>
      <c r="BA1044">
        <v>8.3713031201933352E-2</v>
      </c>
      <c r="BB1044" s="249">
        <v>18.510351910965646</v>
      </c>
      <c r="BC1044" s="243">
        <v>101.66087735067768</v>
      </c>
      <c r="BD1044" s="209">
        <v>42239.868974556637</v>
      </c>
      <c r="BE1044" s="243">
        <v>30.50570516974129</v>
      </c>
      <c r="BF1044">
        <v>51471.080439135796</v>
      </c>
      <c r="BG1044" t="s">
        <v>387</v>
      </c>
      <c r="BH1044">
        <v>3.3320360902670605E-6</v>
      </c>
      <c r="BI1044">
        <v>1622398.6897455663</v>
      </c>
      <c r="BJ1044">
        <f t="shared" si="62"/>
        <v>3.1725297095258245E-2</v>
      </c>
    </row>
    <row r="1045" spans="1:62" x14ac:dyDescent="0.3">
      <c r="A1045">
        <v>-0.1</v>
      </c>
      <c r="B1045" s="146">
        <v>300</v>
      </c>
      <c r="C1045" s="146">
        <v>25</v>
      </c>
      <c r="D1045" s="146">
        <v>400</v>
      </c>
      <c r="E1045" s="252">
        <v>8.2117304713602035</v>
      </c>
      <c r="F1045" s="146">
        <v>2.3240817409819714</v>
      </c>
      <c r="G1045" s="146">
        <v>9.7840237236669338</v>
      </c>
      <c r="H1045" s="146">
        <v>2.3104705654818214</v>
      </c>
      <c r="I1045" s="146"/>
      <c r="J1045" s="146">
        <v>0.14101149688343578</v>
      </c>
      <c r="K1045" s="146">
        <v>0.08</v>
      </c>
      <c r="L1045" s="146">
        <v>46.630450146678356</v>
      </c>
      <c r="M1045" s="146">
        <v>26.046981689561481</v>
      </c>
      <c r="N1045" s="146">
        <v>0.66141465598420579</v>
      </c>
      <c r="O1045" s="146"/>
      <c r="P1045" s="146"/>
      <c r="Q1045" s="146"/>
      <c r="R1045" s="146"/>
      <c r="S1045" s="146"/>
      <c r="T1045" s="146"/>
      <c r="U1045" s="146"/>
      <c r="V1045" s="146"/>
      <c r="W1045" s="146"/>
      <c r="X1045" s="146"/>
      <c r="Y1045" s="146"/>
      <c r="Z1045" s="146">
        <v>0.28626837574374187</v>
      </c>
      <c r="AA1045" s="146"/>
      <c r="AB1045" s="146"/>
      <c r="AC1045" s="146"/>
      <c r="AD1045" s="146"/>
      <c r="AE1045" s="146"/>
      <c r="AF1045" s="146"/>
      <c r="AG1045" s="146"/>
      <c r="AH1045" s="146"/>
      <c r="AI1045" s="146"/>
      <c r="AJ1045" s="146"/>
      <c r="AK1045" s="146"/>
      <c r="AL1045" s="146">
        <v>676.77872728741875</v>
      </c>
      <c r="AM1045" s="146">
        <v>0.23753844089320478</v>
      </c>
      <c r="AN1045" s="146">
        <v>0.24516378279984744</v>
      </c>
      <c r="AO1045" s="146">
        <v>366.5051241354671</v>
      </c>
      <c r="AP1045" s="146">
        <v>346.0713992953161</v>
      </c>
      <c r="AQ1045" t="s">
        <v>382</v>
      </c>
      <c r="AR1045">
        <f t="shared" si="63"/>
        <v>4.8813386259591285</v>
      </c>
      <c r="AS1045">
        <f t="shared" si="64"/>
        <v>1.3321822791215501</v>
      </c>
      <c r="AT1045">
        <v>0.1</v>
      </c>
      <c r="AU1045">
        <v>0</v>
      </c>
      <c r="AV1045">
        <v>0.2</v>
      </c>
      <c r="AW1045">
        <v>3</v>
      </c>
      <c r="AX1045">
        <v>8.4793428240139912E-2</v>
      </c>
      <c r="AY1045">
        <v>0.08</v>
      </c>
      <c r="AZ1045" s="209">
        <v>346.0713992953161</v>
      </c>
      <c r="BA1045">
        <v>8.4793428240139912E-2</v>
      </c>
      <c r="BB1045" s="249">
        <v>25.879959673474065</v>
      </c>
      <c r="BC1045" s="243">
        <v>124.52727266539229</v>
      </c>
      <c r="BD1045" s="209">
        <v>55469.459196918891</v>
      </c>
      <c r="BE1045" s="243">
        <v>39.573680060905524</v>
      </c>
      <c r="BF1045">
        <v>88768.601297916728</v>
      </c>
      <c r="BG1045" t="s">
        <v>387</v>
      </c>
      <c r="BH1045">
        <v>4.232041363195267E-6</v>
      </c>
      <c r="BI1045">
        <v>1754694.5919691888</v>
      </c>
      <c r="BJ1045">
        <f t="shared" si="62"/>
        <v>5.0589203217579329E-2</v>
      </c>
    </row>
    <row r="1046" spans="1:62" x14ac:dyDescent="0.3">
      <c r="A1046">
        <v>-0.1</v>
      </c>
      <c r="B1046" s="146">
        <v>400</v>
      </c>
      <c r="C1046" s="146">
        <v>25</v>
      </c>
      <c r="D1046" s="146">
        <v>400</v>
      </c>
      <c r="E1046" s="252">
        <v>10.175236600144389</v>
      </c>
      <c r="F1046" s="146">
        <v>2.9425259555979713</v>
      </c>
      <c r="G1046" s="146">
        <v>12.121783447887577</v>
      </c>
      <c r="H1046" s="146">
        <v>2.9042017188483253</v>
      </c>
      <c r="I1046" s="146"/>
      <c r="J1046" s="146">
        <v>0.1400964794567654</v>
      </c>
      <c r="K1046" s="146">
        <v>0.08</v>
      </c>
      <c r="L1046" s="146">
        <v>58.679487054152169</v>
      </c>
      <c r="M1046" s="146">
        <v>32.777370152864293</v>
      </c>
      <c r="N1046" s="146">
        <v>0.77540519697886001</v>
      </c>
      <c r="O1046" s="146"/>
      <c r="P1046" s="146"/>
      <c r="Q1046" s="146"/>
      <c r="R1046" s="146"/>
      <c r="S1046" s="146"/>
      <c r="T1046" s="146"/>
      <c r="U1046" s="146"/>
      <c r="V1046" s="146"/>
      <c r="W1046" s="146"/>
      <c r="X1046" s="146"/>
      <c r="Y1046" s="146"/>
      <c r="Z1046" s="146">
        <v>0.26699426281117639</v>
      </c>
      <c r="AA1046" s="146"/>
      <c r="AB1046" s="146"/>
      <c r="AC1046" s="146"/>
      <c r="AD1046" s="146"/>
      <c r="AE1046" s="146"/>
      <c r="AF1046" s="146"/>
      <c r="AG1046" s="146"/>
      <c r="AH1046" s="146"/>
      <c r="AI1046" s="146"/>
      <c r="AJ1046" s="146"/>
      <c r="AK1046" s="146"/>
      <c r="AL1046" s="146">
        <v>722.31380524216308</v>
      </c>
      <c r="AM1046" s="146">
        <v>0.24274694959269838</v>
      </c>
      <c r="AN1046" s="146">
        <v>0.25394179747179724</v>
      </c>
      <c r="AO1046" s="146">
        <v>359.93083178331659</v>
      </c>
      <c r="AP1046" s="146">
        <v>334.61120675273349</v>
      </c>
      <c r="AQ1046" t="s">
        <v>382</v>
      </c>
      <c r="AR1046">
        <f t="shared" si="63"/>
        <v>4.8813386259591285</v>
      </c>
      <c r="AS1046">
        <f t="shared" si="64"/>
        <v>1.3321822791215501</v>
      </c>
      <c r="AT1046">
        <v>0.1</v>
      </c>
      <c r="AU1046">
        <v>0</v>
      </c>
      <c r="AV1046">
        <v>0.2</v>
      </c>
      <c r="AW1046">
        <v>3</v>
      </c>
      <c r="AX1046">
        <v>8.5634927636704619E-2</v>
      </c>
      <c r="AY1046">
        <v>0.08</v>
      </c>
      <c r="AZ1046" s="209">
        <v>334.61120675273349</v>
      </c>
      <c r="BA1046">
        <v>8.5634927636704619E-2</v>
      </c>
      <c r="BB1046" s="249">
        <v>32.477223164918861</v>
      </c>
      <c r="BC1046" s="243">
        <v>142.71580093115742</v>
      </c>
      <c r="BD1046" s="209">
        <v>66878.361564644743</v>
      </c>
      <c r="BE1046" s="243">
        <v>47.397747046522824</v>
      </c>
      <c r="BF1046">
        <v>127609.82123180213</v>
      </c>
      <c r="BG1046" t="s">
        <v>387</v>
      </c>
      <c r="BH1046">
        <v>4.8669798664806579E-6</v>
      </c>
      <c r="BI1046">
        <v>1868783.6156464475</v>
      </c>
      <c r="BJ1046">
        <f t="shared" si="62"/>
        <v>6.8284963632699383E-2</v>
      </c>
    </row>
    <row r="1047" spans="1:62" x14ac:dyDescent="0.3">
      <c r="A1047">
        <v>-0.1</v>
      </c>
      <c r="B1047" s="146">
        <v>600</v>
      </c>
      <c r="C1047" s="146">
        <v>25</v>
      </c>
      <c r="D1047" s="146">
        <v>400</v>
      </c>
      <c r="E1047" s="252">
        <v>13.387119251284959</v>
      </c>
      <c r="F1047" s="146">
        <v>4.0337981114682098</v>
      </c>
      <c r="G1047" s="146">
        <v>15.981329454206881</v>
      </c>
      <c r="H1047" s="146">
        <v>3.9210522301447117</v>
      </c>
      <c r="I1047" s="146"/>
      <c r="J1047" s="146">
        <v>0.13883593221828852</v>
      </c>
      <c r="K1047" s="146">
        <v>0.08</v>
      </c>
      <c r="L1047" s="146">
        <v>79.36766031048667</v>
      </c>
      <c r="M1047" s="146">
        <v>44.333434233378114</v>
      </c>
      <c r="N1047" s="146">
        <v>0.94784947327731883</v>
      </c>
      <c r="O1047" s="146"/>
      <c r="P1047" s="146"/>
      <c r="Q1047" s="146"/>
      <c r="R1047" s="146"/>
      <c r="S1047" s="146"/>
      <c r="T1047" s="146"/>
      <c r="U1047" s="146"/>
      <c r="V1047" s="146"/>
      <c r="W1047" s="146"/>
      <c r="X1047" s="146"/>
      <c r="Y1047" s="146"/>
      <c r="Z1047" s="146">
        <v>0.24173344746349812</v>
      </c>
      <c r="AA1047" s="146"/>
      <c r="AB1047" s="146"/>
      <c r="AC1047" s="146"/>
      <c r="AD1047" s="146"/>
      <c r="AE1047" s="146"/>
      <c r="AF1047" s="146"/>
      <c r="AG1047" s="146"/>
      <c r="AH1047" s="146"/>
      <c r="AI1047" s="146"/>
      <c r="AJ1047" s="146"/>
      <c r="AK1047" s="146"/>
      <c r="AL1047" s="146">
        <v>790.1588668886867</v>
      </c>
      <c r="AM1047" s="146">
        <v>0.25240691789920922</v>
      </c>
      <c r="AN1047" s="146">
        <v>0.26533379308371946</v>
      </c>
      <c r="AO1047" s="146">
        <v>349.54612039537312</v>
      </c>
      <c r="AP1047" s="146">
        <v>316.23413025002708</v>
      </c>
      <c r="AQ1047" t="s">
        <v>382</v>
      </c>
      <c r="AR1047">
        <f t="shared" si="63"/>
        <v>4.8813386259591285</v>
      </c>
      <c r="AS1047">
        <f t="shared" si="64"/>
        <v>1.3321822791215501</v>
      </c>
      <c r="AT1047">
        <v>0.1</v>
      </c>
      <c r="AU1047">
        <v>0</v>
      </c>
      <c r="AV1047">
        <v>0.2</v>
      </c>
      <c r="AW1047">
        <v>3</v>
      </c>
      <c r="AX1047">
        <v>8.6775995559823862E-2</v>
      </c>
      <c r="AY1047">
        <v>0.08</v>
      </c>
      <c r="AZ1047" s="209">
        <v>316.23413025002708</v>
      </c>
      <c r="BA1047">
        <v>8.6775995559823862E-2</v>
      </c>
      <c r="BB1047" s="249">
        <v>43.834517435780384</v>
      </c>
      <c r="BC1047" s="243">
        <v>170.47465736747804</v>
      </c>
      <c r="BD1047" s="209">
        <v>85749.470633149787</v>
      </c>
      <c r="BE1047" s="243">
        <v>60.449801507648083</v>
      </c>
      <c r="BF1047">
        <v>204601.19766471052</v>
      </c>
      <c r="BG1047" t="s">
        <v>387</v>
      </c>
      <c r="BH1047">
        <v>5.6758068872737933E-6</v>
      </c>
      <c r="BI1047">
        <v>2057494.706331498</v>
      </c>
      <c r="BJ1047">
        <f t="shared" si="62"/>
        <v>9.9441907206416755E-2</v>
      </c>
    </row>
    <row r="1048" spans="1:62" x14ac:dyDescent="0.3">
      <c r="A1048">
        <v>-0.1</v>
      </c>
      <c r="B1048" s="146">
        <v>800</v>
      </c>
      <c r="C1048" s="146">
        <v>25</v>
      </c>
      <c r="D1048" s="146">
        <v>400</v>
      </c>
      <c r="E1048" s="252">
        <v>15.867135633676076</v>
      </c>
      <c r="F1048" s="146">
        <v>4.9535389251443291</v>
      </c>
      <c r="G1048" s="146">
        <v>18.997235828031275</v>
      </c>
      <c r="H1048" s="146">
        <v>4.7511320482679285</v>
      </c>
      <c r="I1048" s="146"/>
      <c r="J1048" s="146">
        <v>0.13814243454631273</v>
      </c>
      <c r="K1048" s="146">
        <v>0.08</v>
      </c>
      <c r="L1048" s="146">
        <v>96.307062727247185</v>
      </c>
      <c r="M1048" s="146">
        <v>53.795498253639444</v>
      </c>
      <c r="N1048" s="146">
        <v>1.0714991877950926</v>
      </c>
      <c r="O1048" s="146"/>
      <c r="P1048" s="146"/>
      <c r="Q1048" s="146"/>
      <c r="R1048" s="146"/>
      <c r="S1048" s="146"/>
      <c r="T1048" s="146"/>
      <c r="U1048" s="146"/>
      <c r="V1048" s="146"/>
      <c r="W1048" s="146"/>
      <c r="X1048" s="146"/>
      <c r="Y1048" s="146"/>
      <c r="Z1048" s="146">
        <v>0.2255250279111308</v>
      </c>
      <c r="AA1048" s="146"/>
      <c r="AB1048" s="146"/>
      <c r="AC1048" s="146"/>
      <c r="AD1048" s="146"/>
      <c r="AE1048" s="146"/>
      <c r="AF1048" s="146"/>
      <c r="AG1048" s="146"/>
      <c r="AH1048" s="146"/>
      <c r="AI1048" s="146"/>
      <c r="AJ1048" s="146"/>
      <c r="AK1048" s="146"/>
      <c r="AL1048" s="146">
        <v>838.09108444771073</v>
      </c>
      <c r="AM1048" s="146">
        <v>0.26075050970495189</v>
      </c>
      <c r="AN1048" s="146">
        <v>0.27274642607310878</v>
      </c>
      <c r="AO1048" s="146">
        <v>341.8245882737142</v>
      </c>
      <c r="AP1048" s="146">
        <v>302.34149055016519</v>
      </c>
      <c r="AQ1048" t="s">
        <v>382</v>
      </c>
      <c r="AR1048">
        <f t="shared" si="63"/>
        <v>4.8813386259591285</v>
      </c>
      <c r="AS1048">
        <f t="shared" si="64"/>
        <v>1.3321822791215501</v>
      </c>
      <c r="AT1048">
        <v>0.1</v>
      </c>
      <c r="AU1048">
        <v>0</v>
      </c>
      <c r="AV1048">
        <v>0.2</v>
      </c>
      <c r="AW1048">
        <v>3</v>
      </c>
      <c r="AX1048">
        <v>8.7574566946104243E-2</v>
      </c>
      <c r="AY1048">
        <v>0.08</v>
      </c>
      <c r="AZ1048" s="209">
        <v>302.34149055016519</v>
      </c>
      <c r="BA1048">
        <v>8.7574566946104243E-2</v>
      </c>
      <c r="BB1048" s="249">
        <v>53.153400741777546</v>
      </c>
      <c r="BC1048" s="243">
        <v>190.51407723363934</v>
      </c>
      <c r="BD1048" s="209">
        <v>100474.67312844607</v>
      </c>
      <c r="BE1048" s="243">
        <v>70.818215479574235</v>
      </c>
      <c r="BF1048">
        <v>275952.58722121891</v>
      </c>
      <c r="BG1048" t="s">
        <v>387</v>
      </c>
      <c r="BH1048">
        <v>6.1443230069172422E-6</v>
      </c>
      <c r="BI1048">
        <v>2204746.731284461</v>
      </c>
      <c r="BJ1048">
        <f t="shared" si="62"/>
        <v>0.12516294198583616</v>
      </c>
    </row>
    <row r="1049" spans="1:62" x14ac:dyDescent="0.3">
      <c r="A1049">
        <v>-0.1</v>
      </c>
      <c r="B1049" s="146">
        <v>1000</v>
      </c>
      <c r="C1049" s="146">
        <v>25</v>
      </c>
      <c r="D1049" s="146">
        <v>400</v>
      </c>
      <c r="E1049" s="252">
        <v>17.799402665081093</v>
      </c>
      <c r="F1049" s="146">
        <v>5.7231310716471837</v>
      </c>
      <c r="G1049" s="146">
        <v>21.371974167885888</v>
      </c>
      <c r="H1049" s="146">
        <v>5.4286084378335273</v>
      </c>
      <c r="I1049" s="146"/>
      <c r="J1049" s="146">
        <v>0.1377331455743393</v>
      </c>
      <c r="K1049" s="146">
        <v>0.08</v>
      </c>
      <c r="L1049" s="146">
        <v>110.17021408764649</v>
      </c>
      <c r="M1049" s="146">
        <v>61.539220403181275</v>
      </c>
      <c r="N1049" s="146">
        <v>1.1633804123105334</v>
      </c>
      <c r="O1049" s="146"/>
      <c r="P1049" s="146"/>
      <c r="Q1049" s="146"/>
      <c r="R1049" s="146"/>
      <c r="S1049" s="146"/>
      <c r="T1049" s="146"/>
      <c r="U1049" s="146"/>
      <c r="V1049" s="146"/>
      <c r="W1049" s="146"/>
      <c r="X1049" s="146"/>
      <c r="Y1049" s="146"/>
      <c r="Z1049" s="146">
        <v>0.21430545703068249</v>
      </c>
      <c r="AA1049" s="146"/>
      <c r="AB1049" s="146"/>
      <c r="AC1049" s="146"/>
      <c r="AD1049" s="146"/>
      <c r="AE1049" s="146"/>
      <c r="AF1049" s="146"/>
      <c r="AG1049" s="146"/>
      <c r="AH1049" s="146"/>
      <c r="AI1049" s="146"/>
      <c r="AJ1049" s="146"/>
      <c r="AK1049" s="146"/>
      <c r="AL1049" s="146">
        <v>873.3616245105768</v>
      </c>
      <c r="AM1049" s="146">
        <v>0.26778672979340001</v>
      </c>
      <c r="AN1049" s="146">
        <v>0.27795383518397832</v>
      </c>
      <c r="AO1049" s="146">
        <v>335.96273764922284</v>
      </c>
      <c r="AP1049" s="146">
        <v>291.67141835530919</v>
      </c>
      <c r="AQ1049" t="s">
        <v>382</v>
      </c>
      <c r="AR1049">
        <f t="shared" si="63"/>
        <v>4.8813386259591285</v>
      </c>
      <c r="AS1049">
        <f t="shared" si="64"/>
        <v>1.3321822791215501</v>
      </c>
      <c r="AT1049">
        <v>0.1</v>
      </c>
      <c r="AU1049">
        <v>0</v>
      </c>
      <c r="AV1049">
        <v>0.2</v>
      </c>
      <c r="AW1049">
        <v>3</v>
      </c>
      <c r="AX1049">
        <v>8.8166670434172645E-2</v>
      </c>
      <c r="AY1049">
        <v>0.08</v>
      </c>
      <c r="AZ1049" s="209">
        <v>291.67141835530919</v>
      </c>
      <c r="BA1049">
        <v>8.8166670434172645E-2</v>
      </c>
      <c r="BB1049" s="249">
        <v>60.791975445816277</v>
      </c>
      <c r="BC1049" s="243">
        <v>205.24854608125264</v>
      </c>
      <c r="BD1049" s="209">
        <v>111999.12798406075</v>
      </c>
      <c r="BE1049" s="243">
        <v>79.153840711228639</v>
      </c>
      <c r="BF1049">
        <v>339216.65004421491</v>
      </c>
      <c r="BG1049" t="s">
        <v>387</v>
      </c>
      <c r="BH1049">
        <v>6.4339684698861494E-6</v>
      </c>
      <c r="BI1049">
        <v>2319991.2798406072</v>
      </c>
      <c r="BJ1049">
        <f t="shared" si="62"/>
        <v>0.14621462287027237</v>
      </c>
    </row>
    <row r="1050" spans="1:62" x14ac:dyDescent="0.3">
      <c r="A1050">
        <v>-0.1</v>
      </c>
      <c r="B1050" s="146">
        <v>1300</v>
      </c>
      <c r="C1050" s="146">
        <v>25</v>
      </c>
      <c r="D1050" s="146">
        <v>400</v>
      </c>
      <c r="E1050" s="252">
        <v>19.913041823535682</v>
      </c>
      <c r="F1050" s="146">
        <v>6.6157197083631782</v>
      </c>
      <c r="G1050" s="146">
        <v>23.992237789718757</v>
      </c>
      <c r="H1050" s="146">
        <v>6.2103467709414479</v>
      </c>
      <c r="I1050" s="146"/>
      <c r="J1050" s="146">
        <v>0.13658075959461047</v>
      </c>
      <c r="K1050" s="146">
        <v>0.08</v>
      </c>
      <c r="L1050" s="146">
        <v>126.21834137307567</v>
      </c>
      <c r="M1050" s="146">
        <v>70.503433192045009</v>
      </c>
      <c r="N1050" s="146">
        <v>1.2768497154562244</v>
      </c>
      <c r="O1050" s="146"/>
      <c r="P1050" s="146"/>
      <c r="Q1050" s="146"/>
      <c r="R1050" s="146"/>
      <c r="S1050" s="146"/>
      <c r="T1050" s="146"/>
      <c r="U1050" s="146"/>
      <c r="V1050" s="146"/>
      <c r="W1050" s="146"/>
      <c r="X1050" s="146"/>
      <c r="Y1050" s="146"/>
      <c r="Z1050" s="146">
        <v>0.20560038956772494</v>
      </c>
      <c r="AA1050" s="146"/>
      <c r="AB1050" s="146"/>
      <c r="AC1050" s="146"/>
      <c r="AD1050" s="146"/>
      <c r="AE1050" s="146"/>
      <c r="AF1050" s="146"/>
      <c r="AG1050" s="146"/>
      <c r="AH1050" s="146"/>
      <c r="AI1050" s="146"/>
      <c r="AJ1050" s="146"/>
      <c r="AK1050" s="146"/>
      <c r="AL1050" s="146">
        <v>918.71804166244965</v>
      </c>
      <c r="AM1050" s="146">
        <v>0.27574417052494249</v>
      </c>
      <c r="AN1050" s="146">
        <v>0.28384006750460178</v>
      </c>
      <c r="AO1050" s="146">
        <v>329.84414780266059</v>
      </c>
      <c r="AP1050" s="146">
        <v>280.29318393433812</v>
      </c>
      <c r="AQ1050" t="s">
        <v>382</v>
      </c>
      <c r="AR1050">
        <f t="shared" si="63"/>
        <v>4.8813386259591285</v>
      </c>
      <c r="AS1050">
        <f t="shared" si="64"/>
        <v>1.3321822791215501</v>
      </c>
      <c r="AT1050">
        <v>0.1</v>
      </c>
      <c r="AU1050">
        <v>0</v>
      </c>
      <c r="AV1050">
        <v>0.2</v>
      </c>
      <c r="AW1050" s="146">
        <v>3</v>
      </c>
      <c r="AX1050">
        <v>8.8562043948428495E-2</v>
      </c>
      <c r="AY1050">
        <v>0.08</v>
      </c>
      <c r="AZ1050" s="209">
        <v>280.29318393433812</v>
      </c>
      <c r="BA1050">
        <v>8.8562043948428495E-2</v>
      </c>
      <c r="BB1050" s="249">
        <v>69.513123976233501</v>
      </c>
      <c r="BC1050" s="243">
        <v>220.18658719521352</v>
      </c>
      <c r="BD1050" s="209">
        <v>124356.35778631012</v>
      </c>
      <c r="BE1050" s="243">
        <v>88.347857605380639</v>
      </c>
      <c r="BF1050">
        <v>416126.80102675426</v>
      </c>
      <c r="BG1050" t="s">
        <v>387</v>
      </c>
      <c r="BH1050">
        <v>6.6954490534897725E-6</v>
      </c>
      <c r="BI1050">
        <v>2443563.5778631009</v>
      </c>
      <c r="BJ1050">
        <f t="shared" si="62"/>
        <v>0.17029505792137301</v>
      </c>
    </row>
    <row r="1051" spans="1:62" x14ac:dyDescent="0.3">
      <c r="A1051">
        <v>-0.1</v>
      </c>
      <c r="B1051" s="227">
        <v>1600</v>
      </c>
      <c r="C1051" s="146">
        <v>25</v>
      </c>
      <c r="D1051" s="146">
        <v>400</v>
      </c>
      <c r="E1051" s="252">
        <v>21.379781331172232</v>
      </c>
      <c r="F1051" s="146">
        <v>7.2726370702062537</v>
      </c>
      <c r="G1051" s="146">
        <v>25.827355109566909</v>
      </c>
      <c r="H1051" s="146">
        <v>6.782437405724024</v>
      </c>
      <c r="I1051" s="146"/>
      <c r="J1051" s="146">
        <v>0.13687172126719013</v>
      </c>
      <c r="K1051" s="146">
        <v>0.08</v>
      </c>
      <c r="L1051" s="146">
        <v>138.00385677370693</v>
      </c>
      <c r="M1051" s="146">
        <v>77.086622993487538</v>
      </c>
      <c r="N1051" s="146">
        <v>1.3414033607534392</v>
      </c>
      <c r="O1051" s="146"/>
      <c r="P1051" s="146"/>
      <c r="Q1051" s="146"/>
      <c r="R1051" s="146"/>
      <c r="S1051" s="146"/>
      <c r="T1051" s="146"/>
      <c r="U1051" s="146"/>
      <c r="V1051" s="146"/>
      <c r="W1051" s="146"/>
      <c r="X1051" s="146"/>
      <c r="Y1051" s="146"/>
      <c r="Z1051" s="146">
        <v>0.19777600300761561</v>
      </c>
      <c r="AA1051" s="146"/>
      <c r="AB1051" s="146"/>
      <c r="AC1051" s="146"/>
      <c r="AD1051" s="146"/>
      <c r="AE1051" s="146"/>
      <c r="AF1051" s="146"/>
      <c r="AG1051" s="146"/>
      <c r="AH1051" s="146"/>
      <c r="AI1051" s="146"/>
      <c r="AJ1051" s="146"/>
      <c r="AK1051" s="146"/>
      <c r="AL1051" s="146">
        <v>943.22685748201286</v>
      </c>
      <c r="AM1051" s="146">
        <v>0.28158659837035888</v>
      </c>
      <c r="AN1051" s="146">
        <v>0.28784896532580101</v>
      </c>
      <c r="AO1051" s="146">
        <v>325.72569678347259</v>
      </c>
      <c r="AP1051" s="146">
        <v>272.52517710529389</v>
      </c>
      <c r="AQ1051" t="s">
        <v>382</v>
      </c>
      <c r="AR1051">
        <f t="shared" si="63"/>
        <v>4.8813386259591285</v>
      </c>
      <c r="AS1051">
        <f t="shared" si="64"/>
        <v>1.3321822791215501</v>
      </c>
      <c r="AT1051">
        <v>0.1</v>
      </c>
      <c r="AU1051">
        <v>0</v>
      </c>
      <c r="AV1051">
        <v>0.2</v>
      </c>
      <c r="AW1051" s="146">
        <v>3</v>
      </c>
      <c r="AX1051">
        <v>8.9301044563149329E-2</v>
      </c>
      <c r="AY1051">
        <v>0.08</v>
      </c>
      <c r="AZ1051" s="209">
        <v>272.52517710529389</v>
      </c>
      <c r="BA1051">
        <v>8.9301044563149329E-2</v>
      </c>
      <c r="BB1051" s="249">
        <v>75.823644236384339</v>
      </c>
      <c r="BC1051" s="243">
        <v>229.69669897232461</v>
      </c>
      <c r="BD1051" s="209">
        <v>132719.21237032171</v>
      </c>
      <c r="BE1051" s="243">
        <v>94.805398344295753</v>
      </c>
      <c r="BF1051">
        <v>474405.97569047823</v>
      </c>
      <c r="BG1051" t="s">
        <v>387</v>
      </c>
      <c r="BH1051">
        <v>6.8490422685581629E-6</v>
      </c>
      <c r="BI1051">
        <v>2527192.1237032171</v>
      </c>
      <c r="BJ1051">
        <f t="shared" si="62"/>
        <v>0.18772058176380677</v>
      </c>
    </row>
    <row r="1052" spans="1:62" s="140" customFormat="1" x14ac:dyDescent="0.3">
      <c r="A1052" s="140">
        <v>-0.1</v>
      </c>
      <c r="B1052" s="140">
        <v>1900</v>
      </c>
      <c r="C1052" s="140">
        <v>25</v>
      </c>
      <c r="D1052" s="140">
        <v>400</v>
      </c>
      <c r="E1052" s="253">
        <v>22.437447480365432</v>
      </c>
      <c r="F1052" s="140">
        <v>7.7669694665607807</v>
      </c>
      <c r="G1052" s="140">
        <v>27.159954107670181</v>
      </c>
      <c r="H1052" s="140">
        <v>7.2092522090549132</v>
      </c>
      <c r="J1052" s="140">
        <v>0.13718033637938157</v>
      </c>
      <c r="K1052" s="140">
        <v>0.08</v>
      </c>
      <c r="L1052" s="140">
        <v>146.82269123227778</v>
      </c>
      <c r="M1052" s="140">
        <v>82.012674939010751</v>
      </c>
      <c r="N1052" s="140">
        <v>1.3860689657487661</v>
      </c>
      <c r="Z1052" s="140">
        <v>0.19226251566117297</v>
      </c>
      <c r="AL1052" s="140">
        <v>959.99910953474239</v>
      </c>
      <c r="AM1052" s="140">
        <v>0.28597137667354633</v>
      </c>
      <c r="AN1052" s="140">
        <v>0.29062930072025195</v>
      </c>
      <c r="AO1052" s="140">
        <v>322.79702210080046</v>
      </c>
      <c r="AP1052" s="140">
        <v>266.96462666035939</v>
      </c>
      <c r="AQ1052" t="s">
        <v>382</v>
      </c>
      <c r="AR1052">
        <f t="shared" si="63"/>
        <v>4.8813386259591285</v>
      </c>
      <c r="AS1052">
        <f t="shared" si="64"/>
        <v>1.3321822791215501</v>
      </c>
      <c r="AT1052">
        <v>0.1</v>
      </c>
      <c r="AU1052">
        <v>0</v>
      </c>
      <c r="AV1052">
        <v>0.2</v>
      </c>
      <c r="AW1052" s="140">
        <v>3</v>
      </c>
      <c r="AX1052">
        <v>8.9875003704233528E-2</v>
      </c>
      <c r="AY1052">
        <v>0.08</v>
      </c>
      <c r="AZ1052" s="209">
        <v>266.96462666035939</v>
      </c>
      <c r="BA1052" s="140">
        <v>8.9875003704233528E-2</v>
      </c>
      <c r="BB1052" s="253">
        <v>80.518981079844465</v>
      </c>
      <c r="BC1052" s="245">
        <v>236.03224288685976</v>
      </c>
      <c r="BD1052" s="210">
        <v>138648.80079216123</v>
      </c>
      <c r="BE1052" s="245">
        <v>99.576514722884454</v>
      </c>
      <c r="BF1052" s="140">
        <v>519078.65184357017</v>
      </c>
      <c r="BG1052" t="s">
        <v>387</v>
      </c>
      <c r="BH1052" s="140">
        <v>6.9469117258780678E-6</v>
      </c>
      <c r="BI1052" s="140">
        <v>2586488.0079216124</v>
      </c>
      <c r="BJ1052">
        <f t="shared" si="62"/>
        <v>0.20068859791879681</v>
      </c>
    </row>
    <row r="1053" spans="1:62" x14ac:dyDescent="0.3">
      <c r="A1053">
        <v>-0.1</v>
      </c>
      <c r="B1053" s="146">
        <v>1000</v>
      </c>
      <c r="C1053" s="146">
        <v>25</v>
      </c>
      <c r="D1053" s="146">
        <v>200</v>
      </c>
      <c r="E1053" s="252">
        <v>12.03811831590623</v>
      </c>
      <c r="F1053" s="146">
        <v>9.5991235746618848</v>
      </c>
      <c r="G1053" s="146">
        <v>17.650622052105877</v>
      </c>
      <c r="H1053" s="146">
        <v>5.7060119578684017</v>
      </c>
      <c r="I1053" s="146"/>
      <c r="J1053" s="146">
        <v>0.15912097146893969</v>
      </c>
      <c r="K1053" s="146">
        <v>0.08</v>
      </c>
      <c r="L1053" s="146">
        <v>116.32287087554397</v>
      </c>
      <c r="M1053" s="146">
        <v>64.975990543559988</v>
      </c>
      <c r="N1053" s="146">
        <v>0.78246823682149369</v>
      </c>
      <c r="O1053" s="146"/>
      <c r="P1053" s="146"/>
      <c r="Q1053" s="146"/>
      <c r="R1053" s="146"/>
      <c r="S1053" s="146"/>
      <c r="T1053" s="146"/>
      <c r="U1053" s="146"/>
      <c r="V1053" s="146"/>
      <c r="W1053" s="146"/>
      <c r="X1053" s="146"/>
      <c r="Y1053" s="146"/>
      <c r="Z1053" s="146">
        <v>0.13713049369665198</v>
      </c>
      <c r="AA1053" s="146"/>
      <c r="AB1053" s="146"/>
      <c r="AC1053" s="146"/>
      <c r="AD1053" s="146"/>
      <c r="AE1053" s="146"/>
      <c r="AF1053" s="146"/>
      <c r="AG1053" s="146"/>
      <c r="AH1053" s="146"/>
      <c r="AI1053" s="146"/>
      <c r="AJ1053" s="146"/>
      <c r="AK1053" s="146"/>
      <c r="AL1053" s="146">
        <v>519.53292688490899</v>
      </c>
      <c r="AM1053" s="146">
        <v>0.5438405256383938</v>
      </c>
      <c r="AN1053" s="146">
        <v>0.28836540406649175</v>
      </c>
      <c r="AO1053" s="146">
        <v>158.2539439678053</v>
      </c>
      <c r="AP1053" s="146">
        <v>128.29880847416203</v>
      </c>
      <c r="AQ1053" t="s">
        <v>382</v>
      </c>
      <c r="AR1053">
        <f t="shared" si="63"/>
        <v>4.8813386259591285</v>
      </c>
      <c r="AS1053">
        <f t="shared" si="64"/>
        <v>1.3321822791215501</v>
      </c>
      <c r="AT1053">
        <v>0.1</v>
      </c>
      <c r="AU1053">
        <v>0</v>
      </c>
      <c r="AV1053">
        <v>0.2</v>
      </c>
      <c r="AW1053" s="146">
        <v>3</v>
      </c>
      <c r="AX1053">
        <v>8.2516297910836339E-2</v>
      </c>
      <c r="AY1053">
        <v>0.08</v>
      </c>
      <c r="AZ1053" s="209">
        <v>128.29880847416203</v>
      </c>
      <c r="BA1053">
        <v>8.2516297910836339E-2</v>
      </c>
      <c r="BB1053" s="249">
        <v>83.481793930217904</v>
      </c>
      <c r="BC1053" s="243">
        <v>224.45215555986061</v>
      </c>
      <c r="BD1053" s="209">
        <v>134877.32363950135</v>
      </c>
      <c r="BE1053" s="243">
        <v>100.72462398762117</v>
      </c>
      <c r="BF1053">
        <v>238061.47393444044</v>
      </c>
      <c r="BG1053" t="s">
        <v>388</v>
      </c>
      <c r="BH1053">
        <v>4.0797740810374446E-6</v>
      </c>
      <c r="BI1053">
        <v>2548773.2363950135</v>
      </c>
      <c r="BJ1053">
        <f t="shared" si="62"/>
        <v>9.3402375125044373E-2</v>
      </c>
    </row>
    <row r="1054" spans="1:62" x14ac:dyDescent="0.3">
      <c r="A1054">
        <v>-0.1</v>
      </c>
      <c r="B1054" s="146">
        <v>1000</v>
      </c>
      <c r="C1054" s="146">
        <v>25</v>
      </c>
      <c r="D1054" s="146">
        <v>300</v>
      </c>
      <c r="E1054" s="252">
        <v>15.572455072643614</v>
      </c>
      <c r="F1054" s="146">
        <v>7.2759337172425642</v>
      </c>
      <c r="G1054" s="146">
        <v>19.964273802332528</v>
      </c>
      <c r="H1054" s="146">
        <v>5.5409000702857893</v>
      </c>
      <c r="I1054" s="146"/>
      <c r="J1054" s="146">
        <v>0.13978409173543774</v>
      </c>
      <c r="K1054" s="146">
        <v>0.08</v>
      </c>
      <c r="L1054" s="146">
        <v>112.60729813943202</v>
      </c>
      <c r="M1054" s="146">
        <v>62.90053438306149</v>
      </c>
      <c r="N1054" s="146">
        <v>1.0390581117812294</v>
      </c>
      <c r="O1054" s="146"/>
      <c r="P1054" s="146"/>
      <c r="Q1054" s="146"/>
      <c r="R1054" s="146"/>
      <c r="S1054" s="146"/>
      <c r="T1054" s="146"/>
      <c r="U1054" s="146"/>
      <c r="V1054" s="146"/>
      <c r="W1054" s="146"/>
      <c r="X1054" s="146"/>
      <c r="Y1054" s="146"/>
      <c r="Z1054" s="146">
        <v>0.18752514909146101</v>
      </c>
      <c r="AA1054" s="146"/>
      <c r="AB1054" s="146"/>
      <c r="AC1054" s="146"/>
      <c r="AD1054" s="146"/>
      <c r="AE1054" s="146"/>
      <c r="AF1054" s="146"/>
      <c r="AG1054" s="146"/>
      <c r="AH1054" s="146"/>
      <c r="AI1054" s="146"/>
      <c r="AJ1054" s="146"/>
      <c r="AK1054" s="146"/>
      <c r="AL1054" s="146">
        <v>725.5518487437439</v>
      </c>
      <c r="AM1054" s="146">
        <v>0.36444770239488899</v>
      </c>
      <c r="AN1054" s="146">
        <v>0.28196985790223578</v>
      </c>
      <c r="AO1054" s="146">
        <v>244.7726250298609</v>
      </c>
      <c r="AP1054" s="146">
        <v>206.02279285312972</v>
      </c>
      <c r="AQ1054" t="s">
        <v>382</v>
      </c>
      <c r="AR1054">
        <f t="shared" si="63"/>
        <v>4.8813386259591285</v>
      </c>
      <c r="AS1054">
        <f t="shared" si="64"/>
        <v>1.3321822791215501</v>
      </c>
      <c r="AT1054">
        <v>0.1</v>
      </c>
      <c r="AU1054">
        <v>0</v>
      </c>
      <c r="AV1054">
        <v>0.2</v>
      </c>
      <c r="AW1054" s="146">
        <v>3</v>
      </c>
      <c r="AX1054">
        <v>8.3240529432033084E-2</v>
      </c>
      <c r="AY1054">
        <v>0.08</v>
      </c>
      <c r="AZ1054" s="209">
        <v>206.02279285312972</v>
      </c>
      <c r="BA1054">
        <v>8.3240529432033084E-2</v>
      </c>
      <c r="BB1054" s="249">
        <v>70.041903996843303</v>
      </c>
      <c r="BC1054" s="243">
        <v>212.65019083187789</v>
      </c>
      <c r="BD1054" s="209">
        <v>121667.72281411767</v>
      </c>
      <c r="BE1054" s="243">
        <v>88.890557595174727</v>
      </c>
      <c r="BF1054">
        <v>304159.95394371788</v>
      </c>
      <c r="BG1054" t="s">
        <v>388</v>
      </c>
      <c r="BH1054">
        <v>5.4712374641173054E-6</v>
      </c>
      <c r="BI1054">
        <v>2416677.2281411765</v>
      </c>
      <c r="BJ1054">
        <f t="shared" si="62"/>
        <v>0.12585874125096427</v>
      </c>
    </row>
    <row r="1055" spans="1:62" x14ac:dyDescent="0.3">
      <c r="A1055">
        <v>-0.1</v>
      </c>
      <c r="B1055" s="146">
        <v>1000</v>
      </c>
      <c r="C1055" s="146">
        <v>25</v>
      </c>
      <c r="D1055" s="146">
        <v>400</v>
      </c>
      <c r="E1055" s="252">
        <v>17.791000586004603</v>
      </c>
      <c r="F1055" s="146">
        <v>5.7185271663857362</v>
      </c>
      <c r="G1055" s="146">
        <v>21.360771821478171</v>
      </c>
      <c r="H1055" s="146">
        <v>5.4272764779273661</v>
      </c>
      <c r="I1055" s="146"/>
      <c r="J1055" s="146">
        <v>0.13787750300490495</v>
      </c>
      <c r="K1055" s="146">
        <v>0.08</v>
      </c>
      <c r="L1055" s="146">
        <v>110.1433506491064</v>
      </c>
      <c r="M1055" s="146">
        <v>61.52421494023654</v>
      </c>
      <c r="N1055" s="146">
        <v>1.1620138867568244</v>
      </c>
      <c r="O1055" s="146"/>
      <c r="P1055" s="146"/>
      <c r="Q1055" s="146"/>
      <c r="R1055" s="146"/>
      <c r="S1055" s="146"/>
      <c r="T1055" s="146"/>
      <c r="U1055" s="146"/>
      <c r="V1055" s="146"/>
      <c r="W1055" s="146"/>
      <c r="X1055" s="146"/>
      <c r="Y1055" s="146"/>
      <c r="Z1055" s="146">
        <v>0.21410626333165697</v>
      </c>
      <c r="AA1055" s="146"/>
      <c r="AB1055" s="146"/>
      <c r="AC1055" s="146"/>
      <c r="AD1055" s="146"/>
      <c r="AE1055" s="146"/>
      <c r="AF1055" s="146"/>
      <c r="AG1055" s="146"/>
      <c r="AH1055" s="146"/>
      <c r="AI1055" s="146"/>
      <c r="AJ1055" s="146"/>
      <c r="AK1055" s="146"/>
      <c r="AL1055" s="146">
        <v>872.76531680833557</v>
      </c>
      <c r="AM1055" s="146">
        <v>0.26771163580502183</v>
      </c>
      <c r="AN1055" s="146">
        <v>0.27810932916693742</v>
      </c>
      <c r="AO1055" s="146">
        <v>336.02875301128279</v>
      </c>
      <c r="AP1055" s="146">
        <v>291.75837342992344</v>
      </c>
      <c r="AQ1055" t="s">
        <v>382</v>
      </c>
      <c r="AR1055">
        <f t="shared" si="63"/>
        <v>4.8813386259591285</v>
      </c>
      <c r="AS1055">
        <f t="shared" si="64"/>
        <v>1.3321822791215501</v>
      </c>
      <c r="AT1055">
        <v>0.1</v>
      </c>
      <c r="AU1055">
        <v>0</v>
      </c>
      <c r="AV1055">
        <v>0.2</v>
      </c>
      <c r="AW1055" s="146">
        <v>3</v>
      </c>
      <c r="AX1055">
        <v>8.8240896024654847E-2</v>
      </c>
      <c r="AY1055">
        <v>0.08</v>
      </c>
      <c r="AZ1055" s="209">
        <v>291.75837342992344</v>
      </c>
      <c r="BA1055">
        <v>8.8240896024654847E-2</v>
      </c>
      <c r="BB1055" s="249">
        <v>60.748416392982691</v>
      </c>
      <c r="BC1055" s="243">
        <v>205.16836982167808</v>
      </c>
      <c r="BD1055" s="209">
        <v>111885.61968023419</v>
      </c>
      <c r="BE1055" s="243">
        <v>79.034691090602607</v>
      </c>
      <c r="BF1055">
        <v>338803.71726092009</v>
      </c>
      <c r="BG1055" t="s">
        <v>388</v>
      </c>
      <c r="BH1055">
        <v>6.4347436296533031E-6</v>
      </c>
      <c r="BI1055">
        <v>2318856.1968023418</v>
      </c>
      <c r="BJ1055">
        <f t="shared" si="62"/>
        <v>0.14610811904943649</v>
      </c>
    </row>
    <row r="1056" spans="1:62" x14ac:dyDescent="0.3">
      <c r="A1056">
        <v>-0.1</v>
      </c>
      <c r="B1056" s="146">
        <v>1000</v>
      </c>
      <c r="C1056" s="146">
        <v>25</v>
      </c>
      <c r="D1056" s="146">
        <v>500</v>
      </c>
      <c r="E1056" s="252">
        <v>19.234868765284968</v>
      </c>
      <c r="F1056" s="146">
        <v>4.6585011157248353</v>
      </c>
      <c r="G1056" s="146">
        <v>22.245697424936878</v>
      </c>
      <c r="H1056" s="146">
        <v>5.3557852007429911</v>
      </c>
      <c r="I1056" s="146"/>
      <c r="J1056" s="146">
        <v>0.13851705629263444</v>
      </c>
      <c r="K1056" s="146">
        <v>0.08</v>
      </c>
      <c r="L1056" s="146">
        <v>108.60726760914386</v>
      </c>
      <c r="M1056" s="146">
        <v>60.666184904290176</v>
      </c>
      <c r="N1056" s="146">
        <v>1.2453637631752956</v>
      </c>
      <c r="O1056" s="146"/>
      <c r="P1056" s="146"/>
      <c r="Q1056" s="146"/>
      <c r="R1056" s="146"/>
      <c r="S1056" s="146"/>
      <c r="T1056" s="146"/>
      <c r="U1056" s="146"/>
      <c r="V1056" s="146"/>
      <c r="W1056" s="146"/>
      <c r="X1056" s="146"/>
      <c r="Y1056" s="146"/>
      <c r="Z1056" s="146">
        <v>0.23252683154704007</v>
      </c>
      <c r="AA1056" s="146"/>
      <c r="AB1056" s="146"/>
      <c r="AC1056" s="146"/>
      <c r="AD1056" s="146"/>
      <c r="AE1056" s="146"/>
      <c r="AF1056" s="146"/>
      <c r="AG1056" s="146"/>
      <c r="AH1056" s="146"/>
      <c r="AI1056" s="146"/>
      <c r="AJ1056" s="146"/>
      <c r="AK1056" s="146"/>
      <c r="AL1056" s="146">
        <v>1004.9197307463884</v>
      </c>
      <c r="AM1056" s="146">
        <v>0.20941133140212409</v>
      </c>
      <c r="AN1056" s="146">
        <v>0.27518192956093762</v>
      </c>
      <c r="AO1056" s="146">
        <v>430.10126502138104</v>
      </c>
      <c r="AP1056" s="146">
        <v>382.23784915873966</v>
      </c>
      <c r="AQ1056" t="s">
        <v>382</v>
      </c>
      <c r="AR1056">
        <f t="shared" si="63"/>
        <v>4.8813386259591285</v>
      </c>
      <c r="AS1056">
        <f t="shared" si="64"/>
        <v>1.3321822791215501</v>
      </c>
      <c r="AT1056">
        <v>0.1</v>
      </c>
      <c r="AU1056">
        <v>0</v>
      </c>
      <c r="AV1056">
        <v>0.2</v>
      </c>
      <c r="AW1056" s="146">
        <v>3</v>
      </c>
      <c r="AX1056">
        <v>9.3323321356250183E-2</v>
      </c>
      <c r="AY1056">
        <v>0.08</v>
      </c>
      <c r="AZ1056" s="209">
        <v>382.23784915873966</v>
      </c>
      <c r="BA1056">
        <v>9.3323321356250183E-2</v>
      </c>
      <c r="BB1056" s="249">
        <v>54.338729567133434</v>
      </c>
      <c r="BC1056" s="243">
        <v>200.63304410564618</v>
      </c>
      <c r="BD1056" s="209">
        <v>105289.43294323936</v>
      </c>
      <c r="BE1056" s="243">
        <v>71.998196610152121</v>
      </c>
      <c r="BF1056">
        <v>357910.04819512734</v>
      </c>
      <c r="BG1056" t="s">
        <v>388</v>
      </c>
      <c r="BH1056">
        <v>7.1034365345497432E-6</v>
      </c>
      <c r="BI1056">
        <v>2252894.3294323934</v>
      </c>
      <c r="BJ1056">
        <f t="shared" si="62"/>
        <v>0.15886677129916749</v>
      </c>
    </row>
    <row r="1057" spans="1:62" s="146" customFormat="1" x14ac:dyDescent="0.3">
      <c r="A1057">
        <v>-0.1</v>
      </c>
      <c r="B1057" s="146">
        <v>1000</v>
      </c>
      <c r="C1057" s="146">
        <v>25</v>
      </c>
      <c r="D1057" s="146">
        <v>600</v>
      </c>
      <c r="E1057" s="252">
        <v>20.24927886453575</v>
      </c>
      <c r="F1057" s="146">
        <v>3.9176344288742344</v>
      </c>
      <c r="G1057" s="146">
        <v>22.869688014137513</v>
      </c>
      <c r="H1057" s="146">
        <v>5.307316152811687</v>
      </c>
      <c r="J1057" s="146">
        <v>0.13974755755861362</v>
      </c>
      <c r="K1057" s="146">
        <v>0.08</v>
      </c>
      <c r="L1057" s="146">
        <v>107.57168087655467</v>
      </c>
      <c r="M1057" s="146">
        <v>60.087723650391574</v>
      </c>
      <c r="N1057" s="146">
        <v>1.3009596993999288</v>
      </c>
      <c r="Z1057" s="146">
        <v>0.24512572116336279</v>
      </c>
      <c r="AL1057" s="146">
        <v>1125.8951030815708</v>
      </c>
      <c r="AM1057" s="146">
        <v>0.17130248678742113</v>
      </c>
      <c r="AN1057" s="146">
        <v>0.27291148154032469</v>
      </c>
      <c r="AO1057" s="146">
        <v>525.80275937733393</v>
      </c>
      <c r="AP1057" s="146">
        <v>475.41525338160699</v>
      </c>
      <c r="AQ1057" t="s">
        <v>382</v>
      </c>
      <c r="AR1057">
        <f t="shared" si="63"/>
        <v>4.8813386259591285</v>
      </c>
      <c r="AS1057">
        <f t="shared" si="64"/>
        <v>1.3321822791215501</v>
      </c>
      <c r="AT1057">
        <v>0.1</v>
      </c>
      <c r="AU1057">
        <v>0</v>
      </c>
      <c r="AV1057">
        <v>0.2</v>
      </c>
      <c r="AW1057" s="146">
        <v>3</v>
      </c>
      <c r="AX1057">
        <v>9.7861645032528116E-2</v>
      </c>
      <c r="AY1057">
        <v>0.08</v>
      </c>
      <c r="AZ1057" s="209">
        <v>475.41525338160699</v>
      </c>
      <c r="BA1057" s="146">
        <v>9.7861645032528116E-2</v>
      </c>
      <c r="BB1057" s="252">
        <v>49.858284598886058</v>
      </c>
      <c r="BC1057" s="244">
        <v>197.62876286535175</v>
      </c>
      <c r="BD1057" s="229">
        <v>100729.80902937024</v>
      </c>
      <c r="BE1057" s="244">
        <v>67.008011200506203</v>
      </c>
      <c r="BF1057" s="146">
        <v>369828.87371114502</v>
      </c>
      <c r="BG1057" t="s">
        <v>388</v>
      </c>
      <c r="BH1057" s="146">
        <v>7.5903387521136193E-6</v>
      </c>
      <c r="BI1057" s="146">
        <v>2207298.0902937027</v>
      </c>
      <c r="BJ1057">
        <f t="shared" si="62"/>
        <v>0.1675482234762119</v>
      </c>
    </row>
    <row r="1058" spans="1:62" s="140" customFormat="1" x14ac:dyDescent="0.3">
      <c r="A1058">
        <v>-0.1</v>
      </c>
      <c r="B1058" s="146">
        <v>1000</v>
      </c>
      <c r="C1058" s="146">
        <v>25</v>
      </c>
      <c r="D1058" s="146">
        <v>700</v>
      </c>
      <c r="E1058" s="252">
        <v>20.997002554122837</v>
      </c>
      <c r="F1058" s="146">
        <v>3.3755012740454902</v>
      </c>
      <c r="G1058" s="146">
        <v>23.331909717408227</v>
      </c>
      <c r="H1058" s="146">
        <v>5.2728470321692607</v>
      </c>
      <c r="I1058" s="146"/>
      <c r="J1058" s="146">
        <v>0.14095401294049864</v>
      </c>
      <c r="K1058" s="146">
        <v>0.08</v>
      </c>
      <c r="L1058" s="146">
        <v>106.83754352429946</v>
      </c>
      <c r="M1058" s="146">
        <v>59.677646927742209</v>
      </c>
      <c r="N1058" s="146">
        <v>1.3402950668091949</v>
      </c>
      <c r="O1058" s="146"/>
      <c r="P1058" s="146"/>
      <c r="Q1058" s="146"/>
      <c r="R1058" s="146"/>
      <c r="S1058" s="146"/>
      <c r="T1058" s="146"/>
      <c r="U1058" s="146"/>
      <c r="V1058" s="146"/>
      <c r="W1058" s="146"/>
      <c r="X1058" s="146"/>
      <c r="Y1058" s="146"/>
      <c r="Z1058" s="146">
        <v>0.25418811860692164</v>
      </c>
      <c r="AA1058" s="146"/>
      <c r="AB1058" s="146"/>
      <c r="AC1058" s="146"/>
      <c r="AD1058" s="146"/>
      <c r="AE1058" s="146"/>
      <c r="AF1058" s="146"/>
      <c r="AG1058" s="146"/>
      <c r="AH1058" s="146"/>
      <c r="AI1058" s="146"/>
      <c r="AJ1058" s="146"/>
      <c r="AK1058" s="146"/>
      <c r="AL1058" s="146">
        <v>1240.4468100945051</v>
      </c>
      <c r="AM1058" s="146">
        <v>0.14467316713157805</v>
      </c>
      <c r="AN1058" s="146">
        <v>0.2710946333680066</v>
      </c>
      <c r="AO1058" s="146">
        <v>622.54733229772296</v>
      </c>
      <c r="AP1058" s="146">
        <v>570.29927668990717</v>
      </c>
      <c r="AQ1058" t="s">
        <v>382</v>
      </c>
      <c r="AR1058">
        <f t="shared" si="63"/>
        <v>4.8813386259591285</v>
      </c>
      <c r="AS1058">
        <f t="shared" si="64"/>
        <v>1.3321822791215501</v>
      </c>
      <c r="AT1058">
        <v>0.1</v>
      </c>
      <c r="AU1058">
        <v>0</v>
      </c>
      <c r="AV1058">
        <v>0.2</v>
      </c>
      <c r="AW1058" s="146">
        <v>3</v>
      </c>
      <c r="AX1058">
        <v>0.10179638850434429</v>
      </c>
      <c r="AY1058">
        <v>0.08</v>
      </c>
      <c r="AZ1058" s="209">
        <v>570.29927668990717</v>
      </c>
      <c r="BA1058" s="140">
        <v>0.10179638850434429</v>
      </c>
      <c r="BB1058" s="253">
        <v>46.583289884740587</v>
      </c>
      <c r="BC1058" s="245">
        <v>195.52421892731263</v>
      </c>
      <c r="BD1058" s="210">
        <v>97437.059859177607</v>
      </c>
      <c r="BE1058" s="245">
        <v>63.338391577744744</v>
      </c>
      <c r="BF1058" s="140">
        <v>377840.9665640457</v>
      </c>
      <c r="BG1058" t="s">
        <v>388</v>
      </c>
      <c r="BH1058" s="140">
        <v>7.9578960984196884E-6</v>
      </c>
      <c r="BI1058" s="140">
        <v>2174370.5985917761</v>
      </c>
      <c r="BJ1058">
        <f t="shared" si="62"/>
        <v>0.17377027026062308</v>
      </c>
    </row>
    <row r="1059" spans="1:62" x14ac:dyDescent="0.3">
      <c r="A1059">
        <v>-0.1</v>
      </c>
      <c r="B1059" s="146">
        <v>1000</v>
      </c>
      <c r="C1059" s="146">
        <v>25</v>
      </c>
      <c r="D1059" s="146">
        <v>800</v>
      </c>
      <c r="E1059" s="252">
        <v>21.567100583642699</v>
      </c>
      <c r="F1059" s="146">
        <v>2.9629406721438221</v>
      </c>
      <c r="G1059" s="146">
        <v>23.684801716617535</v>
      </c>
      <c r="H1059" s="146">
        <v>5.2470905552827709</v>
      </c>
      <c r="I1059" s="146"/>
      <c r="J1059" s="146">
        <v>0.14204026745492424</v>
      </c>
      <c r="K1059" s="146">
        <v>0.08</v>
      </c>
      <c r="L1059" s="146">
        <v>106.29029675814027</v>
      </c>
      <c r="M1059" s="146">
        <v>59.371964129206418</v>
      </c>
      <c r="N1059" s="146">
        <v>1.3685048448288777</v>
      </c>
      <c r="O1059" s="146"/>
      <c r="P1059" s="146"/>
      <c r="Q1059" s="146"/>
      <c r="R1059" s="146"/>
      <c r="S1059" s="146"/>
      <c r="T1059" s="146"/>
      <c r="U1059" s="146"/>
      <c r="V1059" s="146"/>
      <c r="W1059" s="146"/>
      <c r="X1059" s="146"/>
      <c r="Y1059" s="146"/>
      <c r="Z1059" s="146">
        <v>0.26081212634134299</v>
      </c>
      <c r="AA1059" s="146"/>
      <c r="AB1059" s="146"/>
      <c r="AC1059" s="146"/>
      <c r="AD1059" s="146"/>
      <c r="AE1059" s="146"/>
      <c r="AF1059" s="146"/>
      <c r="AG1059" s="146"/>
      <c r="AH1059" s="146"/>
      <c r="AI1059" s="146"/>
      <c r="AJ1059" s="146"/>
      <c r="AK1059" s="146"/>
      <c r="AL1059" s="146">
        <v>1350.6045307302979</v>
      </c>
      <c r="AM1059" s="146">
        <v>0.12509881685287608</v>
      </c>
      <c r="AN1059" s="146">
        <v>0.26965198866451956</v>
      </c>
      <c r="AO1059" s="146">
        <v>720.01875940001003</v>
      </c>
      <c r="AP1059" s="146">
        <v>666.35210831585846</v>
      </c>
      <c r="AQ1059" t="s">
        <v>382</v>
      </c>
      <c r="AR1059">
        <f t="shared" si="63"/>
        <v>4.8813386259591285</v>
      </c>
      <c r="AS1059">
        <f t="shared" si="64"/>
        <v>1.3321822791215501</v>
      </c>
      <c r="AT1059">
        <v>0.1</v>
      </c>
      <c r="AU1059">
        <v>0</v>
      </c>
      <c r="AV1059">
        <v>0.2</v>
      </c>
      <c r="AW1059" s="146">
        <v>3</v>
      </c>
      <c r="AX1059">
        <v>0.10522381137649825</v>
      </c>
      <c r="AY1059">
        <v>0.08</v>
      </c>
      <c r="AZ1059" s="209">
        <v>666.35210831585846</v>
      </c>
      <c r="BA1059">
        <v>0.10522381137649825</v>
      </c>
      <c r="BB1059" s="249">
        <v>44.091336852441437</v>
      </c>
      <c r="BC1059" s="243">
        <v>193.96875593491779</v>
      </c>
      <c r="BD1059" s="209">
        <v>94945.682101388607</v>
      </c>
      <c r="BE1059" s="243">
        <v>60.52356282625199</v>
      </c>
      <c r="BF1059">
        <v>383441.12610818323</v>
      </c>
      <c r="BG1059" t="s">
        <v>388</v>
      </c>
      <c r="BH1059">
        <v>8.2441465222712796E-6</v>
      </c>
      <c r="BI1059">
        <v>2149456.821013886</v>
      </c>
      <c r="BJ1059">
        <f t="shared" si="62"/>
        <v>0.17838977845915338</v>
      </c>
    </row>
    <row r="1060" spans="1:62" x14ac:dyDescent="0.3">
      <c r="A1060">
        <v>-0.1</v>
      </c>
      <c r="B1060" s="146">
        <v>1000</v>
      </c>
      <c r="C1060" s="146">
        <v>25</v>
      </c>
      <c r="D1060" s="146">
        <v>900</v>
      </c>
      <c r="E1060" s="252">
        <v>22.018307187299978</v>
      </c>
      <c r="F1060" s="146">
        <v>2.6397467708512048</v>
      </c>
      <c r="G1060" s="146">
        <v>23.965987948028392</v>
      </c>
      <c r="H1060" s="146">
        <v>5.2274644242171195</v>
      </c>
      <c r="I1060" s="146"/>
      <c r="J1060" s="146">
        <v>0.14291381160242528</v>
      </c>
      <c r="K1060" s="146">
        <v>0.08</v>
      </c>
      <c r="L1060" s="146">
        <v>105.87371660478263</v>
      </c>
      <c r="M1060" s="146">
        <v>59.139269493134719</v>
      </c>
      <c r="N1060" s="146">
        <v>1.3899683982292999</v>
      </c>
      <c r="O1060" s="146"/>
      <c r="P1060" s="146"/>
      <c r="Q1060" s="146"/>
      <c r="R1060" s="146"/>
      <c r="S1060" s="146"/>
      <c r="T1060" s="146"/>
      <c r="U1060" s="146"/>
      <c r="V1060" s="146"/>
      <c r="W1060" s="146"/>
      <c r="X1060" s="146"/>
      <c r="Y1060" s="146"/>
      <c r="Z1060" s="146">
        <v>0.2658972468162642</v>
      </c>
      <c r="AA1060" s="146"/>
      <c r="AB1060" s="146"/>
      <c r="AC1060" s="146"/>
      <c r="AD1060" s="146"/>
      <c r="AE1060" s="146"/>
      <c r="AF1060" s="146"/>
      <c r="AG1060" s="146"/>
      <c r="AH1060" s="146"/>
      <c r="AI1060" s="146"/>
      <c r="AJ1060" s="146"/>
      <c r="AK1060" s="146"/>
      <c r="AL1060" s="146">
        <v>1458.1665887879617</v>
      </c>
      <c r="AM1060" s="146">
        <v>0.11014554361688096</v>
      </c>
      <c r="AN1060" s="146">
        <v>0.26842555347283792</v>
      </c>
      <c r="AO1060" s="146">
        <v>817.97238786534524</v>
      </c>
      <c r="AP1060" s="146">
        <v>763.18238967331149</v>
      </c>
      <c r="AQ1060" t="s">
        <v>382</v>
      </c>
      <c r="AR1060">
        <f t="shared" si="63"/>
        <v>4.8813386259591285</v>
      </c>
      <c r="AS1060">
        <f t="shared" si="64"/>
        <v>1.3321822791215501</v>
      </c>
      <c r="AT1060">
        <v>0.1</v>
      </c>
      <c r="AU1060">
        <v>0</v>
      </c>
      <c r="AV1060">
        <v>0.2</v>
      </c>
      <c r="AW1060" s="146">
        <v>3</v>
      </c>
      <c r="AX1060">
        <v>0.10818237253826306</v>
      </c>
      <c r="AY1060">
        <v>0.08</v>
      </c>
      <c r="AZ1060" s="209">
        <v>763.18238967331149</v>
      </c>
      <c r="BA1060">
        <v>0.10818237253826306</v>
      </c>
      <c r="BB1060" s="249">
        <v>42.143758296932582</v>
      </c>
      <c r="BC1060" s="243">
        <v>192.79220312150454</v>
      </c>
      <c r="BD1060" s="209">
        <v>93025.552800087287</v>
      </c>
      <c r="BE1060" s="243">
        <v>58.330746999619976</v>
      </c>
      <c r="BF1060">
        <v>387667.581920397</v>
      </c>
      <c r="BG1060" t="s">
        <v>388</v>
      </c>
      <c r="BH1060">
        <v>8.4727809769192171E-6</v>
      </c>
      <c r="BI1060">
        <v>2130255.5280008726</v>
      </c>
      <c r="BJ1060">
        <f t="shared" si="62"/>
        <v>0.18198172793110959</v>
      </c>
    </row>
    <row r="1061" spans="1:62" x14ac:dyDescent="0.3">
      <c r="A1061">
        <v>-0.1</v>
      </c>
      <c r="B1061" s="146">
        <v>1000</v>
      </c>
      <c r="C1061" s="146">
        <v>25</v>
      </c>
      <c r="D1061" s="146">
        <v>1000</v>
      </c>
      <c r="E1061" s="252">
        <v>22.381844296659352</v>
      </c>
      <c r="F1061" s="146">
        <v>2.3796792207186894</v>
      </c>
      <c r="G1061" s="146">
        <v>24.192740250144706</v>
      </c>
      <c r="H1061" s="146">
        <v>5.2118880875315634</v>
      </c>
      <c r="I1061" s="146"/>
      <c r="J1061" s="146">
        <v>0.14365391695480675</v>
      </c>
      <c r="K1061" s="146">
        <v>0.08</v>
      </c>
      <c r="L1061" s="146">
        <v>105.54351729803335</v>
      </c>
      <c r="M1061" s="146">
        <v>58.954825738683482</v>
      </c>
      <c r="N1061" s="146">
        <v>1.4058979812976835</v>
      </c>
      <c r="O1061" s="146"/>
      <c r="P1061" s="146"/>
      <c r="Q1061" s="146"/>
      <c r="R1061" s="146"/>
      <c r="S1061" s="146"/>
      <c r="T1061" s="146"/>
      <c r="U1061" s="146"/>
      <c r="V1061" s="146"/>
      <c r="W1061" s="146"/>
      <c r="X1061" s="146"/>
      <c r="Y1061" s="146"/>
      <c r="Z1061" s="146">
        <v>0.26974830573607733</v>
      </c>
      <c r="AA1061" s="146"/>
      <c r="AB1061" s="146"/>
      <c r="AC1061" s="146"/>
      <c r="AD1061" s="146"/>
      <c r="AE1061" s="146"/>
      <c r="AF1061" s="146"/>
      <c r="AG1061" s="146"/>
      <c r="AH1061" s="146"/>
      <c r="AI1061" s="146"/>
      <c r="AJ1061" s="146"/>
      <c r="AK1061" s="146"/>
      <c r="AL1061" s="146">
        <v>1563.5577195173869</v>
      </c>
      <c r="AM1061" s="146">
        <v>9.8363360087101157E-2</v>
      </c>
      <c r="AN1061" s="146">
        <v>0.2674149258904811</v>
      </c>
      <c r="AO1061" s="146">
        <v>916.3029355144306</v>
      </c>
      <c r="AP1061" s="146">
        <v>860.60872886854543</v>
      </c>
      <c r="AQ1061" t="s">
        <v>382</v>
      </c>
      <c r="AR1061">
        <f t="shared" si="63"/>
        <v>4.8813386259591285</v>
      </c>
      <c r="AS1061">
        <f t="shared" si="64"/>
        <v>1.3321822791215501</v>
      </c>
      <c r="AT1061">
        <v>0.1</v>
      </c>
      <c r="AU1061">
        <v>0</v>
      </c>
      <c r="AV1061">
        <v>0.2</v>
      </c>
      <c r="AW1061" s="146">
        <v>3</v>
      </c>
      <c r="AX1061">
        <v>0.11078602346638336</v>
      </c>
      <c r="AY1061">
        <v>0.08</v>
      </c>
      <c r="AZ1061" s="209">
        <v>860.60872886854543</v>
      </c>
      <c r="BA1061">
        <v>0.11078602346638336</v>
      </c>
      <c r="BB1061" s="249">
        <v>40.576967675928145</v>
      </c>
      <c r="BC1061" s="243">
        <v>191.86417542087028</v>
      </c>
      <c r="BD1061" s="209">
        <v>91487.050928789919</v>
      </c>
      <c r="BE1061" s="243">
        <v>56.558361829532572</v>
      </c>
      <c r="BF1061">
        <v>390870.10760587256</v>
      </c>
      <c r="BG1061" t="s">
        <v>388</v>
      </c>
      <c r="BH1061">
        <v>8.659431856902528E-6</v>
      </c>
      <c r="BI1061">
        <v>2114870.5092878994</v>
      </c>
      <c r="BJ1061">
        <f t="shared" si="62"/>
        <v>0.18481987709851933</v>
      </c>
    </row>
    <row r="1062" spans="1:62" s="140" customFormat="1" x14ac:dyDescent="0.3">
      <c r="A1062" s="140">
        <v>-0.1</v>
      </c>
      <c r="B1062" s="140">
        <v>1000</v>
      </c>
      <c r="C1062" s="140">
        <v>25</v>
      </c>
      <c r="D1062" s="140">
        <v>1100</v>
      </c>
      <c r="E1062" s="253">
        <v>22.681977417846806</v>
      </c>
      <c r="F1062" s="140">
        <v>2.1662086482284648</v>
      </c>
      <c r="G1062" s="140">
        <v>24.380650944893823</v>
      </c>
      <c r="H1062" s="140">
        <v>5.1993370936931607</v>
      </c>
      <c r="J1062" s="140">
        <v>0.1442532726404121</v>
      </c>
      <c r="K1062" s="140">
        <v>0.08</v>
      </c>
      <c r="L1062" s="140">
        <v>105.27761528102877</v>
      </c>
      <c r="M1062" s="140">
        <v>58.806297364062395</v>
      </c>
      <c r="N1062" s="140">
        <v>1.418148575339111</v>
      </c>
      <c r="Z1062" s="140">
        <v>0.27275565130395896</v>
      </c>
      <c r="AL1062" s="140">
        <v>1667.5375836639187</v>
      </c>
      <c r="AM1062" s="140">
        <v>8.8849500086138844E-2</v>
      </c>
      <c r="AN1062" s="140">
        <v>0.26654624095445545</v>
      </c>
      <c r="AO1062" s="140">
        <v>1014.9041557043663</v>
      </c>
      <c r="AP1062" s="140">
        <v>958.46329599436308</v>
      </c>
      <c r="AQ1062" t="s">
        <v>382</v>
      </c>
      <c r="AR1062">
        <f t="shared" si="63"/>
        <v>4.8813386259591285</v>
      </c>
      <c r="AS1062">
        <f t="shared" si="64"/>
        <v>1.3321822791215501</v>
      </c>
      <c r="AT1062">
        <v>0.1</v>
      </c>
      <c r="AU1062">
        <v>0</v>
      </c>
      <c r="AV1062">
        <v>0.2</v>
      </c>
      <c r="AW1062" s="140">
        <v>3</v>
      </c>
      <c r="AX1062">
        <v>0.11307673113267204</v>
      </c>
      <c r="AY1062">
        <v>0.08</v>
      </c>
      <c r="AZ1062" s="209">
        <v>958.46329599436308</v>
      </c>
      <c r="BA1062" s="140">
        <v>0.11307673113267204</v>
      </c>
      <c r="BB1062" s="253">
        <v>39.292744170864175</v>
      </c>
      <c r="BC1062" s="245">
        <v>191.11975908689874</v>
      </c>
      <c r="BD1062" s="210">
        <v>90236.9199526999</v>
      </c>
      <c r="BE1062" s="245">
        <v>55.107922086215339</v>
      </c>
      <c r="BF1062" s="140">
        <v>393419.58493483235</v>
      </c>
      <c r="BG1062" t="s">
        <v>388</v>
      </c>
      <c r="BH1062" s="140">
        <v>8.8145375087881169E-6</v>
      </c>
      <c r="BI1062" s="140">
        <v>2102369.1995269991</v>
      </c>
      <c r="BJ1062">
        <f t="shared" si="62"/>
        <v>0.18713153951425171</v>
      </c>
    </row>
    <row r="1063" spans="1:62" x14ac:dyDescent="0.3">
      <c r="A1063">
        <v>-0.1</v>
      </c>
      <c r="B1063" s="146">
        <v>1000</v>
      </c>
      <c r="C1063" s="146">
        <v>25</v>
      </c>
      <c r="D1063" s="146">
        <v>400</v>
      </c>
      <c r="E1063" s="252">
        <v>17.794864330775518</v>
      </c>
      <c r="F1063" s="146">
        <v>5.7206429805352919</v>
      </c>
      <c r="G1063" s="146">
        <v>21.365922385757095</v>
      </c>
      <c r="H1063" s="146">
        <v>5.4278881845566556</v>
      </c>
      <c r="I1063" s="146"/>
      <c r="J1063" s="146">
        <v>0.13781111584651332</v>
      </c>
      <c r="K1063" s="146">
        <v>0.08</v>
      </c>
      <c r="L1063" s="146">
        <v>110.15568778764995</v>
      </c>
      <c r="M1063" s="146">
        <v>61.531106257406663</v>
      </c>
      <c r="N1063" s="146">
        <v>1.1626417524130668</v>
      </c>
      <c r="O1063" s="146"/>
      <c r="P1063" s="146"/>
      <c r="Q1063" s="146"/>
      <c r="R1063" s="146"/>
      <c r="S1063" s="146"/>
      <c r="T1063" s="146"/>
      <c r="U1063" s="146"/>
      <c r="V1063" s="146"/>
      <c r="W1063" s="146"/>
      <c r="X1063" s="146"/>
      <c r="Y1063" s="146"/>
      <c r="Z1063" s="146">
        <v>0.21419780822327869</v>
      </c>
      <c r="AA1063" s="146"/>
      <c r="AB1063" s="146"/>
      <c r="AC1063" s="146"/>
      <c r="AD1063" s="146"/>
      <c r="AE1063" s="146"/>
      <c r="AF1063" s="146"/>
      <c r="AG1063" s="146"/>
      <c r="AH1063" s="146"/>
      <c r="AI1063" s="146"/>
      <c r="AJ1063" s="146"/>
      <c r="AK1063" s="146"/>
      <c r="AL1063" s="146">
        <v>873.0393080983348</v>
      </c>
      <c r="AM1063" s="146">
        <v>0.26774612756006144</v>
      </c>
      <c r="AN1063" s="146">
        <v>0.2780378366422443</v>
      </c>
      <c r="AO1063" s="146">
        <v>335.99840746253375</v>
      </c>
      <c r="AP1063" s="146">
        <v>291.71843189180157</v>
      </c>
      <c r="AQ1063" t="s">
        <v>382</v>
      </c>
      <c r="AR1063">
        <f t="shared" si="63"/>
        <v>4.8813386259591285</v>
      </c>
      <c r="AS1063">
        <f t="shared" si="64"/>
        <v>1.3321822791215501</v>
      </c>
      <c r="AT1063">
        <v>0.1</v>
      </c>
      <c r="AU1063">
        <v>0</v>
      </c>
      <c r="AV1063">
        <v>0.2</v>
      </c>
      <c r="AW1063" s="146">
        <v>3</v>
      </c>
      <c r="AX1063">
        <v>8.8206759285715947E-2</v>
      </c>
      <c r="AY1063">
        <v>0.08</v>
      </c>
      <c r="AZ1063" s="209">
        <v>291.71843189180157</v>
      </c>
      <c r="BA1063">
        <v>8.8206759285715947E-2</v>
      </c>
      <c r="BB1063" s="249">
        <v>60.768437193867506</v>
      </c>
      <c r="BC1063" s="243">
        <v>205.20518735037254</v>
      </c>
      <c r="BD1063" s="209">
        <v>111937.76422584396</v>
      </c>
      <c r="BE1063" s="243">
        <v>79.089438535200685</v>
      </c>
      <c r="BF1063">
        <v>338993.48132355657</v>
      </c>
      <c r="BG1063" t="s">
        <v>389</v>
      </c>
      <c r="BH1063">
        <v>6.4343887113324376E-6</v>
      </c>
      <c r="BI1063">
        <v>2319377.6422584397</v>
      </c>
      <c r="BJ1063">
        <f t="shared" si="62"/>
        <v>0.14615708763729809</v>
      </c>
    </row>
    <row r="1064" spans="1:62" x14ac:dyDescent="0.3">
      <c r="A1064">
        <v>-0.1</v>
      </c>
      <c r="B1064" s="146">
        <v>1000</v>
      </c>
      <c r="C1064" s="146">
        <v>25</v>
      </c>
      <c r="D1064" s="146">
        <v>400</v>
      </c>
      <c r="E1064" s="252">
        <v>17.19518916561972</v>
      </c>
      <c r="F1064" s="146">
        <v>5.4542536714760974</v>
      </c>
      <c r="G1064" s="146">
        <v>20.594910229457291</v>
      </c>
      <c r="H1064" s="146">
        <v>5.2350886136580952</v>
      </c>
      <c r="I1064" s="146"/>
      <c r="J1064" s="146">
        <v>0.1398793864999564</v>
      </c>
      <c r="K1064" s="146">
        <v>0.08</v>
      </c>
      <c r="L1064" s="146">
        <v>106.27817862924478</v>
      </c>
      <c r="M1064" s="146">
        <v>59.365195147125839</v>
      </c>
      <c r="N1064" s="146">
        <v>1.1216802583904082</v>
      </c>
      <c r="O1064" s="146"/>
      <c r="P1064" s="146"/>
      <c r="Q1064" s="146"/>
      <c r="R1064" s="146"/>
      <c r="S1064" s="146"/>
      <c r="T1064" s="146"/>
      <c r="U1064" s="146"/>
      <c r="V1064" s="146"/>
      <c r="W1064" s="146"/>
      <c r="X1064" s="146"/>
      <c r="Y1064" s="146"/>
      <c r="Z1064" s="146">
        <v>0.21426194304791674</v>
      </c>
      <c r="AA1064" s="146"/>
      <c r="AB1064" s="146"/>
      <c r="AC1064" s="146"/>
      <c r="AD1064" s="146"/>
      <c r="AE1064" s="146"/>
      <c r="AF1064" s="146"/>
      <c r="AG1064" s="146"/>
      <c r="AH1064" s="146"/>
      <c r="AI1064" s="146"/>
      <c r="AJ1064" s="146"/>
      <c r="AK1064" s="146"/>
      <c r="AL1064" s="146">
        <v>856.54029657912054</v>
      </c>
      <c r="AM1064" s="146">
        <v>0.26483503014617538</v>
      </c>
      <c r="AN1064" s="146">
        <v>0.27954174862667669</v>
      </c>
      <c r="AO1064" s="146">
        <v>338.48793874226061</v>
      </c>
      <c r="AP1064" s="146">
        <v>295.70016738391649</v>
      </c>
      <c r="AQ1064" t="s">
        <v>382</v>
      </c>
      <c r="AR1064">
        <f t="shared" si="63"/>
        <v>4.8813386259591285</v>
      </c>
      <c r="AS1064">
        <f t="shared" si="64"/>
        <v>1.3321822791215501</v>
      </c>
      <c r="AT1064">
        <v>0.1</v>
      </c>
      <c r="AU1064">
        <v>0</v>
      </c>
      <c r="AV1064">
        <v>0.2</v>
      </c>
      <c r="AW1064" s="146">
        <v>2.5</v>
      </c>
      <c r="AX1064">
        <v>8.9332267779728455E-2</v>
      </c>
      <c r="AY1064">
        <v>0.08</v>
      </c>
      <c r="AZ1064" s="209">
        <v>295.70016738391649</v>
      </c>
      <c r="BA1064">
        <v>8.9332267779728455E-2</v>
      </c>
      <c r="BB1064" s="249">
        <v>58.164799524801907</v>
      </c>
      <c r="BC1064" s="243">
        <v>193.93443932632158</v>
      </c>
      <c r="BD1064" s="209">
        <v>104721.49108094451</v>
      </c>
      <c r="BE1064" s="243">
        <v>75.103251913487227</v>
      </c>
      <c r="BF1064">
        <v>386469.36044743308</v>
      </c>
      <c r="BG1064" t="s">
        <v>389</v>
      </c>
      <c r="BH1064">
        <v>6.260469458357245E-6</v>
      </c>
      <c r="BI1064">
        <v>2247214.9108094452</v>
      </c>
      <c r="BJ1064">
        <f t="shared" si="62"/>
        <v>0.1719770363699781</v>
      </c>
    </row>
    <row r="1065" spans="1:62" x14ac:dyDescent="0.3">
      <c r="A1065">
        <v>-0.1</v>
      </c>
      <c r="B1065" s="146">
        <v>1000</v>
      </c>
      <c r="C1065" s="146">
        <v>25</v>
      </c>
      <c r="D1065" s="146">
        <v>400</v>
      </c>
      <c r="E1065" s="252">
        <v>15.020558425017324</v>
      </c>
      <c r="F1065" s="146">
        <v>4.558870605134878</v>
      </c>
      <c r="G1065" s="146">
        <v>17.849479715845312</v>
      </c>
      <c r="H1065" s="146">
        <v>4.5434455133847838</v>
      </c>
      <c r="I1065" s="146"/>
      <c r="J1065" s="146">
        <v>0.1475093820448771</v>
      </c>
      <c r="K1065" s="146">
        <v>0.08</v>
      </c>
      <c r="L1065" s="146">
        <v>92.340448227772157</v>
      </c>
      <c r="M1065" s="146">
        <v>51.579814405158835</v>
      </c>
      <c r="N1065" s="146">
        <v>0.97485040583937499</v>
      </c>
      <c r="O1065" s="146"/>
      <c r="P1065" s="146"/>
      <c r="Q1065" s="146"/>
      <c r="R1065" s="146"/>
      <c r="S1065" s="146"/>
      <c r="T1065" s="146"/>
      <c r="U1065" s="146"/>
      <c r="V1065" s="146"/>
      <c r="W1065" s="146"/>
      <c r="X1065" s="146"/>
      <c r="Y1065" s="146"/>
      <c r="Z1065" s="146">
        <v>0.21456192287714468</v>
      </c>
      <c r="AA1065" s="146"/>
      <c r="AB1065" s="146"/>
      <c r="AC1065" s="146"/>
      <c r="AD1065" s="146"/>
      <c r="AE1065" s="146"/>
      <c r="AF1065" s="146"/>
      <c r="AG1065" s="146"/>
      <c r="AH1065" s="146"/>
      <c r="AI1065" s="146"/>
      <c r="AJ1065" s="146"/>
      <c r="AK1065" s="146"/>
      <c r="AL1065" s="146">
        <v>797.15996297910146</v>
      </c>
      <c r="AM1065" s="146">
        <v>0.25540635792806243</v>
      </c>
      <c r="AN1065" s="146">
        <v>0.28400299972129506</v>
      </c>
      <c r="AO1065" s="146">
        <v>347.11126840294759</v>
      </c>
      <c r="AP1065" s="146">
        <v>309.73476005941393</v>
      </c>
      <c r="AQ1065" t="s">
        <v>382</v>
      </c>
      <c r="AR1065">
        <f t="shared" si="63"/>
        <v>4.8813386259591285</v>
      </c>
      <c r="AS1065">
        <f t="shared" si="64"/>
        <v>1.3321822791215501</v>
      </c>
      <c r="AT1065">
        <v>0.1</v>
      </c>
      <c r="AU1065">
        <v>0</v>
      </c>
      <c r="AV1065">
        <v>0.2</v>
      </c>
      <c r="AW1065" s="146">
        <v>1.5</v>
      </c>
      <c r="AX1065">
        <v>9.345828699544545E-2</v>
      </c>
      <c r="AY1065">
        <v>0.08</v>
      </c>
      <c r="AZ1065" s="209">
        <v>309.73476005941393</v>
      </c>
      <c r="BA1065">
        <v>9.345828699544545E-2</v>
      </c>
      <c r="BB1065" s="249">
        <v>49.262192702487759</v>
      </c>
      <c r="BC1065" s="243">
        <v>157.6864254218597</v>
      </c>
      <c r="BD1065" s="209">
        <v>81914.117905699255</v>
      </c>
      <c r="BE1065" s="243">
        <v>62.107969882360486</v>
      </c>
      <c r="BF1065">
        <v>508840.41936794005</v>
      </c>
      <c r="BG1065" t="s">
        <v>389</v>
      </c>
      <c r="BH1065">
        <v>5.6477876468152623E-6</v>
      </c>
      <c r="BI1065">
        <v>2019141.1790569925</v>
      </c>
      <c r="BJ1065">
        <f t="shared" si="62"/>
        <v>0.25200834129170985</v>
      </c>
    </row>
    <row r="1066" spans="1:62" x14ac:dyDescent="0.3">
      <c r="A1066">
        <v>-0.1</v>
      </c>
      <c r="B1066" s="146">
        <v>1000</v>
      </c>
      <c r="C1066" s="146">
        <v>25</v>
      </c>
      <c r="D1066" s="146">
        <v>400</v>
      </c>
      <c r="E1066" s="252">
        <v>12.99776264548038</v>
      </c>
      <c r="F1066" s="146">
        <v>3.8060680796884636</v>
      </c>
      <c r="G1066" s="146">
        <v>15.352059379027015</v>
      </c>
      <c r="H1066" s="146">
        <v>3.9123331788306763</v>
      </c>
      <c r="I1066" s="146"/>
      <c r="J1066" s="146">
        <v>0.15534075558207719</v>
      </c>
      <c r="K1066" s="146">
        <v>0.08</v>
      </c>
      <c r="L1066" s="146">
        <v>79.588041976039833</v>
      </c>
      <c r="M1066" s="146">
        <v>44.456535708687099</v>
      </c>
      <c r="N1066" s="146">
        <v>0.83803523185080397</v>
      </c>
      <c r="O1066" s="146"/>
      <c r="P1066" s="146"/>
      <c r="Q1066" s="146"/>
      <c r="R1066" s="146"/>
      <c r="S1066" s="146"/>
      <c r="T1066" s="146"/>
      <c r="U1066" s="146"/>
      <c r="V1066" s="146"/>
      <c r="W1066" s="146"/>
      <c r="X1066" s="146"/>
      <c r="Y1066" s="146"/>
      <c r="Z1066" s="146">
        <v>0.21420344166630439</v>
      </c>
      <c r="AA1066" s="146"/>
      <c r="AB1066" s="146"/>
      <c r="AC1066" s="146"/>
      <c r="AD1066" s="146"/>
      <c r="AE1066" s="146"/>
      <c r="AF1066" s="146"/>
      <c r="AG1066" s="146"/>
      <c r="AH1066" s="146"/>
      <c r="AI1066" s="146"/>
      <c r="AJ1066" s="146"/>
      <c r="AK1066" s="146"/>
      <c r="AL1066" s="146">
        <v>741.45303812218003</v>
      </c>
      <c r="AM1066" s="146">
        <v>0.24791905670245559</v>
      </c>
      <c r="AN1066" s="146">
        <v>0.28742452466604224</v>
      </c>
      <c r="AO1066" s="146">
        <v>354.77851912399456</v>
      </c>
      <c r="AP1066" s="146">
        <v>322.43542219677835</v>
      </c>
      <c r="AQ1066" t="s">
        <v>382</v>
      </c>
      <c r="AR1066">
        <f t="shared" si="63"/>
        <v>4.8813386259591285</v>
      </c>
      <c r="AS1066">
        <f t="shared" si="64"/>
        <v>1.3321822791215501</v>
      </c>
      <c r="AT1066">
        <v>0.1</v>
      </c>
      <c r="AU1066">
        <v>0</v>
      </c>
      <c r="AV1066">
        <v>0.2</v>
      </c>
      <c r="AW1066" s="146">
        <v>1</v>
      </c>
      <c r="AX1066">
        <v>9.7698322101497495E-2</v>
      </c>
      <c r="AY1066">
        <v>0.08</v>
      </c>
      <c r="AZ1066" s="209">
        <v>322.43542219677835</v>
      </c>
      <c r="BA1066">
        <v>9.7698322101497495E-2</v>
      </c>
      <c r="BB1066" s="249">
        <v>41.589017489611855</v>
      </c>
      <c r="BC1066" s="243">
        <v>129.05386782773249</v>
      </c>
      <c r="BD1066" s="209">
        <v>64385.711426393966</v>
      </c>
      <c r="BE1066" s="243">
        <v>51.451209653228481</v>
      </c>
      <c r="BF1066">
        <v>577632.37118666759</v>
      </c>
      <c r="BG1066" t="s">
        <v>389</v>
      </c>
      <c r="BH1066">
        <v>5.0563519060217537E-6</v>
      </c>
      <c r="BI1066">
        <v>1843857.1142639397</v>
      </c>
      <c r="BJ1066">
        <f t="shared" si="62"/>
        <v>0.313273933602635</v>
      </c>
    </row>
    <row r="1067" spans="1:62" x14ac:dyDescent="0.3">
      <c r="A1067">
        <v>-0.1</v>
      </c>
      <c r="B1067" s="146">
        <v>1000</v>
      </c>
      <c r="C1067" s="146">
        <v>25</v>
      </c>
      <c r="D1067" s="146">
        <v>400</v>
      </c>
      <c r="E1067" s="252">
        <v>11.865310490033075</v>
      </c>
      <c r="F1067" s="146">
        <v>3.4119599435229655</v>
      </c>
      <c r="G1067" s="146">
        <v>13.9727354029365</v>
      </c>
      <c r="H1067" s="146">
        <v>3.5645221730975405</v>
      </c>
      <c r="I1067" s="146"/>
      <c r="J1067" s="146">
        <v>0.16027145060565737</v>
      </c>
      <c r="K1067" s="146">
        <v>0.08</v>
      </c>
      <c r="L1067" s="146">
        <v>72.547438131317278</v>
      </c>
      <c r="M1067" s="146">
        <v>40.523773343106384</v>
      </c>
      <c r="N1067" s="146">
        <v>0.76090953994611521</v>
      </c>
      <c r="O1067" s="146"/>
      <c r="P1067" s="146"/>
      <c r="Q1067" s="146"/>
      <c r="R1067" s="146"/>
      <c r="S1067" s="146"/>
      <c r="T1067" s="146"/>
      <c r="U1067" s="146"/>
      <c r="V1067" s="146"/>
      <c r="W1067" s="146"/>
      <c r="X1067" s="146"/>
      <c r="Y1067" s="146"/>
      <c r="Z1067" s="146">
        <v>0.21346747277627146</v>
      </c>
      <c r="AA1067" s="146"/>
      <c r="AB1067" s="146"/>
      <c r="AC1067" s="146"/>
      <c r="AD1067" s="146"/>
      <c r="AE1067" s="146"/>
      <c r="AF1067" s="146"/>
      <c r="AG1067" s="146"/>
      <c r="AH1067" s="146"/>
      <c r="AI1067" s="146"/>
      <c r="AJ1067" s="146"/>
      <c r="AK1067" s="146"/>
      <c r="AL1067" s="146">
        <v>709.91077246825512</v>
      </c>
      <c r="AM1067" s="146">
        <v>0.24418697163662817</v>
      </c>
      <c r="AN1067" s="146">
        <v>0.28926469685271894</v>
      </c>
      <c r="AO1067" s="146">
        <v>358.98113174842632</v>
      </c>
      <c r="AP1067" s="146">
        <v>329.45600249519731</v>
      </c>
      <c r="AQ1067" t="s">
        <v>382</v>
      </c>
      <c r="AR1067">
        <f t="shared" si="63"/>
        <v>4.8813386259591285</v>
      </c>
      <c r="AS1067">
        <f t="shared" si="64"/>
        <v>1.3321822791215501</v>
      </c>
      <c r="AT1067">
        <v>0.1</v>
      </c>
      <c r="AU1067">
        <v>0</v>
      </c>
      <c r="AV1067">
        <v>0.2</v>
      </c>
      <c r="AW1067" s="146">
        <v>0.8</v>
      </c>
      <c r="AX1067">
        <v>0.10040761407320721</v>
      </c>
      <c r="AY1067">
        <v>0.08</v>
      </c>
      <c r="AZ1067" s="209">
        <v>329.45600249519731</v>
      </c>
      <c r="BA1067">
        <v>0.10040761407320721</v>
      </c>
      <c r="BB1067" s="249">
        <v>37.499776147263894</v>
      </c>
      <c r="BC1067" s="243">
        <v>114.66429649798354</v>
      </c>
      <c r="BD1067" s="209">
        <v>55790.701578841217</v>
      </c>
      <c r="BE1067" s="243">
        <v>45.913679958793523</v>
      </c>
      <c r="BF1067">
        <v>602001.63639250293</v>
      </c>
      <c r="BG1067" t="s">
        <v>389</v>
      </c>
      <c r="BH1067">
        <v>4.7088240692469919E-6</v>
      </c>
      <c r="BI1067">
        <v>1757907.0157884122</v>
      </c>
      <c r="BJ1067">
        <f t="shared" si="62"/>
        <v>0.34245362865367956</v>
      </c>
    </row>
    <row r="1068" spans="1:62" x14ac:dyDescent="0.3">
      <c r="A1068">
        <v>-0.1</v>
      </c>
      <c r="B1068" s="146">
        <v>1000</v>
      </c>
      <c r="C1068" s="146">
        <v>25</v>
      </c>
      <c r="D1068" s="146">
        <v>400</v>
      </c>
      <c r="E1068" s="252">
        <v>10.494564085124386</v>
      </c>
      <c r="F1068" s="146">
        <v>2.9588118038626825</v>
      </c>
      <c r="G1068" s="146">
        <v>12.318918277366549</v>
      </c>
      <c r="H1068" s="146">
        <v>3.1425791516553452</v>
      </c>
      <c r="I1068" s="146"/>
      <c r="J1068" s="146">
        <v>0.16636689063938639</v>
      </c>
      <c r="K1068" s="146">
        <v>0.08</v>
      </c>
      <c r="L1068" s="146">
        <v>63.995371090745962</v>
      </c>
      <c r="M1068" s="146">
        <v>35.746733170580171</v>
      </c>
      <c r="N1068" s="146">
        <v>0.66810080052035881</v>
      </c>
      <c r="O1068" s="146"/>
      <c r="P1068" s="146"/>
      <c r="Q1068" s="146"/>
      <c r="R1068" s="146"/>
      <c r="S1068" s="146"/>
      <c r="T1068" s="146"/>
      <c r="U1068" s="146"/>
      <c r="V1068" s="146"/>
      <c r="W1068" s="146"/>
      <c r="X1068" s="146"/>
      <c r="Y1068" s="146"/>
      <c r="Z1068" s="146">
        <v>0.21259633195505626</v>
      </c>
      <c r="AA1068" s="146"/>
      <c r="AB1068" s="146"/>
      <c r="AC1068" s="146"/>
      <c r="AD1068" s="146"/>
      <c r="AE1068" s="146"/>
      <c r="AF1068" s="146"/>
      <c r="AG1068" s="146"/>
      <c r="AH1068" s="146"/>
      <c r="AI1068" s="146"/>
      <c r="AJ1068" s="146"/>
      <c r="AK1068" s="146"/>
      <c r="AL1068" s="146">
        <v>671.84841959999551</v>
      </c>
      <c r="AM1068" s="146">
        <v>0.24018438447626395</v>
      </c>
      <c r="AN1068" s="146">
        <v>0.29080708085182561</v>
      </c>
      <c r="AO1068" s="146">
        <v>363.91228145345036</v>
      </c>
      <c r="AP1068" s="146">
        <v>337.79801933981611</v>
      </c>
      <c r="AQ1068" t="s">
        <v>382</v>
      </c>
      <c r="AR1068">
        <f t="shared" si="63"/>
        <v>4.8813386259591285</v>
      </c>
      <c r="AS1068">
        <f t="shared" si="64"/>
        <v>1.3321822791215501</v>
      </c>
      <c r="AT1068">
        <v>0.1</v>
      </c>
      <c r="AU1068">
        <v>0</v>
      </c>
      <c r="AV1068">
        <v>0.2</v>
      </c>
      <c r="AW1068" s="146">
        <v>0.6</v>
      </c>
      <c r="AX1068">
        <v>0.10384699936877553</v>
      </c>
      <c r="AY1068">
        <v>0.08</v>
      </c>
      <c r="AZ1068" s="209">
        <v>337.79801933981611</v>
      </c>
      <c r="BA1068">
        <v>0.10384699936877553</v>
      </c>
      <c r="BB1068" s="249">
        <v>32.730796595903449</v>
      </c>
      <c r="BC1068" s="243">
        <v>98.289276816651054</v>
      </c>
      <c r="BD1068" s="209">
        <v>46381.408539108255</v>
      </c>
      <c r="BE1068" s="243">
        <v>39.690039307677772</v>
      </c>
      <c r="BF1068">
        <v>627705.31980386935</v>
      </c>
      <c r="BG1068" t="s">
        <v>389</v>
      </c>
      <c r="BH1068">
        <v>4.2519085951247576E-6</v>
      </c>
      <c r="BI1068">
        <v>1663814.0853910826</v>
      </c>
      <c r="BJ1068">
        <f t="shared" si="62"/>
        <v>0.37726890601261259</v>
      </c>
    </row>
    <row r="1069" spans="1:62" x14ac:dyDescent="0.3">
      <c r="A1069">
        <v>-0.1</v>
      </c>
      <c r="B1069" s="146">
        <v>1000</v>
      </c>
      <c r="C1069" s="146">
        <v>25</v>
      </c>
      <c r="D1069" s="146">
        <v>400</v>
      </c>
      <c r="E1069" s="252">
        <v>8.7022616495218017</v>
      </c>
      <c r="F1069" s="146">
        <v>2.3982486580520157</v>
      </c>
      <c r="G1069" s="146">
        <v>10.177930489240591</v>
      </c>
      <c r="H1069" s="146">
        <v>2.5973969350509907</v>
      </c>
      <c r="I1069" s="146"/>
      <c r="J1069" s="146">
        <v>0.17553741928239916</v>
      </c>
      <c r="K1069" s="146">
        <v>0.08</v>
      </c>
      <c r="L1069" s="146">
        <v>52.92896660405944</v>
      </c>
      <c r="M1069" s="146">
        <v>29.565226577199418</v>
      </c>
      <c r="N1069" s="146">
        <v>0.5460229782356163</v>
      </c>
      <c r="O1069" s="146"/>
      <c r="P1069" s="146"/>
      <c r="Q1069" s="146"/>
      <c r="R1069" s="146"/>
      <c r="S1069" s="146"/>
      <c r="T1069" s="146"/>
      <c r="U1069" s="146"/>
      <c r="V1069" s="146"/>
      <c r="W1069" s="146"/>
      <c r="X1069" s="146"/>
      <c r="Y1069" s="146"/>
      <c r="Z1069" s="146">
        <v>0.21021930489992555</v>
      </c>
      <c r="AA1069" s="146"/>
      <c r="AB1069" s="146"/>
      <c r="AC1069" s="146"/>
      <c r="AD1069" s="146"/>
      <c r="AE1069" s="146"/>
      <c r="AF1069" s="146"/>
      <c r="AG1069" s="146"/>
      <c r="AH1069" s="146"/>
      <c r="AI1069" s="146"/>
      <c r="AJ1069" s="146"/>
      <c r="AK1069" s="146"/>
      <c r="AL1069" s="146">
        <v>621.62960576788782</v>
      </c>
      <c r="AM1069" s="146">
        <v>0.23563224965893403</v>
      </c>
      <c r="AN1069" s="146">
        <v>0.29273444685122363</v>
      </c>
      <c r="AO1069" s="146">
        <v>370.27250553145683</v>
      </c>
      <c r="AP1069" s="146">
        <v>348.61811665007968</v>
      </c>
      <c r="AQ1069" t="s">
        <v>382</v>
      </c>
      <c r="AR1069">
        <f t="shared" si="63"/>
        <v>4.8813386259591285</v>
      </c>
      <c r="AS1069">
        <f t="shared" si="64"/>
        <v>1.3321822791215501</v>
      </c>
      <c r="AT1069">
        <v>0.1</v>
      </c>
      <c r="AU1069">
        <v>0</v>
      </c>
      <c r="AV1069">
        <v>0.2</v>
      </c>
      <c r="AW1069" s="146">
        <v>0.4</v>
      </c>
      <c r="AX1069">
        <v>0.10930875182407368</v>
      </c>
      <c r="AY1069">
        <v>0.08</v>
      </c>
      <c r="AZ1069" s="209">
        <v>348.61811665007968</v>
      </c>
      <c r="BA1069">
        <v>0.10930875182407368</v>
      </c>
      <c r="BB1069" s="249">
        <v>26.734753423703456</v>
      </c>
      <c r="BC1069" s="243">
        <v>78.602481151249577</v>
      </c>
      <c r="BD1069" s="209">
        <v>35495.794991417999</v>
      </c>
      <c r="BE1069" s="243">
        <v>32.015323125863205</v>
      </c>
      <c r="BF1069">
        <v>644783.69009874517</v>
      </c>
      <c r="BG1069" t="s">
        <v>389</v>
      </c>
      <c r="BH1069">
        <v>3.6192496979295371E-6</v>
      </c>
      <c r="BI1069">
        <v>1554957.94991418</v>
      </c>
      <c r="BJ1069">
        <f t="shared" si="62"/>
        <v>0.41466310399862039</v>
      </c>
    </row>
    <row r="1070" spans="1:62" x14ac:dyDescent="0.3">
      <c r="A1070">
        <v>-0.1</v>
      </c>
      <c r="B1070" s="146">
        <v>1000</v>
      </c>
      <c r="C1070" s="146">
        <v>25</v>
      </c>
      <c r="D1070" s="146">
        <v>400</v>
      </c>
      <c r="E1070" s="252">
        <v>7.5645672106423998</v>
      </c>
      <c r="F1070" s="146">
        <v>2.0582548904818969</v>
      </c>
      <c r="G1070" s="146">
        <v>8.8292648166553587</v>
      </c>
      <c r="H1070" s="146">
        <v>2.2465854434122305</v>
      </c>
      <c r="I1070" s="146"/>
      <c r="J1070" s="146">
        <v>0.17983727835304272</v>
      </c>
      <c r="K1070" s="146">
        <v>0.08</v>
      </c>
      <c r="L1070" s="146">
        <v>45.799130358558607</v>
      </c>
      <c r="M1070" s="146">
        <v>25.582620500012304</v>
      </c>
      <c r="N1070" s="146">
        <v>0.47662863166019198</v>
      </c>
      <c r="O1070" s="146"/>
      <c r="P1070" s="146"/>
      <c r="Q1070" s="146"/>
      <c r="R1070" s="146"/>
      <c r="S1070" s="146"/>
      <c r="T1070" s="146"/>
      <c r="U1070" s="146"/>
      <c r="V1070" s="146"/>
      <c r="W1070" s="146"/>
      <c r="X1070" s="146"/>
      <c r="Y1070" s="146"/>
      <c r="Z1070" s="146">
        <v>0.21215691264173051</v>
      </c>
      <c r="AA1070" s="146"/>
      <c r="AB1070" s="146"/>
      <c r="AC1070" s="146"/>
      <c r="AD1070" s="146"/>
      <c r="AE1070" s="146"/>
      <c r="AF1070" s="146"/>
      <c r="AG1070" s="146"/>
      <c r="AH1070" s="146"/>
      <c r="AI1070" s="146"/>
      <c r="AJ1070" s="146"/>
      <c r="AK1070" s="146"/>
      <c r="AL1070" s="146">
        <v>593.65092261814971</v>
      </c>
      <c r="AM1070" s="146">
        <v>0.23311735837838318</v>
      </c>
      <c r="AN1070" s="146">
        <v>0.29274581520155307</v>
      </c>
      <c r="AO1070" s="146">
        <v>374.15994757966308</v>
      </c>
      <c r="AP1070" s="146">
        <v>355.33660678805376</v>
      </c>
      <c r="AQ1070" t="s">
        <v>382</v>
      </c>
      <c r="AR1070">
        <f t="shared" si="63"/>
        <v>4.8813386259591285</v>
      </c>
      <c r="AS1070">
        <f t="shared" si="64"/>
        <v>1.3321822791215501</v>
      </c>
      <c r="AT1070">
        <v>0.1</v>
      </c>
      <c r="AU1070">
        <v>0</v>
      </c>
      <c r="AV1070">
        <v>0.2</v>
      </c>
      <c r="AW1070" s="146">
        <v>0.3</v>
      </c>
      <c r="AX1070">
        <v>0.11240588192421663</v>
      </c>
      <c r="AY1070">
        <v>0.08</v>
      </c>
      <c r="AZ1070" s="209">
        <v>355.33660678805376</v>
      </c>
      <c r="BA1070">
        <v>0.11240588192421663</v>
      </c>
      <c r="BB1070" s="249">
        <v>23.049539360608986</v>
      </c>
      <c r="BC1070" s="243">
        <v>66.675210543863543</v>
      </c>
      <c r="BD1070" s="209">
        <v>29335.915192370619</v>
      </c>
      <c r="BE1070" s="243">
        <v>27.552853764940462</v>
      </c>
      <c r="BF1070">
        <v>647960.56088910333</v>
      </c>
      <c r="BG1070" t="s">
        <v>389</v>
      </c>
      <c r="BH1070">
        <v>3.1914532108898887E-6</v>
      </c>
      <c r="BI1070">
        <v>1493359.1519237063</v>
      </c>
      <c r="BJ1070">
        <f t="shared" si="62"/>
        <v>0.43389465960309509</v>
      </c>
    </row>
    <row r="1071" spans="1:62" x14ac:dyDescent="0.3">
      <c r="A1071">
        <v>-0.1</v>
      </c>
      <c r="B1071" s="146">
        <v>1000</v>
      </c>
      <c r="C1071" s="146">
        <v>25</v>
      </c>
      <c r="D1071" s="146">
        <v>400</v>
      </c>
      <c r="E1071" s="252">
        <v>6.1540961982660214</v>
      </c>
      <c r="F1071" s="146">
        <v>1.6515608975344935</v>
      </c>
      <c r="G1071" s="146">
        <v>7.167200811440722</v>
      </c>
      <c r="H1071" s="146">
        <v>1.8174540589389332</v>
      </c>
      <c r="I1071" s="146"/>
      <c r="J1071" s="146">
        <v>0.18640877974915943</v>
      </c>
      <c r="K1071" s="146">
        <v>0.08</v>
      </c>
      <c r="L1071" s="146">
        <v>37.068571489620105</v>
      </c>
      <c r="M1071" s="146">
        <v>20.705877807553467</v>
      </c>
      <c r="N1071" s="146">
        <v>0.38706436363072916</v>
      </c>
      <c r="O1071" s="146"/>
      <c r="P1071" s="146"/>
      <c r="Q1071" s="146"/>
      <c r="R1071" s="146"/>
      <c r="S1071" s="146"/>
      <c r="T1071" s="146"/>
      <c r="U1071" s="146"/>
      <c r="V1071" s="146"/>
      <c r="W1071" s="146"/>
      <c r="X1071" s="146"/>
      <c r="Y1071" s="146"/>
      <c r="Z1071" s="146">
        <v>0.21297064524244713</v>
      </c>
      <c r="AA1071" s="146"/>
      <c r="AB1071" s="146"/>
      <c r="AC1071" s="146"/>
      <c r="AD1071" s="146"/>
      <c r="AE1071" s="146"/>
      <c r="AF1071" s="146"/>
      <c r="AG1071" s="146"/>
      <c r="AH1071" s="146"/>
      <c r="AI1071" s="146"/>
      <c r="AJ1071" s="146"/>
      <c r="AK1071" s="146"/>
      <c r="AL1071" s="146">
        <v>557.19466889011323</v>
      </c>
      <c r="AM1071" s="146">
        <v>0.23043318318891967</v>
      </c>
      <c r="AN1071" s="146">
        <v>0.29271935150161277</v>
      </c>
      <c r="AO1071" s="146">
        <v>378.97612109791754</v>
      </c>
      <c r="AP1071" s="146">
        <v>363.66248707474864</v>
      </c>
      <c r="AQ1071" t="s">
        <v>382</v>
      </c>
      <c r="AR1071">
        <f t="shared" si="63"/>
        <v>4.8813386259591285</v>
      </c>
      <c r="AS1071">
        <f t="shared" si="64"/>
        <v>1.3321822791215501</v>
      </c>
      <c r="AT1071">
        <v>0.1</v>
      </c>
      <c r="AU1071">
        <v>0</v>
      </c>
      <c r="AV1071">
        <v>0.2</v>
      </c>
      <c r="AW1071" s="146">
        <v>0.2</v>
      </c>
      <c r="AX1071">
        <v>0.1175625041585773</v>
      </c>
      <c r="AY1071">
        <v>0.08</v>
      </c>
      <c r="AZ1071" s="209">
        <v>363.66248707474864</v>
      </c>
      <c r="BA1071">
        <v>0.1175625041585773</v>
      </c>
      <c r="BB1071" s="249">
        <v>18.588958698644806</v>
      </c>
      <c r="BC1071" s="243">
        <v>52.755830153923185</v>
      </c>
      <c r="BD1071" s="209">
        <v>22409.198939260285</v>
      </c>
      <c r="BE1071" s="243">
        <v>22.173835609058557</v>
      </c>
      <c r="BF1071">
        <v>642105.82340566325</v>
      </c>
      <c r="BG1071" t="s">
        <v>389</v>
      </c>
      <c r="BH1071">
        <v>2.6334396531382093E-6</v>
      </c>
      <c r="BI1071">
        <v>1424091.9893926028</v>
      </c>
      <c r="BJ1071">
        <f t="shared" si="62"/>
        <v>0.45088788378026851</v>
      </c>
    </row>
    <row r="1072" spans="1:62" s="140" customFormat="1" x14ac:dyDescent="0.3">
      <c r="A1072" s="140">
        <v>-0.1</v>
      </c>
      <c r="B1072" s="140">
        <v>1000</v>
      </c>
      <c r="C1072" s="140">
        <v>25</v>
      </c>
      <c r="D1072" s="140">
        <v>400</v>
      </c>
      <c r="E1072" s="253">
        <v>4.2317772526666371</v>
      </c>
      <c r="F1072" s="140">
        <v>1.1193770541259855</v>
      </c>
      <c r="G1072" s="140">
        <v>4.9168686760330527</v>
      </c>
      <c r="H1072" s="140">
        <v>1.242173535100016</v>
      </c>
      <c r="J1072" s="140">
        <v>0.19881177029189057</v>
      </c>
      <c r="K1072" s="140">
        <v>0.08</v>
      </c>
      <c r="L1072" s="140">
        <v>25.350459119154426</v>
      </c>
      <c r="M1072" s="140">
        <v>14.160338200072637</v>
      </c>
      <c r="N1072" s="140">
        <v>0.25921771385579806</v>
      </c>
      <c r="Z1072" s="140">
        <v>0.20868075718174645</v>
      </c>
      <c r="AL1072" s="140">
        <v>504.62563675172311</v>
      </c>
      <c r="AM1072" s="140">
        <v>0.22766055550401704</v>
      </c>
      <c r="AN1072" s="140">
        <v>0.29279614193631159</v>
      </c>
      <c r="AO1072" s="140">
        <v>385.54701839757462</v>
      </c>
      <c r="AP1072" s="140">
        <v>375.01677982382404</v>
      </c>
      <c r="AQ1072" t="s">
        <v>382</v>
      </c>
      <c r="AR1072">
        <f t="shared" si="63"/>
        <v>4.8813386259591285</v>
      </c>
      <c r="AS1072">
        <f t="shared" si="64"/>
        <v>1.3321822791215501</v>
      </c>
      <c r="AT1072">
        <v>0.1</v>
      </c>
      <c r="AU1072">
        <v>0</v>
      </c>
      <c r="AV1072">
        <v>0.2</v>
      </c>
      <c r="AW1072" s="140">
        <v>0.1</v>
      </c>
      <c r="AX1072">
        <v>0.12897367632859616</v>
      </c>
      <c r="AY1072">
        <v>0.08</v>
      </c>
      <c r="AZ1072" s="209">
        <v>375.01677982382404</v>
      </c>
      <c r="BA1072" s="140">
        <v>0.12897367632859616</v>
      </c>
      <c r="BB1072" s="253">
        <v>12.669784113409497</v>
      </c>
      <c r="BC1072" s="245">
        <v>35.087933366606201</v>
      </c>
      <c r="BD1072" s="210">
        <v>14127.33167792086</v>
      </c>
      <c r="BE1072" s="245">
        <v>15.073225154762795</v>
      </c>
      <c r="BF1072" s="140">
        <v>610521.35769844055</v>
      </c>
      <c r="BG1072" t="s">
        <v>389</v>
      </c>
      <c r="BH1072" s="140">
        <v>1.8221734065326219E-6</v>
      </c>
      <c r="BI1072" s="140">
        <v>1341273.3167792086</v>
      </c>
      <c r="BJ1072">
        <f t="shared" si="62"/>
        <v>0.45518042449728424</v>
      </c>
    </row>
    <row r="1073" spans="1:62" x14ac:dyDescent="0.3">
      <c r="A1073">
        <v>-0.1</v>
      </c>
      <c r="B1073" s="146">
        <v>1000</v>
      </c>
      <c r="C1073" s="146">
        <v>25</v>
      </c>
      <c r="D1073" s="146">
        <v>400</v>
      </c>
      <c r="E1073" s="252">
        <v>17.789506830372812</v>
      </c>
      <c r="F1073" s="146">
        <v>5.7177119229927813</v>
      </c>
      <c r="G1073" s="146">
        <v>21.358782282718519</v>
      </c>
      <c r="H1073" s="146">
        <v>5.4270421397874182</v>
      </c>
      <c r="I1073" s="146"/>
      <c r="J1073" s="146">
        <v>0.13790325282690888</v>
      </c>
      <c r="K1073" s="146">
        <v>0.08</v>
      </c>
      <c r="L1073" s="146">
        <v>110.13862440360232</v>
      </c>
      <c r="M1073" s="146">
        <v>61.521574939341903</v>
      </c>
      <c r="N1073" s="146">
        <v>1.1617707234600578</v>
      </c>
      <c r="O1073" s="146"/>
      <c r="P1073" s="146"/>
      <c r="Q1073" s="146"/>
      <c r="R1073" s="146"/>
      <c r="S1073" s="146"/>
      <c r="T1073" s="146"/>
      <c r="U1073" s="146"/>
      <c r="V1073" s="146"/>
      <c r="W1073" s="146"/>
      <c r="X1073" s="146"/>
      <c r="Y1073" s="146"/>
      <c r="Z1073" s="146">
        <v>0.2140707025181797</v>
      </c>
      <c r="AA1073" s="146"/>
      <c r="AB1073" s="146"/>
      <c r="AC1073" s="146"/>
      <c r="AD1073" s="146"/>
      <c r="AE1073" s="146"/>
      <c r="AF1073" s="146"/>
      <c r="AG1073" s="146"/>
      <c r="AH1073" s="146"/>
      <c r="AI1073" s="146"/>
      <c r="AJ1073" s="146"/>
      <c r="AK1073" s="146"/>
      <c r="AL1073" s="146">
        <v>872.6590476249811</v>
      </c>
      <c r="AM1073" s="146">
        <v>0.26769840374369125</v>
      </c>
      <c r="AN1073" s="146">
        <v>0.2781370518004776</v>
      </c>
      <c r="AO1073" s="146">
        <v>336.04049976364109</v>
      </c>
      <c r="AP1073" s="146">
        <v>291.77368589495239</v>
      </c>
      <c r="AQ1073" t="s">
        <v>382</v>
      </c>
      <c r="AR1073">
        <f t="shared" si="63"/>
        <v>4.8813386259591285</v>
      </c>
      <c r="AS1073">
        <f t="shared" si="64"/>
        <v>1.3321822791215501</v>
      </c>
      <c r="AT1073">
        <v>0.1</v>
      </c>
      <c r="AU1073">
        <v>0</v>
      </c>
      <c r="AV1073">
        <v>0.2</v>
      </c>
      <c r="AW1073" s="146">
        <v>3</v>
      </c>
      <c r="AX1073">
        <v>8.825412858439266E-2</v>
      </c>
      <c r="AY1073">
        <v>0.08</v>
      </c>
      <c r="AZ1073" s="209">
        <v>291.77368589495239</v>
      </c>
      <c r="BA1073">
        <v>8.825412858439266E-2</v>
      </c>
      <c r="BB1073" s="249">
        <v>60.740696312490272</v>
      </c>
      <c r="BC1073" s="243">
        <v>205.15426703952215</v>
      </c>
      <c r="BD1073" s="209">
        <v>111865.5164629865</v>
      </c>
      <c r="BE1073" s="243">
        <v>79.01352930020397</v>
      </c>
      <c r="BF1073">
        <v>338730.47240168805</v>
      </c>
      <c r="BG1073" t="s">
        <v>390</v>
      </c>
      <c r="BH1073">
        <v>6.4348791700454811E-6</v>
      </c>
      <c r="BI1073">
        <v>2318655.164629865</v>
      </c>
      <c r="BJ1073">
        <f t="shared" si="62"/>
        <v>0.14608919755247898</v>
      </c>
    </row>
    <row r="1074" spans="1:62" s="140" customFormat="1" x14ac:dyDescent="0.3">
      <c r="A1074">
        <v>-0.2</v>
      </c>
      <c r="B1074" s="146">
        <v>1000</v>
      </c>
      <c r="C1074" s="146">
        <v>25</v>
      </c>
      <c r="D1074" s="146">
        <v>400</v>
      </c>
      <c r="E1074" s="252">
        <v>17.659446989422168</v>
      </c>
      <c r="F1074" s="146">
        <v>5.8239160344335792</v>
      </c>
      <c r="G1074" s="146">
        <v>21.285238971825361</v>
      </c>
      <c r="H1074" s="146">
        <v>5.4352730819010491</v>
      </c>
      <c r="I1074" s="146"/>
      <c r="J1074" s="146">
        <v>0.13656258960584772</v>
      </c>
      <c r="K1074" s="146">
        <v>0.08</v>
      </c>
      <c r="L1074" s="146">
        <v>110.31462090068054</v>
      </c>
      <c r="M1074" s="146">
        <v>61.619883609371975</v>
      </c>
      <c r="N1074" s="146">
        <v>1.1714585441986234</v>
      </c>
      <c r="O1074" s="146"/>
      <c r="P1074" s="146"/>
      <c r="Q1074" s="146"/>
      <c r="R1074" s="146"/>
      <c r="S1074" s="146"/>
      <c r="T1074" s="146"/>
      <c r="U1074" s="146"/>
      <c r="V1074" s="146"/>
      <c r="W1074" s="146"/>
      <c r="X1074" s="146"/>
      <c r="Y1074" s="146"/>
      <c r="Z1074" s="146">
        <v>0.21552892127894563</v>
      </c>
      <c r="AA1074" s="146"/>
      <c r="AB1074" s="146"/>
      <c r="AC1074" s="146"/>
      <c r="AD1074" s="146"/>
      <c r="AE1074" s="146"/>
      <c r="AF1074" s="146"/>
      <c r="AG1074" s="146"/>
      <c r="AH1074" s="146"/>
      <c r="AI1074" s="146"/>
      <c r="AJ1074" s="146"/>
      <c r="AK1074" s="146"/>
      <c r="AL1074" s="146">
        <v>870.4032034164718</v>
      </c>
      <c r="AM1074" s="146">
        <v>0.27361290339011574</v>
      </c>
      <c r="AN1074" s="146">
        <v>0.24739009015440794</v>
      </c>
      <c r="AO1074" s="146">
        <v>328.61699925651806</v>
      </c>
      <c r="AP1074" s="146">
        <v>284.67393131715983</v>
      </c>
      <c r="AQ1074" t="s">
        <v>382</v>
      </c>
      <c r="AR1074">
        <f t="shared" si="63"/>
        <v>4.8813386259591285</v>
      </c>
      <c r="AS1074">
        <f t="shared" si="64"/>
        <v>1.3321822791215501</v>
      </c>
      <c r="AT1074">
        <v>0.1</v>
      </c>
      <c r="AU1074">
        <v>0</v>
      </c>
      <c r="AV1074">
        <v>0.2</v>
      </c>
      <c r="AW1074" s="146">
        <v>3</v>
      </c>
      <c r="AX1074">
        <v>8.7280860730873794E-2</v>
      </c>
      <c r="AY1074">
        <v>0.08</v>
      </c>
      <c r="AZ1074" s="209">
        <v>284.67393131715983</v>
      </c>
      <c r="BA1074" s="140">
        <v>8.7280860730873794E-2</v>
      </c>
      <c r="BB1074" s="253">
        <v>61.405569341915729</v>
      </c>
      <c r="BC1074" s="245">
        <v>205.68005627885759</v>
      </c>
      <c r="BD1074" s="210">
        <v>112650.1816277786</v>
      </c>
      <c r="BE1074" s="245">
        <v>79.853529795703622</v>
      </c>
      <c r="BF1074" s="140">
        <v>337245.25707610731</v>
      </c>
      <c r="BG1074" t="s">
        <v>390</v>
      </c>
      <c r="BH1074" s="140">
        <v>6.3704683618541405E-6</v>
      </c>
      <c r="BI1074" s="140">
        <v>2326501.8162777862</v>
      </c>
      <c r="BJ1074">
        <f t="shared" si="62"/>
        <v>0.14495808888542899</v>
      </c>
    </row>
    <row r="1075" spans="1:62" x14ac:dyDescent="0.3">
      <c r="A1075">
        <v>-0.3</v>
      </c>
      <c r="B1075" s="146">
        <v>1000</v>
      </c>
      <c r="C1075" s="146">
        <v>25</v>
      </c>
      <c r="D1075" s="146">
        <v>400</v>
      </c>
      <c r="E1075" s="252">
        <v>17.463822765615284</v>
      </c>
      <c r="F1075" s="146">
        <v>5.9514564081076697</v>
      </c>
      <c r="G1075" s="146">
        <v>21.156603289173304</v>
      </c>
      <c r="H1075" s="146">
        <v>5.4435502953230781</v>
      </c>
      <c r="I1075" s="146"/>
      <c r="J1075" s="146">
        <v>0.13671419603943211</v>
      </c>
      <c r="K1075" s="146">
        <v>0.08</v>
      </c>
      <c r="L1075" s="146">
        <v>110.49472525716072</v>
      </c>
      <c r="M1075" s="146">
        <v>61.720486860266881</v>
      </c>
      <c r="N1075" s="146">
        <v>1.1602204017394291</v>
      </c>
      <c r="O1075" s="146"/>
      <c r="P1075" s="146"/>
      <c r="Q1075" s="146"/>
      <c r="R1075" s="146"/>
      <c r="S1075" s="146"/>
      <c r="T1075" s="146"/>
      <c r="U1075" s="146"/>
      <c r="V1075" s="146"/>
      <c r="W1075" s="146"/>
      <c r="X1075" s="146"/>
      <c r="Y1075" s="146"/>
      <c r="Z1075" s="146">
        <v>0.21313671019743363</v>
      </c>
      <c r="AA1075" s="146"/>
      <c r="AB1075" s="146"/>
      <c r="AC1075" s="146"/>
      <c r="AD1075" s="146"/>
      <c r="AE1075" s="146"/>
      <c r="AF1075" s="146"/>
      <c r="AG1075" s="146"/>
      <c r="AH1075" s="146"/>
      <c r="AI1075" s="146"/>
      <c r="AJ1075" s="146"/>
      <c r="AK1075" s="146"/>
      <c r="AL1075" s="146">
        <v>856.11311116298259</v>
      </c>
      <c r="AM1075" s="146">
        <v>0.28130491113161216</v>
      </c>
      <c r="AN1075" s="146">
        <v>0.21683209883004964</v>
      </c>
      <c r="AO1075" s="146">
        <v>319.45923661743819</v>
      </c>
      <c r="AP1075" s="146">
        <v>276.00291029326826</v>
      </c>
      <c r="AQ1075" t="s">
        <v>382</v>
      </c>
      <c r="AR1075">
        <f t="shared" si="63"/>
        <v>4.8813386259591285</v>
      </c>
      <c r="AS1075">
        <f t="shared" si="64"/>
        <v>1.3321822791215501</v>
      </c>
      <c r="AT1075">
        <v>0.1</v>
      </c>
      <c r="AU1075">
        <v>0</v>
      </c>
      <c r="AV1075">
        <v>0.2</v>
      </c>
      <c r="AW1075" s="146">
        <v>3</v>
      </c>
      <c r="AX1075">
        <v>8.6836563598617952E-2</v>
      </c>
      <c r="AY1075">
        <v>0.08</v>
      </c>
      <c r="AZ1075" s="209">
        <v>276.00291029326826</v>
      </c>
      <c r="BA1075">
        <v>8.6836563598617952E-2</v>
      </c>
      <c r="BB1075" s="249">
        <v>62.153287077138813</v>
      </c>
      <c r="BC1075" s="243">
        <v>206.21945871431083</v>
      </c>
      <c r="BD1075" s="209">
        <v>113378.11449734864</v>
      </c>
      <c r="BE1075" s="243">
        <v>80.60146908736462</v>
      </c>
      <c r="BF1075">
        <v>334109.77328637126</v>
      </c>
      <c r="BG1075" t="s">
        <v>390</v>
      </c>
      <c r="BH1075">
        <v>6.2874859586478604E-6</v>
      </c>
      <c r="BI1075">
        <v>2333781.1449734867</v>
      </c>
      <c r="BJ1075">
        <f t="shared" si="62"/>
        <v>0.14316242720787212</v>
      </c>
    </row>
    <row r="1076" spans="1:62" x14ac:dyDescent="0.3">
      <c r="A1076">
        <v>-0.4</v>
      </c>
      <c r="B1076" s="146">
        <v>1000</v>
      </c>
      <c r="C1076" s="146">
        <v>25</v>
      </c>
      <c r="D1076" s="146">
        <v>400</v>
      </c>
      <c r="E1076" s="252">
        <v>17.209365123624636</v>
      </c>
      <c r="F1076" s="146">
        <v>6.1311356512945627</v>
      </c>
      <c r="G1076" s="146">
        <v>20.997057826581464</v>
      </c>
      <c r="H1076" s="146">
        <v>5.4567726019086598</v>
      </c>
      <c r="I1076" s="146"/>
      <c r="J1076" s="146">
        <v>0.13677463871063877</v>
      </c>
      <c r="K1076" s="146">
        <v>0.08</v>
      </c>
      <c r="L1076" s="146">
        <v>110.77972576348265</v>
      </c>
      <c r="M1076" s="146">
        <v>61.879683328375876</v>
      </c>
      <c r="N1076" s="146">
        <v>1.1465766040258663</v>
      </c>
      <c r="O1076" s="146"/>
      <c r="P1076" s="146"/>
      <c r="Q1076" s="146"/>
      <c r="R1076" s="146"/>
      <c r="S1076" s="146"/>
      <c r="T1076" s="146"/>
      <c r="U1076" s="146"/>
      <c r="V1076" s="146"/>
      <c r="W1076" s="146"/>
      <c r="X1076" s="146"/>
      <c r="Y1076" s="146"/>
      <c r="Z1076" s="146">
        <v>0.21011991660140261</v>
      </c>
      <c r="AA1076" s="146"/>
      <c r="AB1076" s="146"/>
      <c r="AC1076" s="146"/>
      <c r="AD1076" s="146"/>
      <c r="AE1076" s="146"/>
      <c r="AF1076" s="146"/>
      <c r="AG1076" s="146"/>
      <c r="AH1076" s="146"/>
      <c r="AI1076" s="146"/>
      <c r="AJ1076" s="146"/>
      <c r="AK1076" s="146"/>
      <c r="AL1076" s="146">
        <v>838.01163334426622</v>
      </c>
      <c r="AM1076" s="146">
        <v>0.29199975072377909</v>
      </c>
      <c r="AN1076" s="146">
        <v>0.18614049198001217</v>
      </c>
      <c r="AO1076" s="146">
        <v>307.54636489586272</v>
      </c>
      <c r="AP1076" s="146">
        <v>264.72333133133316</v>
      </c>
      <c r="AQ1076" t="s">
        <v>382</v>
      </c>
      <c r="AR1076">
        <f t="shared" si="63"/>
        <v>4.8813386259591285</v>
      </c>
      <c r="AS1076">
        <f t="shared" si="64"/>
        <v>1.3321822791215501</v>
      </c>
      <c r="AT1076">
        <v>0.1</v>
      </c>
      <c r="AU1076">
        <v>0</v>
      </c>
      <c r="AV1076">
        <v>0.2</v>
      </c>
      <c r="AW1076" s="146">
        <v>3</v>
      </c>
      <c r="AX1076">
        <v>8.6169883081905208E-2</v>
      </c>
      <c r="AY1076">
        <v>0.08</v>
      </c>
      <c r="AZ1076" s="209">
        <v>264.72333133133316</v>
      </c>
      <c r="BA1076">
        <v>8.6169883081905208E-2</v>
      </c>
      <c r="BB1076" s="249">
        <v>63.228893265485382</v>
      </c>
      <c r="BC1076" s="243">
        <v>207.07580769742665</v>
      </c>
      <c r="BD1076" s="209">
        <v>114524.91028637619</v>
      </c>
      <c r="BE1076" s="243">
        <v>81.774143226391786</v>
      </c>
      <c r="BF1076">
        <v>330347.79586422554</v>
      </c>
      <c r="BG1076" t="s">
        <v>390</v>
      </c>
      <c r="BH1076">
        <v>6.1743543831270896E-6</v>
      </c>
      <c r="BI1076">
        <v>2345249.1028637621</v>
      </c>
      <c r="BJ1076">
        <f t="shared" si="62"/>
        <v>0.14085829750913917</v>
      </c>
    </row>
    <row r="1077" spans="1:62" x14ac:dyDescent="0.3">
      <c r="A1077">
        <v>-0.5</v>
      </c>
      <c r="B1077" s="146">
        <v>1000</v>
      </c>
      <c r="C1077" s="146">
        <v>25</v>
      </c>
      <c r="D1077" s="146">
        <v>400</v>
      </c>
      <c r="E1077" s="252">
        <v>16.84954305628791</v>
      </c>
      <c r="F1077" s="146">
        <v>6.3927627636231596</v>
      </c>
      <c r="G1077" s="146">
        <v>20.775624543302818</v>
      </c>
      <c r="H1077" s="146">
        <v>5.476793409497815</v>
      </c>
      <c r="I1077" s="146"/>
      <c r="J1077" s="146">
        <v>0.13730453745350771</v>
      </c>
      <c r="K1077" s="146">
        <v>0.08</v>
      </c>
      <c r="L1077" s="146">
        <v>111.21071031734479</v>
      </c>
      <c r="M1077" s="146">
        <v>62.120424019225283</v>
      </c>
      <c r="N1077" s="146">
        <v>1.1216176694467102</v>
      </c>
      <c r="O1077" s="146"/>
      <c r="P1077" s="146"/>
      <c r="Q1077" s="146"/>
      <c r="R1077" s="146"/>
      <c r="S1077" s="146"/>
      <c r="T1077" s="146"/>
      <c r="U1077" s="146"/>
      <c r="V1077" s="146"/>
      <c r="W1077" s="146"/>
      <c r="X1077" s="146"/>
      <c r="Y1077" s="146"/>
      <c r="Z1077" s="146">
        <v>0.20479459157645219</v>
      </c>
      <c r="AA1077" s="146"/>
      <c r="AB1077" s="146"/>
      <c r="AC1077" s="146"/>
      <c r="AD1077" s="146"/>
      <c r="AE1077" s="146"/>
      <c r="AF1077" s="146"/>
      <c r="AG1077" s="146"/>
      <c r="AH1077" s="146"/>
      <c r="AI1077" s="146"/>
      <c r="AJ1077" s="146"/>
      <c r="AK1077" s="146"/>
      <c r="AL1077" s="146">
        <v>810.44861284690796</v>
      </c>
      <c r="AM1077" s="146">
        <v>0.30770496214439513</v>
      </c>
      <c r="AN1077" s="146">
        <v>0.15539192288415349</v>
      </c>
      <c r="AO1077" s="146">
        <v>291.567446083736</v>
      </c>
      <c r="AP1077" s="146">
        <v>249.6397781235527</v>
      </c>
      <c r="AQ1077" t="s">
        <v>382</v>
      </c>
      <c r="AR1077">
        <f t="shared" si="63"/>
        <v>4.8813386259591285</v>
      </c>
      <c r="AS1077">
        <f t="shared" si="64"/>
        <v>1.3321822791215501</v>
      </c>
      <c r="AT1077">
        <v>0.1</v>
      </c>
      <c r="AU1077">
        <v>0</v>
      </c>
      <c r="AV1077">
        <v>0.2</v>
      </c>
      <c r="AW1077" s="146">
        <v>3</v>
      </c>
      <c r="AX1077">
        <v>8.5401067624246027E-2</v>
      </c>
      <c r="AY1077">
        <v>0.08</v>
      </c>
      <c r="AZ1077" s="209">
        <v>249.6397781235527</v>
      </c>
      <c r="BA1077">
        <v>8.5401067624246027E-2</v>
      </c>
      <c r="BB1077" s="249">
        <v>64.802486488639786</v>
      </c>
      <c r="BC1077" s="243">
        <v>208.37734605987134</v>
      </c>
      <c r="BD1077" s="209">
        <v>116233.81136431186</v>
      </c>
      <c r="BE1077" s="243">
        <v>83.502696021460011</v>
      </c>
      <c r="BF1077">
        <v>325058.56531703396</v>
      </c>
      <c r="BG1077" t="s">
        <v>390</v>
      </c>
      <c r="BH1077">
        <v>6.0133920123771754E-6</v>
      </c>
      <c r="BI1077">
        <v>2362338.1136431186</v>
      </c>
      <c r="BJ1077">
        <f t="shared" si="62"/>
        <v>0.13760035595232367</v>
      </c>
    </row>
    <row r="1078" spans="1:62" x14ac:dyDescent="0.3">
      <c r="A1078">
        <v>-0.6</v>
      </c>
      <c r="B1078" s="146">
        <v>1000</v>
      </c>
      <c r="C1078" s="146">
        <v>25</v>
      </c>
      <c r="D1078" s="146">
        <v>400</v>
      </c>
      <c r="E1078" s="252">
        <v>16.283206773859227</v>
      </c>
      <c r="F1078" s="146">
        <v>6.7802020981859412</v>
      </c>
      <c r="G1078" s="146">
        <v>20.413432990674043</v>
      </c>
      <c r="H1078" s="146">
        <v>5.5042356712293588</v>
      </c>
      <c r="I1078" s="146"/>
      <c r="J1078" s="146">
        <v>0.13823342336557959</v>
      </c>
      <c r="K1078" s="146">
        <v>0.08</v>
      </c>
      <c r="L1078" s="146">
        <v>111.80798810518318</v>
      </c>
      <c r="M1078" s="146">
        <v>62.454053301260366</v>
      </c>
      <c r="N1078" s="146">
        <v>1.0855793429362848</v>
      </c>
      <c r="O1078" s="146"/>
      <c r="P1078" s="146"/>
      <c r="Q1078" s="146"/>
      <c r="R1078" s="146"/>
      <c r="S1078" s="146"/>
      <c r="T1078" s="146"/>
      <c r="U1078" s="146"/>
      <c r="V1078" s="146"/>
      <c r="W1078" s="146"/>
      <c r="X1078" s="146"/>
      <c r="Y1078" s="146"/>
      <c r="Z1078" s="146">
        <v>0.19722617412815521</v>
      </c>
      <c r="AA1078" s="146"/>
      <c r="AB1078" s="146"/>
      <c r="AC1078" s="146"/>
      <c r="AD1078" s="146"/>
      <c r="AE1078" s="146"/>
      <c r="AF1078" s="146"/>
      <c r="AG1078" s="146"/>
      <c r="AH1078" s="146"/>
      <c r="AI1078" s="146"/>
      <c r="AJ1078" s="146"/>
      <c r="AK1078" s="146"/>
      <c r="AL1078" s="146">
        <v>771.79003206573577</v>
      </c>
      <c r="AM1078" s="146">
        <v>0.33214413770008716</v>
      </c>
      <c r="AN1078" s="146">
        <v>0.12479350044059204</v>
      </c>
      <c r="AO1078" s="146">
        <v>269.51879131228594</v>
      </c>
      <c r="AP1078" s="146">
        <v>229.0003605975939</v>
      </c>
      <c r="AQ1078" t="s">
        <v>382</v>
      </c>
      <c r="AR1078">
        <f t="shared" si="63"/>
        <v>4.8813386259591285</v>
      </c>
      <c r="AS1078">
        <f t="shared" si="64"/>
        <v>1.3321822791215501</v>
      </c>
      <c r="AT1078">
        <v>0.1</v>
      </c>
      <c r="AU1078">
        <v>0</v>
      </c>
      <c r="AV1078">
        <v>0.2</v>
      </c>
      <c r="AW1078" s="146">
        <v>3</v>
      </c>
      <c r="AX1078">
        <v>8.4359931350748846E-2</v>
      </c>
      <c r="AY1078">
        <v>0.08</v>
      </c>
      <c r="AZ1078" s="209">
        <v>229.0003605975939</v>
      </c>
      <c r="BA1078">
        <v>8.4359931350748846E-2</v>
      </c>
      <c r="BB1078" s="249">
        <v>67.096889163934748</v>
      </c>
      <c r="BC1078" s="243">
        <v>210.19427169366995</v>
      </c>
      <c r="BD1078" s="209">
        <v>118583.42668363202</v>
      </c>
      <c r="BE1078" s="243">
        <v>85.855795395069165</v>
      </c>
      <c r="BF1078">
        <v>315874.38653492811</v>
      </c>
      <c r="BG1078" t="s">
        <v>390</v>
      </c>
      <c r="BH1078">
        <v>5.7724421827183355E-6</v>
      </c>
      <c r="BI1078">
        <v>2385834.2668363201</v>
      </c>
      <c r="BJ1078">
        <f t="shared" si="62"/>
        <v>0.13239577908895825</v>
      </c>
    </row>
    <row r="1079" spans="1:62" x14ac:dyDescent="0.3">
      <c r="A1079">
        <v>-0.7</v>
      </c>
      <c r="B1079" s="146">
        <v>1000</v>
      </c>
      <c r="C1079" s="146">
        <v>25</v>
      </c>
      <c r="D1079" s="146">
        <v>400</v>
      </c>
      <c r="E1079" s="252">
        <v>15.312688608408557</v>
      </c>
      <c r="F1079" s="146">
        <v>7.4082791358147357</v>
      </c>
      <c r="G1079" s="146">
        <v>19.772608861130859</v>
      </c>
      <c r="H1079" s="146">
        <v>5.5455302872451941</v>
      </c>
      <c r="I1079" s="146"/>
      <c r="J1079" s="146">
        <v>0.14068065617913836</v>
      </c>
      <c r="K1079" s="146">
        <v>0.08</v>
      </c>
      <c r="L1079" s="146">
        <v>112.72103837363574</v>
      </c>
      <c r="M1079" s="146">
        <v>62.964067756390534</v>
      </c>
      <c r="N1079" s="146">
        <v>1.0227424659243365</v>
      </c>
      <c r="O1079" s="146"/>
      <c r="P1079" s="146"/>
      <c r="Q1079" s="146"/>
      <c r="R1079" s="146"/>
      <c r="S1079" s="146"/>
      <c r="T1079" s="146"/>
      <c r="U1079" s="146"/>
      <c r="V1079" s="146"/>
      <c r="W1079" s="146"/>
      <c r="X1079" s="146"/>
      <c r="Y1079" s="146"/>
      <c r="Z1079" s="146">
        <v>0.18442645030298727</v>
      </c>
      <c r="AA1079" s="146"/>
      <c r="AB1079" s="146"/>
      <c r="AC1079" s="146"/>
      <c r="AD1079" s="146"/>
      <c r="AE1079" s="146"/>
      <c r="AF1079" s="146"/>
      <c r="AG1079" s="146"/>
      <c r="AH1079" s="146"/>
      <c r="AI1079" s="146"/>
      <c r="AJ1079" s="146"/>
      <c r="AK1079" s="146"/>
      <c r="AL1079" s="146">
        <v>710.90712821128727</v>
      </c>
      <c r="AM1079" s="146">
        <v>0.37467383226186129</v>
      </c>
      <c r="AN1079" s="146">
        <v>9.4312795392569856E-2</v>
      </c>
      <c r="AO1079" s="146">
        <v>237.63933043580511</v>
      </c>
      <c r="AP1079" s="146">
        <v>199.53589524911914</v>
      </c>
      <c r="AQ1079" t="s">
        <v>382</v>
      </c>
      <c r="AR1079">
        <f t="shared" si="63"/>
        <v>4.8813386259591285</v>
      </c>
      <c r="AS1079">
        <f t="shared" si="64"/>
        <v>1.3321822791215501</v>
      </c>
      <c r="AT1079">
        <v>0.1</v>
      </c>
      <c r="AU1079">
        <v>0</v>
      </c>
      <c r="AV1079">
        <v>0.2</v>
      </c>
      <c r="AW1079" s="146">
        <v>3</v>
      </c>
      <c r="AX1079">
        <v>8.3106841932222481E-2</v>
      </c>
      <c r="AY1079">
        <v>0.08</v>
      </c>
      <c r="AZ1079" s="209">
        <v>199.53589524911914</v>
      </c>
      <c r="BA1079">
        <v>8.3106841932222481E-2</v>
      </c>
      <c r="BB1079" s="249">
        <v>70.753248874488776</v>
      </c>
      <c r="BC1079" s="243">
        <v>213.00196737132575</v>
      </c>
      <c r="BD1079" s="209">
        <v>122099.96429212572</v>
      </c>
      <c r="BE1079" s="243">
        <v>89.310306554647937</v>
      </c>
      <c r="BF1079">
        <v>298746.41504890588</v>
      </c>
      <c r="BG1079" t="s">
        <v>390</v>
      </c>
      <c r="BH1079">
        <v>5.378930271910527E-6</v>
      </c>
      <c r="BI1079">
        <v>2420999.6429212573</v>
      </c>
      <c r="BJ1079">
        <f t="shared" si="62"/>
        <v>0.12339795915394217</v>
      </c>
    </row>
    <row r="1080" spans="1:62" x14ac:dyDescent="0.3">
      <c r="A1080">
        <v>-0.8</v>
      </c>
      <c r="B1080" s="146">
        <v>1000</v>
      </c>
      <c r="C1080" s="146">
        <v>25</v>
      </c>
      <c r="D1080" s="146">
        <v>400</v>
      </c>
      <c r="E1080" s="252">
        <v>13.453396818822366</v>
      </c>
      <c r="F1080" s="146">
        <v>8.6414123135742251</v>
      </c>
      <c r="G1080" s="146">
        <v>18.561359890867795</v>
      </c>
      <c r="H1080" s="146">
        <v>5.6281189734770685</v>
      </c>
      <c r="I1080" s="146"/>
      <c r="J1080" s="146">
        <v>0.14865164007045839</v>
      </c>
      <c r="K1080" s="146">
        <v>0.08</v>
      </c>
      <c r="L1080" s="146">
        <v>114.57330582599329</v>
      </c>
      <c r="M1080" s="146">
        <v>63.998713063565745</v>
      </c>
      <c r="N1080" s="146">
        <v>0.8904959928246603</v>
      </c>
      <c r="O1080" s="146"/>
      <c r="P1080" s="146"/>
      <c r="Q1080" s="146"/>
      <c r="R1080" s="146"/>
      <c r="S1080" s="146"/>
      <c r="T1080" s="146"/>
      <c r="U1080" s="146"/>
      <c r="V1080" s="146"/>
      <c r="W1080" s="146"/>
      <c r="X1080" s="146"/>
      <c r="Y1080" s="146"/>
      <c r="Z1080" s="146">
        <v>0.158222666759745</v>
      </c>
      <c r="AA1080" s="146"/>
      <c r="AB1080" s="146"/>
      <c r="AC1080" s="146"/>
      <c r="AD1080" s="146"/>
      <c r="AE1080" s="146"/>
      <c r="AF1080" s="146"/>
      <c r="AG1080" s="146"/>
      <c r="AH1080" s="146"/>
      <c r="AI1080" s="146"/>
      <c r="AJ1080" s="146"/>
      <c r="AK1080" s="146"/>
      <c r="AL1080" s="146">
        <v>600.07486817658514</v>
      </c>
      <c r="AM1080" s="146">
        <v>0.46555922434464553</v>
      </c>
      <c r="AN1080" s="146">
        <v>6.3550464719621641E-2</v>
      </c>
      <c r="AO1080" s="146">
        <v>188.3037224325987</v>
      </c>
      <c r="AP1080" s="146">
        <v>154.82687176425503</v>
      </c>
      <c r="AQ1080" t="s">
        <v>382</v>
      </c>
      <c r="AR1080">
        <f t="shared" si="63"/>
        <v>4.8813386259591285</v>
      </c>
      <c r="AS1080">
        <f t="shared" si="64"/>
        <v>1.3321822791215501</v>
      </c>
      <c r="AT1080">
        <v>0.1</v>
      </c>
      <c r="AU1080">
        <v>0</v>
      </c>
      <c r="AV1080">
        <v>0.2</v>
      </c>
      <c r="AW1080" s="146">
        <v>3</v>
      </c>
      <c r="AX1080">
        <v>8.1936581322564553E-2</v>
      </c>
      <c r="AY1080">
        <v>0.08</v>
      </c>
      <c r="AZ1080" s="209">
        <v>154.82687176425503</v>
      </c>
      <c r="BA1080">
        <v>8.1936581322564553E-2</v>
      </c>
      <c r="BB1080" s="249">
        <v>77.935877206393542</v>
      </c>
      <c r="BC1080" s="243">
        <v>218.81367711650586</v>
      </c>
      <c r="BD1080" s="209">
        <v>129157.52720327784</v>
      </c>
      <c r="BE1080" s="243">
        <v>96.089088986820542</v>
      </c>
      <c r="BF1080">
        <v>271055.77285728219</v>
      </c>
      <c r="BG1080" t="s">
        <v>390</v>
      </c>
      <c r="BH1080">
        <v>4.6239898518018165E-6</v>
      </c>
      <c r="BI1080">
        <v>2491575.2720327787</v>
      </c>
      <c r="BJ1080">
        <f t="shared" si="62"/>
        <v>0.10878891595201072</v>
      </c>
    </row>
    <row r="1081" spans="1:62" x14ac:dyDescent="0.3">
      <c r="A1081">
        <v>-0.85</v>
      </c>
      <c r="B1081" s="146">
        <v>1000</v>
      </c>
      <c r="C1081" s="146">
        <v>25</v>
      </c>
      <c r="D1081" s="146">
        <v>400</v>
      </c>
      <c r="E1081" s="252">
        <v>9.3371257271394725</v>
      </c>
      <c r="F1081" s="146">
        <v>5.033105955093065</v>
      </c>
      <c r="G1081" s="146">
        <v>12.285645328764685</v>
      </c>
      <c r="H1081" s="146">
        <v>3.5928550707609412</v>
      </c>
      <c r="I1081" s="146"/>
      <c r="J1081" s="146">
        <v>0.16227683203579554</v>
      </c>
      <c r="K1081" s="146">
        <v>0.08</v>
      </c>
      <c r="L1081" s="146">
        <v>73.389765810812023</v>
      </c>
      <c r="M1081" s="146">
        <v>40.994283354813263</v>
      </c>
      <c r="N1081" s="146">
        <v>0.66930932884646177</v>
      </c>
      <c r="O1081" s="146"/>
      <c r="P1081" s="146"/>
      <c r="Q1081" s="146"/>
      <c r="R1081" s="146"/>
      <c r="S1081" s="146"/>
      <c r="T1081" s="146"/>
      <c r="U1081" s="146"/>
      <c r="V1081" s="146"/>
      <c r="W1081" s="146"/>
      <c r="X1081" s="146"/>
      <c r="Y1081" s="146"/>
      <c r="Z1081" s="146">
        <v>0.18628898624199355</v>
      </c>
      <c r="AA1081" s="146"/>
      <c r="AB1081" s="146"/>
      <c r="AC1081" s="146"/>
      <c r="AD1081" s="146"/>
      <c r="AE1081" s="146"/>
      <c r="AF1081" s="146"/>
      <c r="AG1081" s="146"/>
      <c r="AH1081" s="146"/>
      <c r="AI1081" s="146"/>
      <c r="AJ1081" s="146"/>
      <c r="AK1081" s="146"/>
      <c r="AL1081" s="146">
        <v>518.59205629171879</v>
      </c>
      <c r="AM1081" s="146">
        <v>0.4096737143558043</v>
      </c>
      <c r="AN1081" s="146">
        <v>4.8421937772124217E-2</v>
      </c>
      <c r="AO1081" s="146">
        <v>207.17158055341775</v>
      </c>
      <c r="AP1081" s="146">
        <v>183.93739186848774</v>
      </c>
      <c r="AQ1081" t="s">
        <v>382</v>
      </c>
      <c r="AR1081">
        <f t="shared" si="63"/>
        <v>4.8813386259591285</v>
      </c>
      <c r="AS1081">
        <f t="shared" si="64"/>
        <v>1.3321822791215501</v>
      </c>
      <c r="AT1081">
        <v>0.1</v>
      </c>
      <c r="AU1081">
        <v>0</v>
      </c>
      <c r="AV1081">
        <v>0.2</v>
      </c>
      <c r="AW1081" s="146">
        <v>3</v>
      </c>
      <c r="AX1081">
        <v>9.0167198977120791E-2</v>
      </c>
      <c r="AY1081">
        <v>0.08</v>
      </c>
      <c r="AZ1081" s="209">
        <v>183.93739186848774</v>
      </c>
      <c r="BA1081">
        <v>9.0167198977120791E-2</v>
      </c>
      <c r="BB1081" s="249">
        <v>46.977734748723741</v>
      </c>
      <c r="BC1081" s="243">
        <v>116.33977905730649</v>
      </c>
      <c r="BD1081" s="209">
        <v>62866.066162476578</v>
      </c>
      <c r="BE1081" s="243">
        <v>56.446870574165573</v>
      </c>
      <c r="BF1081">
        <v>650407.51971329469</v>
      </c>
      <c r="BG1081" t="s">
        <v>390</v>
      </c>
      <c r="BH1081">
        <v>3.4439506932254308E-6</v>
      </c>
      <c r="BI1081">
        <v>1828660.6616247657</v>
      </c>
      <c r="BJ1081">
        <f t="shared" si="62"/>
        <v>0.35567425567923977</v>
      </c>
    </row>
    <row r="1082" spans="1:62" s="160" customFormat="1" ht="15" thickBot="1" x14ac:dyDescent="0.35">
      <c r="A1082" s="160">
        <v>-0.87</v>
      </c>
      <c r="B1082" s="160">
        <v>1000</v>
      </c>
      <c r="C1082" s="160">
        <v>25</v>
      </c>
      <c r="D1082" s="160">
        <v>400</v>
      </c>
      <c r="E1082" s="250">
        <v>3.3833070776866827</v>
      </c>
      <c r="F1082" s="160">
        <v>1.0983741685234425</v>
      </c>
      <c r="G1082" s="160">
        <v>4.0410804302790861</v>
      </c>
      <c r="H1082" s="160">
        <v>1.0565016132751071</v>
      </c>
      <c r="J1082" s="160">
        <v>0.20053557987444856</v>
      </c>
      <c r="K1082" s="160">
        <v>0.08</v>
      </c>
      <c r="L1082" s="160">
        <v>21.587959836885197</v>
      </c>
      <c r="M1082" s="160">
        <v>12.05866966365522</v>
      </c>
      <c r="N1082" s="160">
        <v>0.23770611539111886</v>
      </c>
      <c r="Z1082" s="160">
        <v>0.2249936132650481</v>
      </c>
      <c r="AL1082" s="160">
        <v>430.41547669349541</v>
      </c>
      <c r="AM1082" s="160">
        <v>0.27180210527202653</v>
      </c>
      <c r="AN1082" s="160">
        <v>4.2281548976411801E-2</v>
      </c>
      <c r="AO1082" s="160">
        <v>319.98147750986664</v>
      </c>
      <c r="AP1082" s="160">
        <v>311.56241899793611</v>
      </c>
      <c r="AQ1082" t="s">
        <v>382</v>
      </c>
      <c r="AR1082" s="160">
        <f t="shared" si="63"/>
        <v>4.8813386259591285</v>
      </c>
      <c r="AS1082" s="160">
        <f t="shared" si="64"/>
        <v>1.3321822791215501</v>
      </c>
      <c r="AT1082" s="160">
        <v>0.1</v>
      </c>
      <c r="AU1082">
        <v>0</v>
      </c>
      <c r="AV1082" s="160">
        <v>0.2</v>
      </c>
      <c r="AW1082" s="160">
        <v>3</v>
      </c>
      <c r="AX1082" s="160">
        <v>0.12668541404373385</v>
      </c>
      <c r="AY1082" s="160">
        <v>0.08</v>
      </c>
      <c r="AZ1082" s="248">
        <v>311.56241899793611</v>
      </c>
      <c r="BA1082" s="160">
        <v>0.12668541404373385</v>
      </c>
      <c r="BB1082" s="250">
        <v>11.65463236041715</v>
      </c>
      <c r="BC1082" s="246">
        <v>29.630917435851412</v>
      </c>
      <c r="BD1082" s="248">
        <v>12163.683712710703</v>
      </c>
      <c r="BE1082" s="246">
        <v>13.803589896421531</v>
      </c>
      <c r="BF1082" s="160">
        <v>828659.06318195025</v>
      </c>
      <c r="BG1082" t="s">
        <v>390</v>
      </c>
      <c r="BH1082" s="160">
        <v>1.1935754211491288E-6</v>
      </c>
      <c r="BI1082" s="160">
        <v>1321636.837127107</v>
      </c>
      <c r="BJ1082">
        <f t="shared" si="62"/>
        <v>0.62699452671373668</v>
      </c>
    </row>
    <row r="1083" spans="1:62" x14ac:dyDescent="0.3">
      <c r="A1083">
        <v>-0.1</v>
      </c>
      <c r="B1083" s="146">
        <v>100</v>
      </c>
      <c r="C1083" s="146">
        <v>25</v>
      </c>
      <c r="D1083" s="146">
        <v>400</v>
      </c>
      <c r="E1083" s="249">
        <v>3.1068849627033979</v>
      </c>
      <c r="F1083">
        <v>0.38997252784246622</v>
      </c>
      <c r="G1083">
        <v>3.5038244230983566</v>
      </c>
      <c r="H1083">
        <v>4.3003173198683626</v>
      </c>
      <c r="J1083">
        <v>0.94517981768203951</v>
      </c>
      <c r="K1083">
        <v>0.36</v>
      </c>
      <c r="L1083">
        <v>21.654691157146821</v>
      </c>
      <c r="M1083">
        <v>7.9873860825541554</v>
      </c>
      <c r="N1083">
        <v>1.2012476090979876</v>
      </c>
      <c r="Z1083">
        <v>0.27933929516037648</v>
      </c>
      <c r="AL1083">
        <v>975.15324907408262</v>
      </c>
      <c r="AM1083">
        <v>0.11129910656242926</v>
      </c>
      <c r="AN1083">
        <v>0.17514008170792805</v>
      </c>
      <c r="AO1083">
        <v>382.26057146710377</v>
      </c>
      <c r="AP1083">
        <v>374.52944452508927</v>
      </c>
      <c r="AQ1083" t="s">
        <v>383</v>
      </c>
      <c r="AR1083">
        <f t="shared" ref="AR1083:AR1122" si="65">0.6*Jsat_t</f>
        <v>19.525354503836514</v>
      </c>
      <c r="AS1083">
        <f t="shared" ref="AS1083:AS1122" si="66">0.2*Jatp</f>
        <v>5.3287291164862003</v>
      </c>
      <c r="AT1083">
        <v>0.4</v>
      </c>
      <c r="AU1083">
        <v>0</v>
      </c>
      <c r="AV1083">
        <v>0.5</v>
      </c>
      <c r="AW1083">
        <v>3</v>
      </c>
      <c r="AX1083">
        <v>0.91533701495142561</v>
      </c>
      <c r="AY1083">
        <v>0.36</v>
      </c>
      <c r="AZ1083" s="209">
        <v>374.52944452508927</v>
      </c>
      <c r="BA1083">
        <v>0.91533701495142561</v>
      </c>
      <c r="BB1083" s="249">
        <v>6.0208238430872969</v>
      </c>
      <c r="BC1083" s="243">
        <v>70.625033092502179</v>
      </c>
      <c r="BD1083" s="209">
        <v>23918.745551881049</v>
      </c>
      <c r="BE1083" s="243">
        <v>10.15624549698809</v>
      </c>
      <c r="BF1083">
        <v>16556.182181707831</v>
      </c>
      <c r="BG1083" t="s">
        <v>387</v>
      </c>
      <c r="BH1083">
        <v>1.9289179386333036E-6</v>
      </c>
      <c r="BI1083">
        <v>1439187.4555188105</v>
      </c>
      <c r="BJ1083">
        <f t="shared" si="62"/>
        <v>1.1503839974577542E-2</v>
      </c>
    </row>
    <row r="1084" spans="1:62" s="146" customFormat="1" x14ac:dyDescent="0.3">
      <c r="A1084">
        <v>-0.1</v>
      </c>
      <c r="B1084" s="146">
        <v>200</v>
      </c>
      <c r="C1084" s="146">
        <v>25</v>
      </c>
      <c r="D1084" s="146">
        <v>400</v>
      </c>
      <c r="E1084" s="252">
        <v>5.9219560235041291</v>
      </c>
      <c r="F1084" s="146">
        <v>0.59108358542928796</v>
      </c>
      <c r="G1084" s="146">
        <v>6.5113360817597759</v>
      </c>
      <c r="H1084" s="146">
        <v>7.9458790304930318</v>
      </c>
      <c r="J1084" s="146">
        <v>0.99999999932410799</v>
      </c>
      <c r="K1084" s="146">
        <v>0.36</v>
      </c>
      <c r="L1084" s="146">
        <v>40.107630633538655</v>
      </c>
      <c r="M1084" s="146">
        <v>14.793798184501963</v>
      </c>
      <c r="N1084" s="146">
        <v>1.8770038763718544</v>
      </c>
      <c r="Z1084" s="146">
        <v>0.23622356559528301</v>
      </c>
      <c r="AL1084" s="146">
        <v>1293.9818627339901</v>
      </c>
      <c r="AM1084" s="146">
        <v>9.0777618910670585E-2</v>
      </c>
      <c r="AN1084" s="146">
        <v>0.19882934790428256</v>
      </c>
      <c r="AO1084" s="146">
        <v>370.21588570337718</v>
      </c>
      <c r="AP1084" s="146">
        <v>355.47992454806217</v>
      </c>
      <c r="AQ1084" s="146" t="s">
        <v>383</v>
      </c>
      <c r="AR1084" s="146">
        <f t="shared" si="65"/>
        <v>19.525354503836514</v>
      </c>
      <c r="AS1084" s="146">
        <f t="shared" si="66"/>
        <v>5.3287291164862003</v>
      </c>
      <c r="AT1084" s="146">
        <v>0.4</v>
      </c>
      <c r="AU1084">
        <v>0</v>
      </c>
      <c r="AV1084" s="146">
        <v>0.5</v>
      </c>
      <c r="AW1084" s="146">
        <v>3</v>
      </c>
      <c r="AX1084" s="146">
        <v>0.99999999900000003</v>
      </c>
      <c r="AY1084" s="146">
        <v>0.36</v>
      </c>
      <c r="AZ1084" s="209">
        <v>355.47992454806217</v>
      </c>
      <c r="BA1084" s="146">
        <v>0.99999999900000003</v>
      </c>
      <c r="BB1084" s="252">
        <v>10.063746151706253</v>
      </c>
      <c r="BC1084" s="244">
        <v>102.66362268309435</v>
      </c>
      <c r="BD1084" s="229">
        <v>37485.674154861423</v>
      </c>
      <c r="BE1084" s="244">
        <v>14.871683533306607</v>
      </c>
      <c r="BF1084" s="146">
        <v>46886.973554196185</v>
      </c>
      <c r="BG1084" t="s">
        <v>387</v>
      </c>
      <c r="BH1084" s="146">
        <v>3.4381059355432549E-6</v>
      </c>
      <c r="BI1084" s="146">
        <v>1574856.7415486141</v>
      </c>
      <c r="BJ1084">
        <f t="shared" si="62"/>
        <v>2.9772215032137155E-2</v>
      </c>
    </row>
    <row r="1085" spans="1:62" s="146" customFormat="1" x14ac:dyDescent="0.3">
      <c r="A1085">
        <v>-0.1</v>
      </c>
      <c r="B1085" s="146">
        <v>300</v>
      </c>
      <c r="C1085" s="146">
        <v>25</v>
      </c>
      <c r="D1085" s="146">
        <v>400</v>
      </c>
      <c r="E1085" s="252">
        <v>8.4196818588875146</v>
      </c>
      <c r="F1085" s="146">
        <v>0.73134572025405409</v>
      </c>
      <c r="G1085" s="146">
        <v>9.1463274413527085</v>
      </c>
      <c r="H1085" s="146">
        <v>11.147441879762898</v>
      </c>
      <c r="J1085" s="146">
        <v>0.99999999928676842</v>
      </c>
      <c r="K1085" s="146">
        <v>0.36</v>
      </c>
      <c r="L1085" s="146">
        <v>56.370645912866337</v>
      </c>
      <c r="M1085" s="146">
        <v>20.792451361303158</v>
      </c>
      <c r="N1085" s="146">
        <v>2.547273662610543</v>
      </c>
      <c r="Z1085" s="146">
        <v>0.22850746297541788</v>
      </c>
      <c r="AL1085" s="146">
        <v>1613.1113390252087</v>
      </c>
      <c r="AM1085" s="146">
        <v>7.9960588000323185E-2</v>
      </c>
      <c r="AN1085" s="146">
        <v>0.21275625567165099</v>
      </c>
      <c r="AO1085" s="146">
        <v>360.42569074029154</v>
      </c>
      <c r="AP1085" s="146">
        <v>339.47450771993613</v>
      </c>
      <c r="AQ1085" t="s">
        <v>383</v>
      </c>
      <c r="AR1085" s="146">
        <f t="shared" si="65"/>
        <v>19.525354503836514</v>
      </c>
      <c r="AS1085" s="146">
        <f t="shared" si="66"/>
        <v>5.3287291164862003</v>
      </c>
      <c r="AT1085" s="146">
        <v>0.4</v>
      </c>
      <c r="AU1085">
        <v>0</v>
      </c>
      <c r="AV1085" s="146">
        <v>0.5</v>
      </c>
      <c r="AW1085" s="146">
        <v>3</v>
      </c>
      <c r="AX1085" s="146">
        <v>0.99999999900000003</v>
      </c>
      <c r="AY1085" s="146">
        <v>0.36</v>
      </c>
      <c r="AZ1085" s="209">
        <v>339.47450771993613</v>
      </c>
      <c r="BA1085" s="146">
        <v>0.99999999900000003</v>
      </c>
      <c r="BB1085" s="252">
        <v>13.339492888392089</v>
      </c>
      <c r="BC1085" s="244">
        <v>125.47036886035792</v>
      </c>
      <c r="BD1085" s="229">
        <v>48297.371932091242</v>
      </c>
      <c r="BE1085" s="244">
        <v>18.918720074908581</v>
      </c>
      <c r="BF1085" s="146">
        <v>82494.648536931883</v>
      </c>
      <c r="BG1085" t="s">
        <v>387</v>
      </c>
      <c r="BH1085" s="146">
        <v>4.547286617435334E-6</v>
      </c>
      <c r="BI1085" s="146">
        <v>1682973.7193209124</v>
      </c>
      <c r="BJ1085">
        <f t="shared" si="62"/>
        <v>4.9017193548464233E-2</v>
      </c>
    </row>
    <row r="1086" spans="1:62" s="146" customFormat="1" x14ac:dyDescent="0.3">
      <c r="A1086">
        <v>-0.1</v>
      </c>
      <c r="B1086" s="146">
        <v>400</v>
      </c>
      <c r="C1086" s="146">
        <v>25</v>
      </c>
      <c r="D1086" s="146">
        <v>400</v>
      </c>
      <c r="E1086" s="252">
        <v>10.647711515455416</v>
      </c>
      <c r="F1086" s="146">
        <v>0.84210919466299128</v>
      </c>
      <c r="G1086" s="146">
        <v>11.483383403943721</v>
      </c>
      <c r="H1086" s="146">
        <v>14.001632088640481</v>
      </c>
      <c r="J1086" s="146">
        <v>0.99999999926132332</v>
      </c>
      <c r="K1086" s="146">
        <v>0.36</v>
      </c>
      <c r="L1086" s="146">
        <v>70.910889372888136</v>
      </c>
      <c r="M1086" s="146">
        <v>26.155655916229232</v>
      </c>
      <c r="N1086" s="146">
        <v>3.1466119311239051</v>
      </c>
      <c r="Z1086" s="146">
        <v>0.22473179635085186</v>
      </c>
      <c r="AL1086" s="146">
        <v>1898.8475517561503</v>
      </c>
      <c r="AM1086" s="146">
        <v>7.3332846691662928E-2</v>
      </c>
      <c r="AN1086" s="146">
        <v>0.22199794293116445</v>
      </c>
      <c r="AO1086" s="146">
        <v>352.03689108616209</v>
      </c>
      <c r="AP1086" s="146">
        <v>325.54158619419889</v>
      </c>
      <c r="AQ1086" s="146" t="s">
        <v>383</v>
      </c>
      <c r="AR1086" s="146">
        <f t="shared" si="65"/>
        <v>19.525354503836514</v>
      </c>
      <c r="AS1086" s="146">
        <f t="shared" si="66"/>
        <v>5.3287291164862003</v>
      </c>
      <c r="AT1086" s="146">
        <v>0.4</v>
      </c>
      <c r="AU1086">
        <v>0</v>
      </c>
      <c r="AV1086" s="146">
        <v>0.5</v>
      </c>
      <c r="AW1086" s="146">
        <v>3</v>
      </c>
      <c r="AX1086" s="146">
        <v>0.99999999900000003</v>
      </c>
      <c r="AY1086" s="146">
        <v>0.36</v>
      </c>
      <c r="AZ1086" s="209">
        <v>325.54158619419889</v>
      </c>
      <c r="BA1086" s="146">
        <v>0.99999999900000003</v>
      </c>
      <c r="BB1086" s="252">
        <v>16.136640805912954</v>
      </c>
      <c r="BC1086" s="244">
        <v>143.52225335652253</v>
      </c>
      <c r="BD1086" s="229">
        <v>57372.741337908781</v>
      </c>
      <c r="BE1086" s="244">
        <v>22.324663106200656</v>
      </c>
      <c r="BF1086" s="146">
        <v>120441.77582721208</v>
      </c>
      <c r="BG1086" t="s">
        <v>387</v>
      </c>
      <c r="BH1086" s="146">
        <v>5.3916363827250299E-6</v>
      </c>
      <c r="BI1086" s="146">
        <v>1773727.4133790878</v>
      </c>
      <c r="BJ1086">
        <f t="shared" si="62"/>
        <v>6.7903204809673198E-2</v>
      </c>
    </row>
    <row r="1087" spans="1:62" s="146" customFormat="1" x14ac:dyDescent="0.3">
      <c r="A1087">
        <v>-0.1</v>
      </c>
      <c r="B1087" s="146">
        <v>600</v>
      </c>
      <c r="C1087" s="146">
        <v>25</v>
      </c>
      <c r="D1087" s="146">
        <v>400</v>
      </c>
      <c r="E1087" s="252">
        <v>14.43402335387885</v>
      </c>
      <c r="F1087" s="146">
        <v>1.0106381987692969</v>
      </c>
      <c r="G1087" s="146">
        <v>15.435774023068646</v>
      </c>
      <c r="H1087" s="146">
        <v>18.86309026091833</v>
      </c>
      <c r="J1087" s="146">
        <v>0.99999999922840777</v>
      </c>
      <c r="K1087" s="146">
        <v>0.36</v>
      </c>
      <c r="L1087" s="146">
        <v>95.7693864798742</v>
      </c>
      <c r="M1087" s="146">
        <v>35.324773701592939</v>
      </c>
      <c r="N1087" s="146">
        <v>4.1808511265747086</v>
      </c>
      <c r="Z1087" s="146">
        <v>0.22164189794695752</v>
      </c>
      <c r="AL1087" s="146">
        <v>2392.8182903077977</v>
      </c>
      <c r="AM1087" s="146">
        <v>6.547376226543003E-2</v>
      </c>
      <c r="AN1087" s="146">
        <v>0.23397570326447928</v>
      </c>
      <c r="AO1087" s="146">
        <v>338.30973407711889</v>
      </c>
      <c r="AP1087" s="146">
        <v>302.3927270204436</v>
      </c>
      <c r="AQ1087" t="s">
        <v>383</v>
      </c>
      <c r="AR1087" s="146">
        <f t="shared" si="65"/>
        <v>19.525354503836514</v>
      </c>
      <c r="AS1087" s="146">
        <f t="shared" si="66"/>
        <v>5.3287291164862003</v>
      </c>
      <c r="AT1087" s="146">
        <v>0.4</v>
      </c>
      <c r="AU1087">
        <v>0</v>
      </c>
      <c r="AV1087" s="146">
        <v>0.5</v>
      </c>
      <c r="AW1087" s="146">
        <v>3</v>
      </c>
      <c r="AX1087" s="146">
        <v>0.99999999900000003</v>
      </c>
      <c r="AY1087" s="146">
        <v>0.36</v>
      </c>
      <c r="AZ1087" s="209">
        <v>302.3927270204436</v>
      </c>
      <c r="BA1087" s="146">
        <v>0.99999999900000003</v>
      </c>
      <c r="BB1087" s="252">
        <v>20.726835575587575</v>
      </c>
      <c r="BC1087" s="244">
        <v>170.75660139074398</v>
      </c>
      <c r="BD1087" s="229">
        <v>71853.357362875482</v>
      </c>
      <c r="BE1087" s="244">
        <v>27.81602653131533</v>
      </c>
      <c r="BF1087" s="146">
        <v>197687.03509061685</v>
      </c>
      <c r="BG1087" t="s">
        <v>387</v>
      </c>
      <c r="BH1087" s="146">
        <v>6.5770672608886455E-6</v>
      </c>
      <c r="BI1087" s="146">
        <v>1918533.5736287548</v>
      </c>
      <c r="BJ1087">
        <f t="shared" si="62"/>
        <v>0.10304069619001112</v>
      </c>
    </row>
    <row r="1088" spans="1:62" s="146" customFormat="1" x14ac:dyDescent="0.3">
      <c r="A1088">
        <v>-0.1</v>
      </c>
      <c r="B1088" s="146">
        <v>800</v>
      </c>
      <c r="C1088" s="146">
        <v>25</v>
      </c>
      <c r="D1088" s="146">
        <v>400</v>
      </c>
      <c r="E1088" s="252">
        <v>17.474888635282245</v>
      </c>
      <c r="F1088" s="146">
        <v>1.1331299613450507</v>
      </c>
      <c r="G1088" s="146">
        <v>18.596340684172336</v>
      </c>
      <c r="H1088" s="146">
        <v>22.784805064220137</v>
      </c>
      <c r="J1088" s="146">
        <v>0.99999999920793681</v>
      </c>
      <c r="K1088" s="146">
        <v>0.36</v>
      </c>
      <c r="L1088" s="146">
        <v>115.91823916918415</v>
      </c>
      <c r="M1088" s="146">
        <v>42.756727562403988</v>
      </c>
      <c r="N1088" s="146">
        <v>5.0324728998948984</v>
      </c>
      <c r="Z1088" s="146">
        <v>0.22086969301298021</v>
      </c>
      <c r="AL1088" s="146">
        <v>2800.4519563250392</v>
      </c>
      <c r="AM1088" s="146">
        <v>6.0932953455164272E-2</v>
      </c>
      <c r="AN1088" s="146">
        <v>0.24169722118356773</v>
      </c>
      <c r="AO1088" s="146">
        <v>327.69925715442889</v>
      </c>
      <c r="AP1088" s="146">
        <v>284.21550637759304</v>
      </c>
      <c r="AQ1088" s="146" t="s">
        <v>383</v>
      </c>
      <c r="AR1088" s="146">
        <f t="shared" si="65"/>
        <v>19.525354503836514</v>
      </c>
      <c r="AS1088" s="146">
        <f t="shared" si="66"/>
        <v>5.3287291164862003</v>
      </c>
      <c r="AT1088" s="146">
        <v>0.4</v>
      </c>
      <c r="AU1088">
        <v>0</v>
      </c>
      <c r="AV1088" s="146">
        <v>0.5</v>
      </c>
      <c r="AW1088" s="146">
        <v>3</v>
      </c>
      <c r="AX1088" s="146">
        <v>0.99999999900000003</v>
      </c>
      <c r="AY1088" s="146">
        <v>0.36</v>
      </c>
      <c r="AZ1088" s="209">
        <v>284.21550637759304</v>
      </c>
      <c r="BA1088" s="146">
        <v>0.99999999900000003</v>
      </c>
      <c r="BB1088" s="252">
        <v>24.313324562588878</v>
      </c>
      <c r="BC1088" s="244">
        <v>189.95068528430775</v>
      </c>
      <c r="BD1088" s="229">
        <v>82616.617474812796</v>
      </c>
      <c r="BE1088" s="244">
        <v>32.004142002719192</v>
      </c>
      <c r="BF1088" s="146">
        <v>271086.93423244159</v>
      </c>
      <c r="BG1088" t="s">
        <v>387</v>
      </c>
      <c r="BH1088" s="146">
        <v>7.3517936319196592E-6</v>
      </c>
      <c r="BI1088" s="146">
        <v>2026166.1747481278</v>
      </c>
      <c r="BJ1088">
        <f t="shared" si="62"/>
        <v>0.13379304106986206</v>
      </c>
    </row>
    <row r="1089" spans="1:62" s="146" customFormat="1" x14ac:dyDescent="0.3">
      <c r="A1089">
        <v>-0.1</v>
      </c>
      <c r="B1089" s="146">
        <v>1000</v>
      </c>
      <c r="C1089" s="146">
        <v>25</v>
      </c>
      <c r="D1089" s="146">
        <v>400</v>
      </c>
      <c r="E1089" s="252">
        <v>19.899987805277377</v>
      </c>
      <c r="F1089" s="146">
        <v>1.2241659855918021</v>
      </c>
      <c r="G1089" s="146">
        <v>21.108967759366866</v>
      </c>
      <c r="H1089" s="146">
        <v>25.927291544123708</v>
      </c>
      <c r="J1089" s="146">
        <v>0.99999999919405846</v>
      </c>
      <c r="K1089" s="146">
        <v>0.36</v>
      </c>
      <c r="L1089" s="146">
        <v>132.13908445475582</v>
      </c>
      <c r="M1089" s="146">
        <v>48.739826233311575</v>
      </c>
      <c r="N1089" s="146">
        <v>5.7288552636941752</v>
      </c>
      <c r="Z1089" s="146">
        <v>0.22095849286627828</v>
      </c>
      <c r="AL1089" s="146">
        <v>3134.4088502026611</v>
      </c>
      <c r="AM1089" s="146">
        <v>5.7992697679335473E-2</v>
      </c>
      <c r="AN1089" s="146">
        <v>0.2472032553137139</v>
      </c>
      <c r="AO1089" s="146">
        <v>319.49949129907998</v>
      </c>
      <c r="AP1089" s="146">
        <v>269.98121835557305</v>
      </c>
      <c r="AQ1089" t="s">
        <v>383</v>
      </c>
      <c r="AR1089" s="146">
        <f t="shared" si="65"/>
        <v>19.525354503836514</v>
      </c>
      <c r="AS1089" s="146">
        <f t="shared" si="66"/>
        <v>5.3287291164862003</v>
      </c>
      <c r="AT1089" s="146">
        <v>0.4</v>
      </c>
      <c r="AU1089">
        <v>0</v>
      </c>
      <c r="AV1089" s="146">
        <v>0.5</v>
      </c>
      <c r="AW1089" s="146">
        <v>3</v>
      </c>
      <c r="AX1089" s="146">
        <v>0.99999999900000003</v>
      </c>
      <c r="AY1089" s="146">
        <v>0.36</v>
      </c>
      <c r="AZ1089" s="209">
        <v>269.98121835557305</v>
      </c>
      <c r="BA1089" s="146">
        <v>0.99999999900000003</v>
      </c>
      <c r="BB1089" s="252">
        <v>27.125480103781456</v>
      </c>
      <c r="BC1089" s="244">
        <v>203.54974579644585</v>
      </c>
      <c r="BD1089" s="229">
        <v>90551.845100350634</v>
      </c>
      <c r="BE1089" s="244">
        <v>35.209038720989824</v>
      </c>
      <c r="BF1089" s="146">
        <v>336701.07107498473</v>
      </c>
      <c r="BG1089" t="s">
        <v>387</v>
      </c>
      <c r="BH1089" s="146">
        <v>7.8839828116570094E-6</v>
      </c>
      <c r="BI1089" s="146">
        <v>2105518.4510035063</v>
      </c>
      <c r="BJ1089">
        <f t="shared" si="62"/>
        <v>0.15991361695952386</v>
      </c>
    </row>
    <row r="1090" spans="1:62" s="146" customFormat="1" x14ac:dyDescent="0.3">
      <c r="A1090">
        <v>-0.1</v>
      </c>
      <c r="B1090" s="146">
        <v>1300</v>
      </c>
      <c r="C1090" s="146">
        <v>25</v>
      </c>
      <c r="D1090" s="146">
        <v>400</v>
      </c>
      <c r="E1090" s="252">
        <v>22.625208789146608</v>
      </c>
      <c r="F1090" s="146">
        <v>1.3199289454293852</v>
      </c>
      <c r="G1090" s="146">
        <v>23.92393916654596</v>
      </c>
      <c r="H1090" s="146">
        <v>29.478428872250138</v>
      </c>
      <c r="J1090" s="146">
        <v>0.9999999991802152</v>
      </c>
      <c r="K1090" s="146">
        <v>0.36</v>
      </c>
      <c r="L1090" s="146">
        <v>150.57285138135259</v>
      </c>
      <c r="M1090" s="146">
        <v>55.539166493121861</v>
      </c>
      <c r="N1090" s="146">
        <v>6.5338371366610559</v>
      </c>
      <c r="Z1090" s="146">
        <v>0.22164807917601603</v>
      </c>
      <c r="AL1090" s="146">
        <v>3521.2038510078769</v>
      </c>
      <c r="AM1090" s="146">
        <v>5.5171890224294994E-2</v>
      </c>
      <c r="AN1090" s="146">
        <v>0.25303558737168508</v>
      </c>
      <c r="AO1090" s="146">
        <v>310.58487454607587</v>
      </c>
      <c r="AP1090" s="146">
        <v>254.28528267734924</v>
      </c>
      <c r="AQ1090" s="146" t="s">
        <v>383</v>
      </c>
      <c r="AR1090" s="146">
        <f t="shared" si="65"/>
        <v>19.525354503836514</v>
      </c>
      <c r="AS1090" s="146">
        <f t="shared" si="66"/>
        <v>5.3287291164862003</v>
      </c>
      <c r="AT1090" s="146">
        <v>0.4</v>
      </c>
      <c r="AU1090">
        <v>0</v>
      </c>
      <c r="AV1090" s="146">
        <v>0.5</v>
      </c>
      <c r="AW1090" s="146">
        <v>3</v>
      </c>
      <c r="AX1090" s="146">
        <v>0.99999999900000003</v>
      </c>
      <c r="AY1090" s="146">
        <v>0.36</v>
      </c>
      <c r="AZ1090" s="209">
        <v>254.28528267734924</v>
      </c>
      <c r="BA1090" s="146">
        <v>0.99999999900000003</v>
      </c>
      <c r="BB1090" s="252">
        <v>30.241225599089148</v>
      </c>
      <c r="BC1090" s="244">
        <v>216.84475470987942</v>
      </c>
      <c r="BD1090" s="229">
        <v>98633.505425437543</v>
      </c>
      <c r="BE1090" s="244">
        <v>38.661607163985572</v>
      </c>
      <c r="BF1090" s="146">
        <v>417566.20280143101</v>
      </c>
      <c r="BG1090" t="s">
        <v>387</v>
      </c>
      <c r="BH1090" s="146">
        <v>8.4141302403049937E-6</v>
      </c>
      <c r="BI1090" s="146">
        <v>2186335.0542543754</v>
      </c>
      <c r="BJ1090">
        <f t="shared" si="62"/>
        <v>0.19098911760523238</v>
      </c>
    </row>
    <row r="1091" spans="1:62" s="146" customFormat="1" x14ac:dyDescent="0.3">
      <c r="A1091">
        <v>-0.1</v>
      </c>
      <c r="B1091" s="227">
        <v>1600</v>
      </c>
      <c r="C1091" s="146">
        <v>25</v>
      </c>
      <c r="D1091" s="146">
        <v>400</v>
      </c>
      <c r="E1091" s="252">
        <v>24.546873832414246</v>
      </c>
      <c r="F1091" s="146">
        <v>1.3833105210877839</v>
      </c>
      <c r="G1091" s="146">
        <v>25.902990976528848</v>
      </c>
      <c r="H1091" s="146">
        <v>31.997594355568381</v>
      </c>
      <c r="J1091" s="146">
        <v>0.99999999917121496</v>
      </c>
      <c r="K1091" s="146">
        <v>0.36</v>
      </c>
      <c r="L1091" s="146">
        <v>163.73594868036616</v>
      </c>
      <c r="M1091" s="146">
        <v>60.394407300135065</v>
      </c>
      <c r="N1091" s="146">
        <v>7.1184895875056604</v>
      </c>
      <c r="Z1091" s="146">
        <v>0.22246952406491974</v>
      </c>
      <c r="AL1091" s="146">
        <v>3802.6730456327955</v>
      </c>
      <c r="AM1091" s="146">
        <v>5.3403505500242254E-2</v>
      </c>
      <c r="AN1091" s="146">
        <v>0.25706123499449041</v>
      </c>
      <c r="AO1091" s="146">
        <v>304.50962459220909</v>
      </c>
      <c r="AP1091" s="146">
        <v>243.42825187996522</v>
      </c>
      <c r="AQ1091" t="s">
        <v>383</v>
      </c>
      <c r="AR1091" s="146">
        <f t="shared" si="65"/>
        <v>19.525354503836514</v>
      </c>
      <c r="AS1091" s="146">
        <f t="shared" si="66"/>
        <v>5.3287291164862003</v>
      </c>
      <c r="AT1091" s="146">
        <v>0.4</v>
      </c>
      <c r="AU1091">
        <v>0</v>
      </c>
      <c r="AV1091" s="146">
        <v>0.5</v>
      </c>
      <c r="AW1091" s="146">
        <v>3</v>
      </c>
      <c r="AX1091" s="146">
        <v>0.99999999900000003</v>
      </c>
      <c r="AY1091" s="146">
        <v>0.36</v>
      </c>
      <c r="AZ1091" s="209">
        <v>243.42825187996522</v>
      </c>
      <c r="BA1091" s="146">
        <v>0.99999999900000003</v>
      </c>
      <c r="BB1091" s="252">
        <v>32.41136578181986</v>
      </c>
      <c r="BC1091" s="244">
        <v>224.78901046578289</v>
      </c>
      <c r="BD1091" s="229">
        <v>103694.26947833301</v>
      </c>
      <c r="BE1091" s="244">
        <v>40.995742962501339</v>
      </c>
      <c r="BF1091" s="146">
        <v>478729.96537407837</v>
      </c>
      <c r="BG1091" t="s">
        <v>387</v>
      </c>
      <c r="BH1091" s="146">
        <v>8.7567004418823489E-6</v>
      </c>
      <c r="BI1091" s="146">
        <v>2236942.69478333</v>
      </c>
      <c r="BJ1091">
        <f t="shared" si="62"/>
        <v>0.21401083116277508</v>
      </c>
    </row>
    <row r="1092" spans="1:62" s="140" customFormat="1" x14ac:dyDescent="0.3">
      <c r="A1092" s="140">
        <v>-0.1</v>
      </c>
      <c r="B1092" s="140">
        <v>1900</v>
      </c>
      <c r="C1092" s="140">
        <v>25</v>
      </c>
      <c r="D1092" s="140">
        <v>400</v>
      </c>
      <c r="E1092" s="253">
        <v>25.922751053734338</v>
      </c>
      <c r="F1092" s="140">
        <v>1.4265296549277087</v>
      </c>
      <c r="G1092" s="140">
        <v>27.316669571151451</v>
      </c>
      <c r="H1092" s="140">
        <v>33.810189791119257</v>
      </c>
      <c r="J1092" s="140">
        <v>0.99999999916502502</v>
      </c>
      <c r="K1092" s="140">
        <v>0.36</v>
      </c>
      <c r="L1092" s="140">
        <v>173.26400899208946</v>
      </c>
      <c r="M1092" s="140">
        <v>63.908855775770711</v>
      </c>
      <c r="N1092" s="140">
        <v>7.5471118986904031</v>
      </c>
      <c r="Z1092" s="140">
        <v>0.22322003944126817</v>
      </c>
      <c r="AL1092" s="140">
        <v>4009.3293618330554</v>
      </c>
      <c r="AM1092" s="140">
        <v>5.222194642769469E-2</v>
      </c>
      <c r="AN1092" s="140">
        <v>0.25995136403432789</v>
      </c>
      <c r="AO1092" s="140">
        <v>300.2784572797583</v>
      </c>
      <c r="AP1092" s="140">
        <v>235.77341248785478</v>
      </c>
      <c r="AQ1092" s="146" t="s">
        <v>383</v>
      </c>
      <c r="AR1092" s="140">
        <f t="shared" si="65"/>
        <v>19.525354503836514</v>
      </c>
      <c r="AS1092" s="140">
        <f t="shared" si="66"/>
        <v>5.3287291164862003</v>
      </c>
      <c r="AT1092" s="140">
        <v>0.4</v>
      </c>
      <c r="AU1092">
        <v>0</v>
      </c>
      <c r="AV1092" s="140">
        <v>0.5</v>
      </c>
      <c r="AW1092" s="140">
        <v>3</v>
      </c>
      <c r="AX1092" s="140">
        <v>0.99999999900000003</v>
      </c>
      <c r="AY1092" s="140">
        <v>0.36</v>
      </c>
      <c r="AZ1092" s="209">
        <v>235.77341248785478</v>
      </c>
      <c r="BA1092" s="140">
        <v>0.99999999900000003</v>
      </c>
      <c r="BB1092" s="253">
        <v>33.951539672168693</v>
      </c>
      <c r="BC1092" s="245">
        <v>229.6484644438969</v>
      </c>
      <c r="BD1092" s="210">
        <v>106935.99472887492</v>
      </c>
      <c r="BE1092" s="245">
        <v>42.613011537407452</v>
      </c>
      <c r="BF1092" s="140">
        <v>524338.36399802554</v>
      </c>
      <c r="BG1092" t="s">
        <v>387</v>
      </c>
      <c r="BH1092" s="140">
        <v>8.9914218917126502E-6</v>
      </c>
      <c r="BI1092" s="140">
        <v>2269359.9472887493</v>
      </c>
      <c r="BJ1092">
        <f t="shared" ref="BJ1092:BJ1155" si="67">BF1092/BI1092</f>
        <v>0.23105121099209638</v>
      </c>
    </row>
    <row r="1093" spans="1:62" s="146" customFormat="1" x14ac:dyDescent="0.3">
      <c r="A1093">
        <v>-0.1</v>
      </c>
      <c r="B1093" s="146">
        <v>1000</v>
      </c>
      <c r="C1093" s="146">
        <v>25</v>
      </c>
      <c r="D1093" s="146">
        <v>200</v>
      </c>
      <c r="E1093" s="252">
        <v>19.890895616211104</v>
      </c>
      <c r="F1093" s="146">
        <v>1.3499026317173846</v>
      </c>
      <c r="G1093" s="146">
        <v>21.174772354789528</v>
      </c>
      <c r="H1093" s="146">
        <v>25.753862655126738</v>
      </c>
      <c r="J1093" s="146">
        <v>0.99999999917671123</v>
      </c>
      <c r="K1093" s="146">
        <v>0.36</v>
      </c>
      <c r="L1093" s="146">
        <v>133.86554712035417</v>
      </c>
      <c r="M1093" s="146">
        <v>49.376636232917519</v>
      </c>
      <c r="N1093" s="146">
        <v>5.5585043284397138</v>
      </c>
      <c r="Z1093" s="146">
        <v>0.21583186968395207</v>
      </c>
      <c r="AL1093" s="146">
        <v>2851.0956760199197</v>
      </c>
      <c r="AM1093" s="146">
        <v>6.3750514484848739E-2</v>
      </c>
      <c r="AN1093" s="146">
        <v>0.25286907006616044</v>
      </c>
      <c r="AO1093" s="146">
        <v>121.33915147864123</v>
      </c>
      <c r="AP1093" s="146">
        <v>71.843511800063183</v>
      </c>
      <c r="AQ1093" t="s">
        <v>383</v>
      </c>
      <c r="AR1093" s="146">
        <f t="shared" si="65"/>
        <v>19.525354503836514</v>
      </c>
      <c r="AS1093" s="146">
        <f t="shared" si="66"/>
        <v>5.3287291164862003</v>
      </c>
      <c r="AT1093" s="146">
        <v>0.4</v>
      </c>
      <c r="AU1093">
        <v>0</v>
      </c>
      <c r="AV1093" s="146">
        <v>0.5</v>
      </c>
      <c r="AW1093" s="146">
        <v>3</v>
      </c>
      <c r="AX1093" s="146">
        <v>0.99999999900000003</v>
      </c>
      <c r="AY1093" s="146">
        <v>0.36</v>
      </c>
      <c r="AZ1093" s="209">
        <v>71.843511800063183</v>
      </c>
      <c r="BA1093" s="146">
        <v>0.99999999900000003</v>
      </c>
      <c r="BB1093" s="252">
        <v>27.809461389040433</v>
      </c>
      <c r="BC1093" s="244">
        <v>207.83315396630144</v>
      </c>
      <c r="BD1093" s="229">
        <v>92755.656073800419</v>
      </c>
      <c r="BE1093" s="244">
        <v>35.737015121590971</v>
      </c>
      <c r="BF1093" s="146">
        <v>342142.85702948319</v>
      </c>
      <c r="BG1093" t="s">
        <v>388</v>
      </c>
      <c r="BH1093" s="146">
        <v>7.7893240479578712E-6</v>
      </c>
      <c r="BI1093" s="146">
        <v>2127556.5607380043</v>
      </c>
      <c r="BJ1093">
        <f t="shared" si="67"/>
        <v>0.16081492889232571</v>
      </c>
    </row>
    <row r="1094" spans="1:62" s="146" customFormat="1" x14ac:dyDescent="0.3">
      <c r="A1094">
        <v>-0.1</v>
      </c>
      <c r="B1094" s="146">
        <v>1000</v>
      </c>
      <c r="C1094" s="146">
        <v>25</v>
      </c>
      <c r="D1094" s="146">
        <v>300</v>
      </c>
      <c r="E1094" s="252">
        <v>19.884200381771059</v>
      </c>
      <c r="F1094" s="146">
        <v>1.2639808168047826</v>
      </c>
      <c r="G1094" s="146">
        <v>21.115761083440578</v>
      </c>
      <c r="H1094" s="146">
        <v>25.91433382677473</v>
      </c>
      <c r="J1094" s="146">
        <v>0.99999999919398619</v>
      </c>
      <c r="K1094" s="146">
        <v>0.36</v>
      </c>
      <c r="L1094" s="146">
        <v>132.53842568223146</v>
      </c>
      <c r="M1094" s="146">
        <v>48.887124227052595</v>
      </c>
      <c r="N1094" s="146">
        <v>5.7303483018425609</v>
      </c>
      <c r="Z1094" s="146">
        <v>0.22112659118105349</v>
      </c>
      <c r="AL1094" s="146">
        <v>3035.5545792361277</v>
      </c>
      <c r="AM1094" s="146">
        <v>5.9859590748828032E-2</v>
      </c>
      <c r="AN1094" s="146">
        <v>0.24811652560646211</v>
      </c>
      <c r="AO1094" s="146">
        <v>219.859427608988</v>
      </c>
      <c r="AP1094" s="146">
        <v>170.38042831484483</v>
      </c>
      <c r="AQ1094" s="146" t="s">
        <v>383</v>
      </c>
      <c r="AR1094" s="146">
        <f t="shared" si="65"/>
        <v>19.525354503836514</v>
      </c>
      <c r="AS1094" s="146">
        <f t="shared" si="66"/>
        <v>5.3287291164862003</v>
      </c>
      <c r="AT1094" s="146">
        <v>0.4</v>
      </c>
      <c r="AU1094">
        <v>0</v>
      </c>
      <c r="AV1094" s="146">
        <v>0.5</v>
      </c>
      <c r="AW1094" s="146">
        <v>3</v>
      </c>
      <c r="AX1094" s="146">
        <v>0.99999999900000003</v>
      </c>
      <c r="AY1094" s="146">
        <v>0.36</v>
      </c>
      <c r="AZ1094" s="209">
        <v>170.38042831484483</v>
      </c>
      <c r="BA1094" s="146">
        <v>0.99999999900000003</v>
      </c>
      <c r="BB1094" s="252">
        <v>27.328869995516392</v>
      </c>
      <c r="BC1094" s="244">
        <v>204.53292857583594</v>
      </c>
      <c r="BD1094" s="229">
        <v>91033.746481789945</v>
      </c>
      <c r="BE1094" s="244">
        <v>35.295188731015301</v>
      </c>
      <c r="BF1094" s="146">
        <v>337617.37950757204</v>
      </c>
      <c r="BG1094" t="s">
        <v>388</v>
      </c>
      <c r="BH1094" s="146">
        <v>7.858418908500397E-6</v>
      </c>
      <c r="BI1094" s="146">
        <v>2110337.4648178993</v>
      </c>
      <c r="BJ1094">
        <f t="shared" si="67"/>
        <v>0.15998264975914883</v>
      </c>
    </row>
    <row r="1095" spans="1:62" s="146" customFormat="1" x14ac:dyDescent="0.3">
      <c r="A1095">
        <v>-0.1</v>
      </c>
      <c r="B1095" s="146">
        <v>1000</v>
      </c>
      <c r="C1095" s="146">
        <v>25</v>
      </c>
      <c r="D1095" s="146">
        <v>400</v>
      </c>
      <c r="E1095" s="252">
        <v>19.899988523896418</v>
      </c>
      <c r="F1095" s="146">
        <v>1.2241658072993826</v>
      </c>
      <c r="G1095" s="146">
        <v>21.10896843505968</v>
      </c>
      <c r="H1095" s="146">
        <v>25.927293657879993</v>
      </c>
      <c r="J1095" s="146">
        <v>0.99999999919405802</v>
      </c>
      <c r="K1095" s="146">
        <v>0.36</v>
      </c>
      <c r="L1095" s="146">
        <v>132.13909526620708</v>
      </c>
      <c r="M1095" s="146">
        <v>48.739830221141958</v>
      </c>
      <c r="N1095" s="146">
        <v>5.7288566357214279</v>
      </c>
      <c r="Z1095" s="146">
        <v>0.22095852777060965</v>
      </c>
      <c r="AL1095" s="146">
        <v>3134.4094652538633</v>
      </c>
      <c r="AM1095" s="146">
        <v>5.7992687376716028E-2</v>
      </c>
      <c r="AN1095" s="146">
        <v>0.24720329985984973</v>
      </c>
      <c r="AO1095" s="146">
        <v>319.49950289830849</v>
      </c>
      <c r="AP1095" s="146">
        <v>269.98114739315173</v>
      </c>
      <c r="AQ1095" t="s">
        <v>383</v>
      </c>
      <c r="AR1095" s="146">
        <f t="shared" si="65"/>
        <v>19.525354503836514</v>
      </c>
      <c r="AS1095" s="146">
        <f t="shared" si="66"/>
        <v>5.3287291164862003</v>
      </c>
      <c r="AT1095" s="146">
        <v>0.4</v>
      </c>
      <c r="AU1095">
        <v>0</v>
      </c>
      <c r="AV1095" s="146">
        <v>0.5</v>
      </c>
      <c r="AW1095" s="146">
        <v>3</v>
      </c>
      <c r="AX1095" s="146">
        <v>0.99999999900000014</v>
      </c>
      <c r="AY1095" s="146">
        <v>0.36</v>
      </c>
      <c r="AZ1095" s="209">
        <v>269.98114739315173</v>
      </c>
      <c r="BA1095" s="146">
        <v>0.99999999900000014</v>
      </c>
      <c r="BB1095" s="252">
        <v>27.125479857724113</v>
      </c>
      <c r="BC1095" s="244">
        <v>203.54977235332629</v>
      </c>
      <c r="BD1095" s="229">
        <v>90551.851234629416</v>
      </c>
      <c r="BE1095" s="244">
        <v>35.2090306521008</v>
      </c>
      <c r="BF1095" s="146">
        <v>336701.10139978665</v>
      </c>
      <c r="BG1095" t="s">
        <v>388</v>
      </c>
      <c r="BH1095" s="146">
        <v>7.8839827966822055E-6</v>
      </c>
      <c r="BI1095" s="146">
        <v>2105518.5123462942</v>
      </c>
      <c r="BJ1095">
        <f t="shared" si="67"/>
        <v>0.15991362670308809</v>
      </c>
    </row>
    <row r="1096" spans="1:62" s="146" customFormat="1" x14ac:dyDescent="0.3">
      <c r="A1096">
        <v>-0.1</v>
      </c>
      <c r="B1096" s="146">
        <v>1000</v>
      </c>
      <c r="C1096" s="146">
        <v>25</v>
      </c>
      <c r="D1096" s="146">
        <v>500</v>
      </c>
      <c r="E1096" s="252">
        <v>19.916974054612496</v>
      </c>
      <c r="F1096" s="146">
        <v>1.1927690218091178</v>
      </c>
      <c r="G1096" s="146">
        <v>21.108470538842226</v>
      </c>
      <c r="H1096" s="146">
        <v>25.911338730243301</v>
      </c>
      <c r="J1096" s="146">
        <v>0.9999999991918842</v>
      </c>
      <c r="K1096" s="146">
        <v>0.36</v>
      </c>
      <c r="L1096" s="146">
        <v>131.85761159793202</v>
      </c>
      <c r="M1096" s="146">
        <v>48.63600427792575</v>
      </c>
      <c r="N1096" s="146">
        <v>5.6968086960815008</v>
      </c>
      <c r="Z1096" s="146">
        <v>0.2198577524453523</v>
      </c>
      <c r="AL1096" s="146">
        <v>3218.1356143320481</v>
      </c>
      <c r="AM1096" s="146">
        <v>5.6506653081011889E-2</v>
      </c>
      <c r="AN1096" s="146">
        <v>0.24677784519554427</v>
      </c>
      <c r="AO1096" s="146">
        <v>419.29188765372965</v>
      </c>
      <c r="AP1096" s="146">
        <v>369.73126629129757</v>
      </c>
      <c r="AQ1096" s="146" t="s">
        <v>383</v>
      </c>
      <c r="AR1096" s="146">
        <f t="shared" si="65"/>
        <v>19.525354503836514</v>
      </c>
      <c r="AS1096" s="146">
        <f t="shared" si="66"/>
        <v>5.3287291164862003</v>
      </c>
      <c r="AT1096" s="146">
        <v>0.4</v>
      </c>
      <c r="AU1096">
        <v>0</v>
      </c>
      <c r="AV1096" s="146">
        <v>0.5</v>
      </c>
      <c r="AW1096" s="146">
        <v>3</v>
      </c>
      <c r="AX1096" s="146">
        <v>0.99999999900000003</v>
      </c>
      <c r="AY1096" s="146">
        <v>0.36</v>
      </c>
      <c r="AZ1096" s="209">
        <v>369.73126629129757</v>
      </c>
      <c r="BA1096" s="146">
        <v>0.99999999900000003</v>
      </c>
      <c r="BB1096" s="252">
        <v>26.969712424808279</v>
      </c>
      <c r="BC1096" s="244">
        <v>202.85945966879288</v>
      </c>
      <c r="BD1096" s="229">
        <v>90238.064476193307</v>
      </c>
      <c r="BE1096" s="244">
        <v>35.185329661275333</v>
      </c>
      <c r="BF1096" s="146">
        <v>336236.5415489134</v>
      </c>
      <c r="BG1096" t="s">
        <v>388</v>
      </c>
      <c r="BH1096" s="146">
        <v>7.9029789257121862E-6</v>
      </c>
      <c r="BI1096" s="146">
        <v>2102380.644761933</v>
      </c>
      <c r="BJ1096">
        <f t="shared" si="67"/>
        <v>0.15993133421706696</v>
      </c>
    </row>
    <row r="1097" spans="1:62" s="146" customFormat="1" x14ac:dyDescent="0.3">
      <c r="A1097">
        <v>-0.1</v>
      </c>
      <c r="B1097" s="146">
        <v>1000</v>
      </c>
      <c r="C1097" s="146">
        <v>25</v>
      </c>
      <c r="D1097" s="146">
        <v>600</v>
      </c>
      <c r="E1097" s="252">
        <v>19.934134434272661</v>
      </c>
      <c r="F1097" s="146">
        <v>1.1647423548527567</v>
      </c>
      <c r="G1097" s="146">
        <v>21.110155907146755</v>
      </c>
      <c r="H1097" s="146">
        <v>25.88627906857208</v>
      </c>
      <c r="J1097" s="146">
        <v>0.99999999918904314</v>
      </c>
      <c r="K1097" s="146">
        <v>0.36</v>
      </c>
      <c r="L1097" s="146">
        <v>131.61944043620628</v>
      </c>
      <c r="M1097" s="146">
        <v>48.548154259256421</v>
      </c>
      <c r="N1097" s="146">
        <v>5.6553194950135577</v>
      </c>
      <c r="Z1097" s="146">
        <v>0.21846784082149326</v>
      </c>
      <c r="AL1097" s="146">
        <v>3297.1905473805709</v>
      </c>
      <c r="AM1097" s="146">
        <v>5.5174502735834276E-2</v>
      </c>
      <c r="AN1097" s="146">
        <v>0.24650841783641689</v>
      </c>
      <c r="AO1097" s="146">
        <v>519.13406199580186</v>
      </c>
      <c r="AP1097" s="146">
        <v>469.53079987379101</v>
      </c>
      <c r="AQ1097" t="s">
        <v>383</v>
      </c>
      <c r="AR1097" s="146">
        <f t="shared" si="65"/>
        <v>19.525354503836514</v>
      </c>
      <c r="AS1097" s="146">
        <f t="shared" si="66"/>
        <v>5.3287291164862003</v>
      </c>
      <c r="AT1097" s="146">
        <v>0.4</v>
      </c>
      <c r="AU1097">
        <v>0</v>
      </c>
      <c r="AV1097" s="146">
        <v>0.5</v>
      </c>
      <c r="AW1097" s="146">
        <v>3</v>
      </c>
      <c r="AX1097" s="146">
        <v>0.99999999900000003</v>
      </c>
      <c r="AY1097" s="146">
        <v>0.36</v>
      </c>
      <c r="AZ1097" s="209">
        <v>469.53079987379101</v>
      </c>
      <c r="BA1097" s="146">
        <v>0.99999999900000003</v>
      </c>
      <c r="BB1097" s="252">
        <v>26.832717983568905</v>
      </c>
      <c r="BC1097" s="244">
        <v>202.2771003919778</v>
      </c>
      <c r="BD1097" s="229">
        <v>89985.170454391453</v>
      </c>
      <c r="BE1097" s="244">
        <v>35.183017787108277</v>
      </c>
      <c r="BF1097" s="146">
        <v>335929.66702632309</v>
      </c>
      <c r="BG1097" t="s">
        <v>388</v>
      </c>
      <c r="BH1097" s="146">
        <v>7.9195165901024499E-6</v>
      </c>
      <c r="BI1097" s="146">
        <v>2099851.7045439146</v>
      </c>
      <c r="BJ1097">
        <f t="shared" si="67"/>
        <v>0.15997780524186428</v>
      </c>
    </row>
    <row r="1098" spans="1:62" s="146" customFormat="1" x14ac:dyDescent="0.3">
      <c r="A1098">
        <v>-0.1</v>
      </c>
      <c r="B1098" s="146">
        <v>1000</v>
      </c>
      <c r="C1098" s="146">
        <v>25</v>
      </c>
      <c r="D1098" s="146">
        <v>700</v>
      </c>
      <c r="E1098" s="252">
        <v>19.951288491291624</v>
      </c>
      <c r="F1098" s="146">
        <v>1.1386485352687432</v>
      </c>
      <c r="G1098" s="146">
        <v>21.112977375499995</v>
      </c>
      <c r="H1098" s="146">
        <v>25.857953487967194</v>
      </c>
      <c r="J1098" s="146">
        <v>0.99999999918594928</v>
      </c>
      <c r="K1098" s="146">
        <v>0.36</v>
      </c>
      <c r="L1098" s="146">
        <v>131.40558038174788</v>
      </c>
      <c r="M1098" s="146">
        <v>48.469271452284055</v>
      </c>
      <c r="N1098" s="146">
        <v>5.6104826979308875</v>
      </c>
      <c r="Z1098" s="146">
        <v>0.21697319165423062</v>
      </c>
      <c r="AL1098" s="146">
        <v>3374.5947439027136</v>
      </c>
      <c r="AM1098" s="146">
        <v>5.3931215622390533E-2</v>
      </c>
      <c r="AN1098" s="146">
        <v>0.24631020263203154</v>
      </c>
      <c r="AO1098" s="146">
        <v>618.99934197570656</v>
      </c>
      <c r="AP1098" s="146">
        <v>569.35339493726963</v>
      </c>
      <c r="AQ1098" s="146" t="s">
        <v>383</v>
      </c>
      <c r="AR1098" s="146">
        <f t="shared" si="65"/>
        <v>19.525354503836514</v>
      </c>
      <c r="AS1098" s="146">
        <f t="shared" si="66"/>
        <v>5.3287291164862003</v>
      </c>
      <c r="AT1098" s="146">
        <v>0.4</v>
      </c>
      <c r="AU1098">
        <v>0</v>
      </c>
      <c r="AV1098" s="146">
        <v>0.5</v>
      </c>
      <c r="AW1098" s="146">
        <v>3</v>
      </c>
      <c r="AX1098" s="146">
        <v>0.99999999900000003</v>
      </c>
      <c r="AY1098" s="146">
        <v>0.36</v>
      </c>
      <c r="AZ1098" s="209">
        <v>569.35339493726963</v>
      </c>
      <c r="BA1098" s="146">
        <v>0.99999999900000003</v>
      </c>
      <c r="BB1098" s="252">
        <v>26.706396631355915</v>
      </c>
      <c r="BC1098" s="244">
        <v>201.75553118095817</v>
      </c>
      <c r="BD1098" s="229">
        <v>89764.960654551789</v>
      </c>
      <c r="BE1098" s="244">
        <v>35.190315448641101</v>
      </c>
      <c r="BF1098" s="146">
        <v>335704.95469478873</v>
      </c>
      <c r="BG1098" t="s">
        <v>388</v>
      </c>
      <c r="BH1098" s="146">
        <v>7.9347069162872794E-6</v>
      </c>
      <c r="BI1098" s="146">
        <v>2097649.6065455182</v>
      </c>
      <c r="BJ1098">
        <f t="shared" si="67"/>
        <v>0.16003862306042582</v>
      </c>
    </row>
    <row r="1099" spans="1:62" s="146" customFormat="1" x14ac:dyDescent="0.3">
      <c r="A1099">
        <v>-0.1</v>
      </c>
      <c r="B1099" s="146">
        <v>1000</v>
      </c>
      <c r="C1099" s="146">
        <v>25</v>
      </c>
      <c r="D1099" s="146">
        <v>800</v>
      </c>
      <c r="E1099" s="252">
        <v>20.00031194438867</v>
      </c>
      <c r="F1099" s="146">
        <v>1.0920268839548735</v>
      </c>
      <c r="G1099" s="146">
        <v>21.138064032990453</v>
      </c>
      <c r="H1099" s="146">
        <v>25.800887181168168</v>
      </c>
      <c r="J1099" s="146">
        <v>0.97163010960886786</v>
      </c>
      <c r="K1099" s="146">
        <v>0.36</v>
      </c>
      <c r="L1099" s="146">
        <v>131.06947921179599</v>
      </c>
      <c r="M1099" s="146">
        <v>48.345299709269014</v>
      </c>
      <c r="N1099" s="146">
        <v>5.8689028069075242</v>
      </c>
      <c r="Z1099" s="146">
        <v>0.22746903103359883</v>
      </c>
      <c r="AL1099" s="146">
        <v>3603.4982821438775</v>
      </c>
      <c r="AM1099" s="146">
        <v>5.1661631938030507E-2</v>
      </c>
      <c r="AN1099" s="146">
        <v>0.24635442583219436</v>
      </c>
      <c r="AO1099" s="146">
        <v>718.81488681671999</v>
      </c>
      <c r="AP1099" s="146">
        <v>669.04687869011684</v>
      </c>
      <c r="AQ1099" t="s">
        <v>383</v>
      </c>
      <c r="AR1099" s="146">
        <f t="shared" si="65"/>
        <v>19.525354503836514</v>
      </c>
      <c r="AS1099" s="146">
        <f t="shared" si="66"/>
        <v>5.3287291164862003</v>
      </c>
      <c r="AT1099" s="146">
        <v>0.4</v>
      </c>
      <c r="AU1099">
        <v>0</v>
      </c>
      <c r="AV1099" s="146">
        <v>0.5</v>
      </c>
      <c r="AW1099" s="146">
        <v>3</v>
      </c>
      <c r="AX1099" s="146">
        <v>0.96581334624448223</v>
      </c>
      <c r="AY1099" s="146">
        <v>0.36</v>
      </c>
      <c r="AZ1099" s="209">
        <v>669.04687869011684</v>
      </c>
      <c r="BA1099" s="146">
        <v>0.96581334624448223</v>
      </c>
      <c r="BB1099" s="252">
        <v>26.626423817573709</v>
      </c>
      <c r="BC1099" s="244">
        <v>200.9383945826167</v>
      </c>
      <c r="BD1099" s="229">
        <v>89786.853471909708</v>
      </c>
      <c r="BE1099" s="244">
        <v>35.757064067121902</v>
      </c>
      <c r="BF1099" s="146">
        <v>336748.95132349594</v>
      </c>
      <c r="BG1099" t="s">
        <v>388</v>
      </c>
      <c r="BH1099" s="146">
        <v>7.9504230325830711E-6</v>
      </c>
      <c r="BI1099" s="146">
        <v>2097868.534719097</v>
      </c>
      <c r="BJ1099">
        <f t="shared" si="67"/>
        <v>0.16051956819524268</v>
      </c>
    </row>
    <row r="1100" spans="1:62" s="146" customFormat="1" x14ac:dyDescent="0.3">
      <c r="A1100">
        <v>-0.1</v>
      </c>
      <c r="B1100" s="146">
        <v>1000</v>
      </c>
      <c r="C1100" s="146">
        <v>25</v>
      </c>
      <c r="D1100" s="146">
        <v>900</v>
      </c>
      <c r="E1100" s="252">
        <v>20.063700019773215</v>
      </c>
      <c r="F1100" s="146">
        <v>1.036257405849526</v>
      </c>
      <c r="G1100" s="146">
        <v>21.173013485778025</v>
      </c>
      <c r="H1100" s="146">
        <v>25.739426145062218</v>
      </c>
      <c r="J1100" s="146">
        <v>0.93653829883638373</v>
      </c>
      <c r="K1100" s="146">
        <v>0.36</v>
      </c>
      <c r="L1100" s="146">
        <v>130.7245214430632</v>
      </c>
      <c r="M1100" s="146">
        <v>48.218061188015106</v>
      </c>
      <c r="N1100" s="146">
        <v>6.2538960863310322</v>
      </c>
      <c r="Z1100" s="146">
        <v>0.24296952275024836</v>
      </c>
      <c r="AL1100" s="146">
        <v>3895.6060851704156</v>
      </c>
      <c r="AM1100" s="146">
        <v>4.894236744077942E-2</v>
      </c>
      <c r="AN1100" s="146">
        <v>0.24643355860760752</v>
      </c>
      <c r="AO1100" s="146">
        <v>818.58373456465665</v>
      </c>
      <c r="AP1100" s="146">
        <v>768.65804200489788</v>
      </c>
      <c r="AQ1100" s="146" t="s">
        <v>383</v>
      </c>
      <c r="AR1100" s="146">
        <f t="shared" si="65"/>
        <v>19.525354503836514</v>
      </c>
      <c r="AS1100" s="146">
        <f t="shared" si="66"/>
        <v>5.3287291164862003</v>
      </c>
      <c r="AT1100" s="146">
        <v>0.4</v>
      </c>
      <c r="AU1100">
        <v>0</v>
      </c>
      <c r="AV1100" s="146">
        <v>0.5</v>
      </c>
      <c r="AW1100" s="146">
        <v>3</v>
      </c>
      <c r="AX1100" s="146">
        <v>0.9251462715712907</v>
      </c>
      <c r="AY1100" s="146">
        <v>0.36</v>
      </c>
      <c r="AZ1100" s="209">
        <v>768.65804200489788</v>
      </c>
      <c r="BA1100" s="146">
        <v>0.9251462715712907</v>
      </c>
      <c r="BB1100" s="252">
        <v>26.521755904287961</v>
      </c>
      <c r="BC1100" s="244">
        <v>200.10295489765033</v>
      </c>
      <c r="BD1100" s="229">
        <v>89831.991834200569</v>
      </c>
      <c r="BE1100" s="244">
        <v>36.370950334368786</v>
      </c>
      <c r="BF1100" s="146">
        <v>338144.609790991</v>
      </c>
      <c r="BG1100" t="s">
        <v>388</v>
      </c>
      <c r="BH1100" s="146">
        <v>7.9699934359906964E-6</v>
      </c>
      <c r="BI1100" s="146">
        <v>2098319.9183420055</v>
      </c>
      <c r="BJ1100">
        <f t="shared" si="67"/>
        <v>0.1611501691592277</v>
      </c>
    </row>
    <row r="1101" spans="1:62" s="146" customFormat="1" x14ac:dyDescent="0.3">
      <c r="A1101">
        <v>-0.1</v>
      </c>
      <c r="B1101" s="146">
        <v>1000</v>
      </c>
      <c r="C1101" s="146">
        <v>25</v>
      </c>
      <c r="D1101" s="146">
        <v>1000</v>
      </c>
      <c r="E1101" s="252">
        <v>20.121856360193238</v>
      </c>
      <c r="F1101" s="146">
        <v>0.98523658335582698</v>
      </c>
      <c r="G1101" s="146">
        <v>21.204971624323832</v>
      </c>
      <c r="H1101" s="146">
        <v>25.689364416180371</v>
      </c>
      <c r="J1101" s="146">
        <v>0.90952380681810452</v>
      </c>
      <c r="K1101" s="146">
        <v>0.36</v>
      </c>
      <c r="L1101" s="146">
        <v>130.44531956897632</v>
      </c>
      <c r="M1101" s="146">
        <v>48.115076890196185</v>
      </c>
      <c r="N1101" s="146">
        <v>6.5882887216875332</v>
      </c>
      <c r="Z1101" s="146">
        <v>0.25645977903361122</v>
      </c>
      <c r="AL1101" s="146">
        <v>4162.4265474450021</v>
      </c>
      <c r="AM1101" s="146">
        <v>4.646252778879837E-2</v>
      </c>
      <c r="AN1101" s="146">
        <v>0.24644803232567172</v>
      </c>
      <c r="AO1101" s="146">
        <v>918.35253797602661</v>
      </c>
      <c r="AP1101" s="146">
        <v>868.28218660123434</v>
      </c>
      <c r="AQ1101" t="s">
        <v>383</v>
      </c>
      <c r="AR1101" s="146">
        <f t="shared" si="65"/>
        <v>19.525354503836514</v>
      </c>
      <c r="AS1101" s="146">
        <f t="shared" si="66"/>
        <v>5.3287291164862003</v>
      </c>
      <c r="AT1101" s="146">
        <v>0.4</v>
      </c>
      <c r="AU1101">
        <v>0</v>
      </c>
      <c r="AV1101" s="146">
        <v>0.5</v>
      </c>
      <c r="AW1101" s="146">
        <v>3</v>
      </c>
      <c r="AX1101" s="146">
        <v>0.89497764381418576</v>
      </c>
      <c r="AY1101" s="146">
        <v>0.36</v>
      </c>
      <c r="AZ1101" s="209">
        <v>868.28218660123434</v>
      </c>
      <c r="BA1101" s="146">
        <v>0.89497764381418576</v>
      </c>
      <c r="BB1101" s="252">
        <v>26.388713206274289</v>
      </c>
      <c r="BC1101" s="244">
        <v>199.42914442764055</v>
      </c>
      <c r="BD1101" s="229">
        <v>89804.695944554172</v>
      </c>
      <c r="BE1101" s="244">
        <v>36.769644553431064</v>
      </c>
      <c r="BF1101" s="146">
        <v>339246.98494844011</v>
      </c>
      <c r="BG1101" t="s">
        <v>388</v>
      </c>
      <c r="BH1101" s="146">
        <v>7.9908631277194789E-6</v>
      </c>
      <c r="BI1101" s="146">
        <v>2098046.9594455417</v>
      </c>
      <c r="BJ1101">
        <f t="shared" si="67"/>
        <v>0.16169656423614756</v>
      </c>
    </row>
    <row r="1102" spans="1:62" s="140" customFormat="1" x14ac:dyDescent="0.3">
      <c r="A1102" s="140">
        <v>-0.1</v>
      </c>
      <c r="B1102" s="140">
        <v>1000</v>
      </c>
      <c r="C1102" s="140">
        <v>25</v>
      </c>
      <c r="D1102" s="140">
        <v>1100</v>
      </c>
      <c r="E1102" s="253">
        <v>20.174875746252521</v>
      </c>
      <c r="F1102" s="140">
        <v>0.93838910430999511</v>
      </c>
      <c r="G1102" s="140">
        <v>21.233824749990593</v>
      </c>
      <c r="H1102" s="140">
        <v>25.646388433888827</v>
      </c>
      <c r="J1102" s="140">
        <v>0.88716459988755925</v>
      </c>
      <c r="K1102" s="140">
        <v>0.36</v>
      </c>
      <c r="L1102" s="140">
        <v>130.2075328714746</v>
      </c>
      <c r="M1102" s="140">
        <v>48.02736868210129</v>
      </c>
      <c r="N1102" s="140">
        <v>6.8921024218096356</v>
      </c>
      <c r="Z1102" s="140">
        <v>0.26873578865016701</v>
      </c>
      <c r="AL1102" s="140">
        <v>4413.9809205373194</v>
      </c>
      <c r="AM1102" s="140">
        <v>4.4193126549676873E-2</v>
      </c>
      <c r="AN1102" s="140">
        <v>0.24643183765920743</v>
      </c>
      <c r="AO1102" s="140">
        <v>1018.1320241009097</v>
      </c>
      <c r="AP1102" s="140">
        <v>967.92970963250332</v>
      </c>
      <c r="AQ1102" s="146" t="s">
        <v>383</v>
      </c>
      <c r="AR1102" s="140">
        <f t="shared" si="65"/>
        <v>19.525354503836514</v>
      </c>
      <c r="AS1102" s="140">
        <f t="shared" si="66"/>
        <v>5.3287291164862003</v>
      </c>
      <c r="AT1102" s="140">
        <v>0.4</v>
      </c>
      <c r="AU1102">
        <v>0</v>
      </c>
      <c r="AV1102" s="140">
        <v>0.5</v>
      </c>
      <c r="AW1102" s="140">
        <v>3</v>
      </c>
      <c r="AX1102" s="140">
        <v>0.87069035982752963</v>
      </c>
      <c r="AY1102" s="140">
        <v>0.36</v>
      </c>
      <c r="AZ1102" s="209">
        <v>967.92970963250332</v>
      </c>
      <c r="BA1102" s="140">
        <v>0.87069035982752963</v>
      </c>
      <c r="BB1102" s="253">
        <v>26.245499090933194</v>
      </c>
      <c r="BC1102" s="245">
        <v>198.85694916219563</v>
      </c>
      <c r="BD1102" s="210">
        <v>89739.649982232018</v>
      </c>
      <c r="BE1102" s="245">
        <v>37.044831471032765</v>
      </c>
      <c r="BF1102" s="140">
        <v>340146.72515932331</v>
      </c>
      <c r="BG1102" t="s">
        <v>388</v>
      </c>
      <c r="BH1102" s="140">
        <v>8.0116043739062594E-6</v>
      </c>
      <c r="BI1102" s="140">
        <v>2097396.4998223204</v>
      </c>
      <c r="BJ1102">
        <f t="shared" si="67"/>
        <v>0.16217569028466416</v>
      </c>
    </row>
    <row r="1103" spans="1:62" s="146" customFormat="1" x14ac:dyDescent="0.3">
      <c r="A1103">
        <v>-0.1</v>
      </c>
      <c r="B1103" s="146">
        <v>1000</v>
      </c>
      <c r="C1103" s="146">
        <v>25</v>
      </c>
      <c r="D1103" s="146">
        <v>400</v>
      </c>
      <c r="E1103" s="252">
        <v>19.900000301855922</v>
      </c>
      <c r="F1103" s="146">
        <v>1.224165836197425</v>
      </c>
      <c r="G1103" s="146">
        <v>21.10898077032801</v>
      </c>
      <c r="H1103" s="146">
        <v>25.927311036232705</v>
      </c>
      <c r="J1103" s="146">
        <v>0.99999999919405802</v>
      </c>
      <c r="K1103" s="146">
        <v>0.36</v>
      </c>
      <c r="L1103" s="146">
        <v>132.13918239905126</v>
      </c>
      <c r="M1103" s="146">
        <v>48.739862360305793</v>
      </c>
      <c r="N1103" s="146">
        <v>5.7288619646847394</v>
      </c>
      <c r="Z1103" s="146">
        <v>0.22095858520302442</v>
      </c>
      <c r="AL1103" s="146">
        <v>3134.4121685391256</v>
      </c>
      <c r="AM1103" s="146">
        <v>5.7992654857035184E-2</v>
      </c>
      <c r="AN1103" s="146">
        <v>0.24720337870554357</v>
      </c>
      <c r="AO1103" s="146">
        <v>319.49948092918333</v>
      </c>
      <c r="AP1103" s="146">
        <v>269.98118619675637</v>
      </c>
      <c r="AQ1103" t="s">
        <v>383</v>
      </c>
      <c r="AR1103" s="146">
        <f t="shared" si="65"/>
        <v>19.525354503836514</v>
      </c>
      <c r="AS1103" s="146">
        <f t="shared" si="66"/>
        <v>5.3287291164862003</v>
      </c>
      <c r="AT1103" s="146">
        <v>0.4</v>
      </c>
      <c r="AU1103">
        <v>0</v>
      </c>
      <c r="AV1103" s="146">
        <v>0.5</v>
      </c>
      <c r="AW1103" s="146">
        <v>3</v>
      </c>
      <c r="AX1103" s="146">
        <v>0.99999999900000003</v>
      </c>
      <c r="AY1103" s="146">
        <v>0.36</v>
      </c>
      <c r="AZ1103" s="209">
        <v>269.98118619675637</v>
      </c>
      <c r="BA1103" s="146">
        <v>0.99999999900000003</v>
      </c>
      <c r="BB1103" s="252">
        <v>27.125491596176623</v>
      </c>
      <c r="BC1103" s="244">
        <v>203.54998638359751</v>
      </c>
      <c r="BD1103" s="229">
        <v>90551.945749511418</v>
      </c>
      <c r="BE1103" s="244">
        <v>35.209033765752999</v>
      </c>
      <c r="BF1103" s="146">
        <v>336701.58292995335</v>
      </c>
      <c r="BG1103" t="s">
        <v>389</v>
      </c>
      <c r="BH1103" s="146">
        <v>7.8839828048702629E-6</v>
      </c>
      <c r="BI1103" s="146">
        <v>2105519.4574951143</v>
      </c>
      <c r="BJ1103">
        <f t="shared" si="67"/>
        <v>0.15991378361828065</v>
      </c>
    </row>
    <row r="1104" spans="1:62" s="146" customFormat="1" x14ac:dyDescent="0.3">
      <c r="A1104">
        <v>-0.1</v>
      </c>
      <c r="B1104" s="146">
        <v>1000</v>
      </c>
      <c r="C1104" s="146">
        <v>25</v>
      </c>
      <c r="D1104" s="146">
        <v>400</v>
      </c>
      <c r="E1104" s="252">
        <v>19.183814385021108</v>
      </c>
      <c r="F1104" s="146">
        <v>1.1852833496863147</v>
      </c>
      <c r="G1104" s="146">
        <v>20.342688501126378</v>
      </c>
      <c r="H1104" s="146">
        <v>25.041663817733781</v>
      </c>
      <c r="J1104" s="146">
        <v>0.99999999919537885</v>
      </c>
      <c r="K1104" s="146">
        <v>0.36</v>
      </c>
      <c r="L1104" s="146">
        <v>127.67587756567644</v>
      </c>
      <c r="M1104" s="146">
        <v>47.093561397175741</v>
      </c>
      <c r="N1104" s="146">
        <v>5.5747332174742468</v>
      </c>
      <c r="Z1104" s="146">
        <v>0.22261832352874181</v>
      </c>
      <c r="AL1104" s="146">
        <v>3062.5762400023932</v>
      </c>
      <c r="AM1104" s="146">
        <v>5.8265816222899218E-2</v>
      </c>
      <c r="AN1104" s="146">
        <v>0.24896524367310263</v>
      </c>
      <c r="AO1104" s="146">
        <v>322.94581323082218</v>
      </c>
      <c r="AP1104" s="146">
        <v>275.2096312652713</v>
      </c>
      <c r="AQ1104" s="146" t="s">
        <v>383</v>
      </c>
      <c r="AR1104" s="146">
        <f t="shared" si="65"/>
        <v>19.525354503836514</v>
      </c>
      <c r="AS1104" s="146">
        <f t="shared" si="66"/>
        <v>5.3287291164862003</v>
      </c>
      <c r="AT1104" s="146">
        <v>0.4</v>
      </c>
      <c r="AU1104">
        <v>0</v>
      </c>
      <c r="AV1104" s="146">
        <v>0.5</v>
      </c>
      <c r="AW1104" s="146">
        <v>2.5</v>
      </c>
      <c r="AX1104" s="146">
        <v>0.99999999900000003</v>
      </c>
      <c r="AY1104" s="146">
        <v>0.36</v>
      </c>
      <c r="AZ1104" s="209">
        <v>275.2096312652713</v>
      </c>
      <c r="BA1104" s="146">
        <v>0.99999999900000003</v>
      </c>
      <c r="BB1104" s="252">
        <v>26.212341086548022</v>
      </c>
      <c r="BC1104" s="244">
        <v>192.85776356632539</v>
      </c>
      <c r="BD1104" s="229">
        <v>84921.425983485635</v>
      </c>
      <c r="BE1104" s="244">
        <v>33.63521293851899</v>
      </c>
      <c r="BF1104" s="146">
        <v>381859.07130872447</v>
      </c>
      <c r="BG1104" t="s">
        <v>389</v>
      </c>
      <c r="BH1104" s="146">
        <v>7.6177870003356762E-6</v>
      </c>
      <c r="BI1104" s="146">
        <v>2049214.2598348563</v>
      </c>
      <c r="BJ1104">
        <f t="shared" si="67"/>
        <v>0.18634414116340281</v>
      </c>
    </row>
    <row r="1105" spans="1:62" s="146" customFormat="1" x14ac:dyDescent="0.3">
      <c r="A1105">
        <v>-0.1</v>
      </c>
      <c r="B1105" s="146">
        <v>1000</v>
      </c>
      <c r="C1105" s="146">
        <v>25</v>
      </c>
      <c r="D1105" s="146">
        <v>400</v>
      </c>
      <c r="E1105" s="252">
        <v>16.681097916596407</v>
      </c>
      <c r="F1105" s="146">
        <v>1.0534097475422428</v>
      </c>
      <c r="G1105" s="146">
        <v>17.676306567904792</v>
      </c>
      <c r="H1105" s="146">
        <v>21.928322493142641</v>
      </c>
      <c r="J1105" s="146">
        <v>0.99999999920116855</v>
      </c>
      <c r="K1105" s="146">
        <v>0.36</v>
      </c>
      <c r="L1105" s="146">
        <v>111.95035996442201</v>
      </c>
      <c r="M1105" s="146">
        <v>41.293165560647466</v>
      </c>
      <c r="N1105" s="146">
        <v>5.0129726927484981</v>
      </c>
      <c r="Z1105" s="146">
        <v>0.2286072130832689</v>
      </c>
      <c r="AL1105" s="146">
        <v>2799.4290196278967</v>
      </c>
      <c r="AM1105" s="146">
        <v>5.9594448845718656E-2</v>
      </c>
      <c r="AN1105" s="146">
        <v>0.25448362892508058</v>
      </c>
      <c r="AO1105" s="146">
        <v>334.45119441648922</v>
      </c>
      <c r="AP1105" s="146">
        <v>292.94267325364939</v>
      </c>
      <c r="AQ1105" t="s">
        <v>383</v>
      </c>
      <c r="AR1105" s="146">
        <f t="shared" si="65"/>
        <v>19.525354503836514</v>
      </c>
      <c r="AS1105" s="146">
        <f t="shared" si="66"/>
        <v>5.3287291164862003</v>
      </c>
      <c r="AT1105" s="146">
        <v>0.4</v>
      </c>
      <c r="AU1105">
        <v>0</v>
      </c>
      <c r="AV1105" s="146">
        <v>0.5</v>
      </c>
      <c r="AW1105" s="146">
        <v>1.5</v>
      </c>
      <c r="AX1105" s="146">
        <v>0.99999999900000003</v>
      </c>
      <c r="AY1105" s="146">
        <v>0.36</v>
      </c>
      <c r="AZ1105" s="209">
        <v>292.94267325364939</v>
      </c>
      <c r="BA1105" s="146">
        <v>0.99999999900000003</v>
      </c>
      <c r="BB1105" s="252">
        <v>23.042336005338086</v>
      </c>
      <c r="BC1105" s="244">
        <v>158.92011226432257</v>
      </c>
      <c r="BD1105" s="229">
        <v>67391.990869075409</v>
      </c>
      <c r="BE1105" s="244">
        <v>28.481398750583985</v>
      </c>
      <c r="BF1105" s="146">
        <v>499437.29483246629</v>
      </c>
      <c r="BG1105" t="s">
        <v>389</v>
      </c>
      <c r="BH1105" s="146">
        <v>6.7302788280630587E-6</v>
      </c>
      <c r="BI1105" s="146">
        <v>1873919.9086907541</v>
      </c>
      <c r="BJ1105">
        <f t="shared" si="67"/>
        <v>0.26652008579246411</v>
      </c>
    </row>
    <row r="1106" spans="1:62" s="146" customFormat="1" x14ac:dyDescent="0.3">
      <c r="A1106">
        <v>-0.1</v>
      </c>
      <c r="B1106" s="146">
        <v>1000</v>
      </c>
      <c r="C1106" s="146">
        <v>25</v>
      </c>
      <c r="D1106" s="146">
        <v>400</v>
      </c>
      <c r="E1106" s="252">
        <v>14.417626528265767</v>
      </c>
      <c r="F1106" s="146">
        <v>0.93828613781803016</v>
      </c>
      <c r="G1106" s="146">
        <v>15.27688755278816</v>
      </c>
      <c r="H1106" s="146">
        <v>19.087160580627099</v>
      </c>
      <c r="J1106" s="146">
        <v>0.99999999920828109</v>
      </c>
      <c r="K1106" s="146">
        <v>0.36</v>
      </c>
      <c r="L1106" s="146">
        <v>97.554883275759863</v>
      </c>
      <c r="M1106" s="146">
        <v>35.983358585321263</v>
      </c>
      <c r="N1106" s="146">
        <v>4.4744750790654688</v>
      </c>
      <c r="Z1106" s="146">
        <v>0.23442329518655217</v>
      </c>
      <c r="AL1106" s="146">
        <v>2545.6469655078945</v>
      </c>
      <c r="AM1106" s="146">
        <v>6.1418671478457344E-2</v>
      </c>
      <c r="AN1106" s="146">
        <v>0.25877752875587584</v>
      </c>
      <c r="AO1106" s="146">
        <v>344.28563176415912</v>
      </c>
      <c r="AP1106" s="146">
        <v>308.40942597516045</v>
      </c>
      <c r="AQ1106" s="146" t="s">
        <v>383</v>
      </c>
      <c r="AR1106" s="146">
        <f t="shared" si="65"/>
        <v>19.525354503836514</v>
      </c>
      <c r="AS1106" s="146">
        <f t="shared" si="66"/>
        <v>5.3287291164862003</v>
      </c>
      <c r="AT1106" s="146">
        <v>0.4</v>
      </c>
      <c r="AU1106">
        <v>0</v>
      </c>
      <c r="AV1106" s="146">
        <v>0.5</v>
      </c>
      <c r="AW1106" s="146">
        <v>1</v>
      </c>
      <c r="AX1106" s="146">
        <v>0.99999999899999992</v>
      </c>
      <c r="AY1106" s="146">
        <v>0.36</v>
      </c>
      <c r="AZ1106" s="209">
        <v>308.40942597516045</v>
      </c>
      <c r="BA1106" s="146">
        <v>0.99999999899999992</v>
      </c>
      <c r="BB1106" s="252">
        <v>20.193568989224556</v>
      </c>
      <c r="BC1106" s="244">
        <v>131.86724555257072</v>
      </c>
      <c r="BD1106" s="229">
        <v>53896.483615430843</v>
      </c>
      <c r="BE1106" s="244">
        <v>24.179936692780952</v>
      </c>
      <c r="BF1106" s="146">
        <v>569842.93521850999</v>
      </c>
      <c r="BG1106" t="s">
        <v>389</v>
      </c>
      <c r="BH1106" s="146">
        <v>5.929440484665896E-6</v>
      </c>
      <c r="BI1106" s="146">
        <v>1738964.8361543084</v>
      </c>
      <c r="BJ1106">
        <f t="shared" si="67"/>
        <v>0.32769089021875109</v>
      </c>
    </row>
    <row r="1107" spans="1:62" s="146" customFormat="1" x14ac:dyDescent="0.3">
      <c r="A1107">
        <v>-0.1</v>
      </c>
      <c r="B1107" s="146">
        <v>1000</v>
      </c>
      <c r="C1107" s="146">
        <v>25</v>
      </c>
      <c r="D1107" s="146">
        <v>400</v>
      </c>
      <c r="E1107" s="252">
        <v>13.167889502288956</v>
      </c>
      <c r="F1107" s="146">
        <v>0.87582560630525275</v>
      </c>
      <c r="G1107" s="146">
        <v>13.955817512140808</v>
      </c>
      <c r="H1107" s="146">
        <v>17.507901736533004</v>
      </c>
      <c r="J1107" s="146">
        <v>0.99999999921314697</v>
      </c>
      <c r="K1107" s="146">
        <v>0.36</v>
      </c>
      <c r="L1107" s="146">
        <v>89.536216330399924</v>
      </c>
      <c r="M1107" s="146">
        <v>33.025653564491776</v>
      </c>
      <c r="N1107" s="146">
        <v>4.1650046351222603</v>
      </c>
      <c r="Z1107" s="146">
        <v>0.23789284962865195</v>
      </c>
      <c r="AL1107" s="146">
        <v>2399.2697429284472</v>
      </c>
      <c r="AM1107" s="146">
        <v>6.275702627548202E-2</v>
      </c>
      <c r="AN1107" s="146">
        <v>0.26092605612357767</v>
      </c>
      <c r="AO1107" s="146">
        <v>349.53401857247832</v>
      </c>
      <c r="AP1107" s="146">
        <v>316.76742536731814</v>
      </c>
      <c r="AQ1107" t="s">
        <v>383</v>
      </c>
      <c r="AR1107" s="146">
        <f t="shared" si="65"/>
        <v>19.525354503836514</v>
      </c>
      <c r="AS1107" s="146">
        <f t="shared" si="66"/>
        <v>5.3287291164862003</v>
      </c>
      <c r="AT1107" s="146">
        <v>0.4</v>
      </c>
      <c r="AU1107">
        <v>0</v>
      </c>
      <c r="AV1107" s="146">
        <v>0.5</v>
      </c>
      <c r="AW1107" s="146">
        <v>0.8</v>
      </c>
      <c r="AX1107" s="146">
        <v>0.99999999900000003</v>
      </c>
      <c r="AY1107" s="146">
        <v>0.36</v>
      </c>
      <c r="AZ1107" s="209">
        <v>316.76742536731814</v>
      </c>
      <c r="BA1107" s="146">
        <v>0.99999999900000003</v>
      </c>
      <c r="BB1107" s="252">
        <v>18.623384962732334</v>
      </c>
      <c r="BC1107" s="244">
        <v>118.08980572708926</v>
      </c>
      <c r="BD1107" s="229">
        <v>47231.785874294816</v>
      </c>
      <c r="BE1107" s="244">
        <v>21.916276952600754</v>
      </c>
      <c r="BF1107" s="146">
        <v>598253.57564069808</v>
      </c>
      <c r="BG1107" t="s">
        <v>389</v>
      </c>
      <c r="BH1107" s="146">
        <v>5.4764144501897069E-6</v>
      </c>
      <c r="BI1107" s="146">
        <v>1672317.8587429482</v>
      </c>
      <c r="BJ1107">
        <f t="shared" si="67"/>
        <v>0.35773915378168281</v>
      </c>
    </row>
    <row r="1108" spans="1:62" s="146" customFormat="1" x14ac:dyDescent="0.3">
      <c r="A1108">
        <v>-0.1</v>
      </c>
      <c r="B1108" s="146">
        <v>1000</v>
      </c>
      <c r="C1108" s="146">
        <v>25</v>
      </c>
      <c r="D1108" s="146">
        <v>400</v>
      </c>
      <c r="E1108" s="252">
        <v>11.624942992046796</v>
      </c>
      <c r="F1108" s="146">
        <v>0.80931020436147327</v>
      </c>
      <c r="G1108" s="146">
        <v>12.332341832252007</v>
      </c>
      <c r="H1108" s="146">
        <v>15.49485438239989</v>
      </c>
      <c r="J1108" s="146">
        <v>0.99999999922198479</v>
      </c>
      <c r="K1108" s="146">
        <v>0.36</v>
      </c>
      <c r="L1108" s="146">
        <v>79.299785458708115</v>
      </c>
      <c r="M1108" s="146">
        <v>29.249920865916927</v>
      </c>
      <c r="N1108" s="146">
        <v>3.718539525193739</v>
      </c>
      <c r="Z1108" s="146">
        <v>0.23998544506604136</v>
      </c>
      <c r="AL1108" s="146">
        <v>2185.767015265159</v>
      </c>
      <c r="AM1108" s="146">
        <v>6.5625022025008625E-2</v>
      </c>
      <c r="AN1108" s="146">
        <v>0.26079083116800589</v>
      </c>
      <c r="AO1108" s="146">
        <v>355.42426495601063</v>
      </c>
      <c r="AP1108" s="146">
        <v>326.49725266828955</v>
      </c>
      <c r="AQ1108" s="146" t="s">
        <v>383</v>
      </c>
      <c r="AR1108" s="146">
        <f t="shared" si="65"/>
        <v>19.525354503836514</v>
      </c>
      <c r="AS1108" s="146">
        <f t="shared" si="66"/>
        <v>5.3287291164862003</v>
      </c>
      <c r="AT1108" s="146">
        <v>0.4</v>
      </c>
      <c r="AU1108">
        <v>0</v>
      </c>
      <c r="AV1108" s="146">
        <v>0.5</v>
      </c>
      <c r="AW1108" s="146">
        <v>0.6</v>
      </c>
      <c r="AX1108" s="146">
        <v>0.99999999900000003</v>
      </c>
      <c r="AY1108" s="146">
        <v>0.36</v>
      </c>
      <c r="AZ1108" s="209">
        <v>326.49725266828955</v>
      </c>
      <c r="BA1108" s="146">
        <v>0.99999999900000003</v>
      </c>
      <c r="BB1108" s="252">
        <v>16.742580015569256</v>
      </c>
      <c r="BC1108" s="244">
        <v>101.60224818862775</v>
      </c>
      <c r="BD1108" s="229">
        <v>39679.102509376309</v>
      </c>
      <c r="BE1108" s="244">
        <v>19.495247021162459</v>
      </c>
      <c r="BF1108" s="146">
        <v>626586.35833337717</v>
      </c>
      <c r="BG1108" t="s">
        <v>389</v>
      </c>
      <c r="BH1108" s="146">
        <v>4.8969916799983129E-6</v>
      </c>
      <c r="BI1108" s="146">
        <v>1596791.0250937631</v>
      </c>
      <c r="BJ1108">
        <f t="shared" si="67"/>
        <v>0.39240348203772263</v>
      </c>
    </row>
    <row r="1109" spans="1:62" s="146" customFormat="1" x14ac:dyDescent="0.3">
      <c r="A1109">
        <v>-0.1</v>
      </c>
      <c r="B1109" s="146">
        <v>1000</v>
      </c>
      <c r="C1109" s="146">
        <v>25</v>
      </c>
      <c r="D1109" s="146">
        <v>400</v>
      </c>
      <c r="E1109" s="252">
        <v>9.6166038101976099</v>
      </c>
      <c r="F1109" s="146">
        <v>0.72535207217021824</v>
      </c>
      <c r="G1109" s="146">
        <v>10.224196145358372</v>
      </c>
      <c r="H1109" s="146">
        <v>12.843697134840488</v>
      </c>
      <c r="J1109" s="146">
        <v>0.99999999923682525</v>
      </c>
      <c r="K1109" s="146">
        <v>0.36</v>
      </c>
      <c r="L1109" s="146">
        <v>65.792240087225196</v>
      </c>
      <c r="M1109" s="146">
        <v>24.267629540369949</v>
      </c>
      <c r="N1109" s="146">
        <v>3.1046351784325061</v>
      </c>
      <c r="Z1109" s="146">
        <v>0.24172441516163673</v>
      </c>
      <c r="AL1109" s="146">
        <v>1891.1756864412096</v>
      </c>
      <c r="AM1109" s="146">
        <v>7.0944655389804601E-2</v>
      </c>
      <c r="AN1109" s="146">
        <v>0.25842497666245812</v>
      </c>
      <c r="AO1109" s="146">
        <v>362.78763788858407</v>
      </c>
      <c r="AP1109" s="146">
        <v>338.85809722495725</v>
      </c>
      <c r="AQ1109" t="s">
        <v>383</v>
      </c>
      <c r="AR1109" s="146">
        <f t="shared" si="65"/>
        <v>19.525354503836514</v>
      </c>
      <c r="AS1109" s="146">
        <f t="shared" si="66"/>
        <v>5.3287291164862003</v>
      </c>
      <c r="AT1109" s="146">
        <v>0.4</v>
      </c>
      <c r="AU1109">
        <v>0</v>
      </c>
      <c r="AV1109" s="146">
        <v>0.5</v>
      </c>
      <c r="AW1109" s="146">
        <v>0.4</v>
      </c>
      <c r="AX1109" s="146">
        <v>0.99999999900000003</v>
      </c>
      <c r="AY1109" s="146">
        <v>0.36</v>
      </c>
      <c r="AZ1109" s="209">
        <v>338.85809722495725</v>
      </c>
      <c r="BA1109" s="146">
        <v>0.99999999900000003</v>
      </c>
      <c r="BB1109" s="252">
        <v>14.303993726523833</v>
      </c>
      <c r="BC1109" s="244">
        <v>81.425746906633776</v>
      </c>
      <c r="BD1109" s="229">
        <v>30862.037701357058</v>
      </c>
      <c r="BE1109" s="244">
        <v>16.540772723627128</v>
      </c>
      <c r="BF1109" s="146">
        <v>650467.29856522626</v>
      </c>
      <c r="BG1109" t="s">
        <v>389</v>
      </c>
      <c r="BH1109" s="146">
        <v>4.1134202049964982E-6</v>
      </c>
      <c r="BI1109" s="146">
        <v>1508620.3770135706</v>
      </c>
      <c r="BJ1109">
        <f t="shared" si="67"/>
        <v>0.43116698440258111</v>
      </c>
    </row>
    <row r="1110" spans="1:62" s="146" customFormat="1" x14ac:dyDescent="0.3">
      <c r="A1110">
        <v>-0.1</v>
      </c>
      <c r="B1110" s="146">
        <v>1000</v>
      </c>
      <c r="C1110" s="146">
        <v>25</v>
      </c>
      <c r="D1110" s="146">
        <v>400</v>
      </c>
      <c r="E1110" s="252">
        <v>8.3326173796911913</v>
      </c>
      <c r="F1110" s="146">
        <v>0.66761146645195402</v>
      </c>
      <c r="G1110" s="146">
        <v>8.8763301863707671</v>
      </c>
      <c r="H1110" s="146">
        <v>11.154180322982361</v>
      </c>
      <c r="J1110" s="146">
        <v>0.99999999924779603</v>
      </c>
      <c r="K1110" s="146">
        <v>0.36</v>
      </c>
      <c r="L1110" s="146">
        <v>57.169302511307663</v>
      </c>
      <c r="M1110" s="146">
        <v>21.087037811547912</v>
      </c>
      <c r="N1110" s="146">
        <v>2.7166094095339659</v>
      </c>
      <c r="Z1110" s="146">
        <v>0.24355078821315035</v>
      </c>
      <c r="AL1110" s="146">
        <v>1705.104939753393</v>
      </c>
      <c r="AM1110" s="146">
        <v>7.5212554336593226E-2</v>
      </c>
      <c r="AN1110" s="146">
        <v>0.25666337873967821</v>
      </c>
      <c r="AO1110" s="146">
        <v>367.53484108014266</v>
      </c>
      <c r="AP1110" s="146">
        <v>346.80023498640963</v>
      </c>
      <c r="AQ1110" s="146" t="s">
        <v>383</v>
      </c>
      <c r="AR1110" s="146">
        <f t="shared" si="65"/>
        <v>19.525354503836514</v>
      </c>
      <c r="AS1110" s="146">
        <f t="shared" si="66"/>
        <v>5.3287291164862003</v>
      </c>
      <c r="AT1110" s="146">
        <v>0.4</v>
      </c>
      <c r="AU1110">
        <v>0</v>
      </c>
      <c r="AV1110" s="146">
        <v>0.5</v>
      </c>
      <c r="AW1110" s="146">
        <v>0.3</v>
      </c>
      <c r="AX1110" s="146">
        <v>0.99999999900000003</v>
      </c>
      <c r="AY1110" s="146">
        <v>0.36</v>
      </c>
      <c r="AZ1110" s="209">
        <v>346.80023498640963</v>
      </c>
      <c r="BA1110" s="146">
        <v>0.99999999900000003</v>
      </c>
      <c r="BB1110" s="252">
        <v>12.714936514517589</v>
      </c>
      <c r="BC1110" s="244">
        <v>69.335463133231798</v>
      </c>
      <c r="BD1110" s="229">
        <v>25754.876060495637</v>
      </c>
      <c r="BE1110" s="244">
        <v>14.627366248207728</v>
      </c>
      <c r="BF1110" s="146">
        <v>657265.63866103836</v>
      </c>
      <c r="BG1110" t="s">
        <v>389</v>
      </c>
      <c r="BH1110" s="146">
        <v>3.5950816950027942E-6</v>
      </c>
      <c r="BI1110" s="146">
        <v>1457548.7606049564</v>
      </c>
      <c r="BJ1110">
        <f t="shared" si="67"/>
        <v>0.45093903986322892</v>
      </c>
    </row>
    <row r="1111" spans="1:62" s="146" customFormat="1" x14ac:dyDescent="0.3">
      <c r="A1111">
        <v>-0.1</v>
      </c>
      <c r="B1111" s="146">
        <v>1000</v>
      </c>
      <c r="C1111" s="146">
        <v>25</v>
      </c>
      <c r="D1111" s="146">
        <v>400</v>
      </c>
      <c r="E1111" s="252">
        <v>6.731980932725472</v>
      </c>
      <c r="F1111" s="146">
        <v>0.58947894892345298</v>
      </c>
      <c r="G1111" s="146">
        <v>7.1947353888555243</v>
      </c>
      <c r="H1111" s="146">
        <v>9.0528340824476636</v>
      </c>
      <c r="J1111" s="146">
        <v>0.99999999926332805</v>
      </c>
      <c r="K1111" s="146">
        <v>0.36</v>
      </c>
      <c r="L1111" s="146">
        <v>46.429544840005946</v>
      </c>
      <c r="M1111" s="146">
        <v>17.125651785248095</v>
      </c>
      <c r="N1111" s="146">
        <v>2.2368456613873251</v>
      </c>
      <c r="Z1111" s="146">
        <v>0.24708788883298932</v>
      </c>
      <c r="AL1111" s="146">
        <v>1475.1863846479507</v>
      </c>
      <c r="AM1111" s="146">
        <v>8.1931984578132222E-2</v>
      </c>
      <c r="AN1111" s="146">
        <v>0.25418441608069137</v>
      </c>
      <c r="AO1111" s="146">
        <v>373.51536716323164</v>
      </c>
      <c r="AP1111" s="146">
        <v>356.76355395428897</v>
      </c>
      <c r="AQ1111" t="s">
        <v>383</v>
      </c>
      <c r="AR1111" s="146">
        <f t="shared" si="65"/>
        <v>19.525354503836514</v>
      </c>
      <c r="AS1111" s="146">
        <f t="shared" si="66"/>
        <v>5.3287291164862003</v>
      </c>
      <c r="AT1111" s="146">
        <v>0.4</v>
      </c>
      <c r="AU1111">
        <v>0</v>
      </c>
      <c r="AV1111" s="146">
        <v>0.5</v>
      </c>
      <c r="AW1111" s="146">
        <v>0.2</v>
      </c>
      <c r="AX1111" s="146">
        <v>0.99999999900000003</v>
      </c>
      <c r="AY1111" s="146">
        <v>0.36</v>
      </c>
      <c r="AZ1111" s="209">
        <v>356.76355395428897</v>
      </c>
      <c r="BA1111" s="146">
        <v>0.99999999900000003</v>
      </c>
      <c r="BB1111" s="252">
        <v>10.686161984600623</v>
      </c>
      <c r="BC1111" s="244">
        <v>55.005545565378981</v>
      </c>
      <c r="BD1111" s="229">
        <v>19905.120127983217</v>
      </c>
      <c r="BE1111" s="244">
        <v>12.200447101951145</v>
      </c>
      <c r="BF1111" s="146">
        <v>654076.26970876637</v>
      </c>
      <c r="BG1111" t="s">
        <v>389</v>
      </c>
      <c r="BH1111" s="146">
        <v>2.9302222735835207E-6</v>
      </c>
      <c r="BI1111" s="146">
        <v>1399051.2012798321</v>
      </c>
      <c r="BJ1111">
        <f t="shared" si="67"/>
        <v>0.46751417611480317</v>
      </c>
    </row>
    <row r="1112" spans="1:62" s="140" customFormat="1" x14ac:dyDescent="0.3">
      <c r="A1112" s="140">
        <v>-0.1</v>
      </c>
      <c r="B1112" s="140">
        <v>1000</v>
      </c>
      <c r="C1112" s="140">
        <v>25</v>
      </c>
      <c r="D1112" s="140">
        <v>400</v>
      </c>
      <c r="E1112" s="253">
        <v>4.5567496805810315</v>
      </c>
      <c r="F1112" s="140">
        <v>0.46714945155312426</v>
      </c>
      <c r="G1112" s="140">
        <v>4.9038587133459179</v>
      </c>
      <c r="H1112" s="140">
        <v>6.1996952177893778</v>
      </c>
      <c r="J1112" s="140">
        <v>0.99999999928784766</v>
      </c>
      <c r="K1112" s="140">
        <v>0.36</v>
      </c>
      <c r="L1112" s="140">
        <v>31.823098915328398</v>
      </c>
      <c r="M1112" s="140">
        <v>11.738028288440802</v>
      </c>
      <c r="N1112" s="140">
        <v>1.5861783855293483</v>
      </c>
      <c r="Z1112" s="140">
        <v>0.25584780054638412</v>
      </c>
      <c r="AL1112" s="140">
        <v>1163.5409981195139</v>
      </c>
      <c r="AM1112" s="140">
        <v>9.5261604964631361E-2</v>
      </c>
      <c r="AN1112" s="140">
        <v>0.25024310670336308</v>
      </c>
      <c r="AO1112" s="140">
        <v>381.79070848100292</v>
      </c>
      <c r="AP1112" s="140">
        <v>370.45180535483979</v>
      </c>
      <c r="AQ1112" s="146" t="s">
        <v>383</v>
      </c>
      <c r="AR1112" s="140">
        <f t="shared" si="65"/>
        <v>19.525354503836514</v>
      </c>
      <c r="AS1112" s="140">
        <f t="shared" si="66"/>
        <v>5.3287291164862003</v>
      </c>
      <c r="AT1112" s="140">
        <v>0.4</v>
      </c>
      <c r="AU1112">
        <v>0</v>
      </c>
      <c r="AV1112" s="140">
        <v>0.5</v>
      </c>
      <c r="AW1112" s="140">
        <v>0.1</v>
      </c>
      <c r="AX1112" s="140">
        <v>0.99999999900000003</v>
      </c>
      <c r="AY1112" s="140">
        <v>0.36</v>
      </c>
      <c r="AZ1112" s="209">
        <v>370.45180535483979</v>
      </c>
      <c r="BA1112" s="140">
        <v>0.99999999900000003</v>
      </c>
      <c r="BB1112" s="253">
        <v>7.7978471380621501</v>
      </c>
      <c r="BC1112" s="245">
        <v>36.620067070425556</v>
      </c>
      <c r="BD1112" s="210">
        <v>12777.164875401426</v>
      </c>
      <c r="BE1112" s="245">
        <v>8.7936557249041964</v>
      </c>
      <c r="BF1112" s="140">
        <v>623433.27918484563</v>
      </c>
      <c r="BG1112" t="s">
        <v>389</v>
      </c>
      <c r="BH1112" s="140">
        <v>1.9862460929723719E-6</v>
      </c>
      <c r="BI1112" s="140">
        <v>1327771.6487540142</v>
      </c>
      <c r="BJ1112">
        <f t="shared" si="67"/>
        <v>0.46953350733906524</v>
      </c>
    </row>
    <row r="1113" spans="1:62" s="146" customFormat="1" x14ac:dyDescent="0.3">
      <c r="A1113">
        <v>-0.1</v>
      </c>
      <c r="B1113" s="146">
        <v>1000</v>
      </c>
      <c r="C1113" s="146">
        <v>25</v>
      </c>
      <c r="D1113" s="146">
        <v>400</v>
      </c>
      <c r="E1113" s="252">
        <v>19.899986378549578</v>
      </c>
      <c r="F1113" s="146">
        <v>1.2241655461346239</v>
      </c>
      <c r="G1113" s="146">
        <v>21.10896606837904</v>
      </c>
      <c r="H1113" s="146">
        <v>25.927291532160577</v>
      </c>
      <c r="J1113" s="146">
        <v>0.99999999919405791</v>
      </c>
      <c r="K1113" s="146">
        <v>0.36</v>
      </c>
      <c r="L1113" s="146">
        <v>132.13908427663318</v>
      </c>
      <c r="M1113" s="146">
        <v>48.739826167610609</v>
      </c>
      <c r="N1113" s="146">
        <v>5.7288567007245632</v>
      </c>
      <c r="Z1113" s="146">
        <v>0.22095854839362641</v>
      </c>
      <c r="AL1113" s="146">
        <v>3134.4096106002753</v>
      </c>
      <c r="AM1113" s="146">
        <v>5.7992681506481181E-2</v>
      </c>
      <c r="AN1113" s="146">
        <v>0.2472033257534115</v>
      </c>
      <c r="AO1113" s="146">
        <v>319.49952000888504</v>
      </c>
      <c r="AP1113" s="146">
        <v>269.98126023799279</v>
      </c>
      <c r="AQ1113" t="s">
        <v>383</v>
      </c>
      <c r="AR1113" s="146">
        <f t="shared" si="65"/>
        <v>19.525354503836514</v>
      </c>
      <c r="AS1113" s="146">
        <f t="shared" si="66"/>
        <v>5.3287291164862003</v>
      </c>
      <c r="AT1113" s="146">
        <v>0.4</v>
      </c>
      <c r="AU1113">
        <v>0</v>
      </c>
      <c r="AV1113" s="146">
        <v>0.5</v>
      </c>
      <c r="AW1113" s="146">
        <v>3</v>
      </c>
      <c r="AX1113" s="146">
        <v>0.99999999900000003</v>
      </c>
      <c r="AY1113" s="146">
        <v>0.36</v>
      </c>
      <c r="AZ1113" s="209">
        <v>269.98126023799279</v>
      </c>
      <c r="BA1113" s="146">
        <v>0.99999999900000003</v>
      </c>
      <c r="BB1113" s="252">
        <v>27.125476341805463</v>
      </c>
      <c r="BC1113" s="244">
        <v>203.54974535891154</v>
      </c>
      <c r="BD1113" s="229">
        <v>90551.83341777185</v>
      </c>
      <c r="BE1113" s="244">
        <v>35.209021345948422</v>
      </c>
      <c r="BF1113" s="146">
        <v>336701.01214159315</v>
      </c>
      <c r="BG1113" t="s">
        <v>390</v>
      </c>
      <c r="BH1113" s="146">
        <v>7.8839828205049597E-6</v>
      </c>
      <c r="BI1113" s="146">
        <v>2105518.3341777185</v>
      </c>
      <c r="BJ1113">
        <f t="shared" si="67"/>
        <v>0.1599135978424463</v>
      </c>
    </row>
    <row r="1114" spans="1:62" s="146" customFormat="1" x14ac:dyDescent="0.3">
      <c r="A1114">
        <v>-0.2</v>
      </c>
      <c r="B1114" s="146">
        <v>1000</v>
      </c>
      <c r="C1114" s="146">
        <v>25</v>
      </c>
      <c r="D1114" s="146">
        <v>400</v>
      </c>
      <c r="E1114" s="252">
        <v>19.898321391804743</v>
      </c>
      <c r="F1114" s="146">
        <v>1.2276358355187704</v>
      </c>
      <c r="G1114" s="146">
        <v>21.10924765140372</v>
      </c>
      <c r="H1114" s="146">
        <v>25.927909140343914</v>
      </c>
      <c r="J1114" s="146">
        <v>0.99999999919420235</v>
      </c>
      <c r="K1114" s="146">
        <v>0.36</v>
      </c>
      <c r="L1114" s="146">
        <v>132.17162959565056</v>
      </c>
      <c r="M1114" s="146">
        <v>48.751830588559628</v>
      </c>
      <c r="N1114" s="146">
        <v>5.7310335829310901</v>
      </c>
      <c r="Z1114" s="146">
        <v>0.22103724414914672</v>
      </c>
      <c r="AL1114" s="146">
        <v>3125.4689042528894</v>
      </c>
      <c r="AM1114" s="146">
        <v>5.8156304563376289E-2</v>
      </c>
      <c r="AN1114" s="146">
        <v>0.21978894243138558</v>
      </c>
      <c r="AO1114" s="146">
        <v>309.46623077720727</v>
      </c>
      <c r="AP1114" s="146">
        <v>259.95211278734354</v>
      </c>
      <c r="AQ1114" s="146" t="s">
        <v>383</v>
      </c>
      <c r="AR1114" s="146">
        <f t="shared" si="65"/>
        <v>19.525354503836514</v>
      </c>
      <c r="AS1114" s="146">
        <f t="shared" si="66"/>
        <v>5.3287291164862003</v>
      </c>
      <c r="AT1114" s="146">
        <v>0.4</v>
      </c>
      <c r="AU1114">
        <v>0</v>
      </c>
      <c r="AV1114" s="146">
        <v>0.5</v>
      </c>
      <c r="AW1114" s="146">
        <v>3</v>
      </c>
      <c r="AX1114" s="146">
        <v>0.99999999900000003</v>
      </c>
      <c r="AY1114" s="146">
        <v>0.36</v>
      </c>
      <c r="AZ1114" s="209">
        <v>259.95211278734354</v>
      </c>
      <c r="BA1114" s="146">
        <v>0.99999999900000003</v>
      </c>
      <c r="BB1114" s="252">
        <v>27.142909536780294</v>
      </c>
      <c r="BC1114" s="244">
        <v>203.62970349904367</v>
      </c>
      <c r="BD1114" s="229">
        <v>90589.425151206611</v>
      </c>
      <c r="BE1114" s="244">
        <v>35.213633236794237</v>
      </c>
      <c r="BF1114" s="146">
        <v>336763.93464139296</v>
      </c>
      <c r="BG1114" t="s">
        <v>390</v>
      </c>
      <c r="BH1114" s="146">
        <v>7.8818368287784096E-6</v>
      </c>
      <c r="BI1114" s="146">
        <v>2105894.251512066</v>
      </c>
      <c r="BJ1114">
        <f t="shared" si="67"/>
        <v>0.1599149313407314</v>
      </c>
    </row>
    <row r="1115" spans="1:62" s="146" customFormat="1" x14ac:dyDescent="0.3">
      <c r="A1115">
        <v>-0.3</v>
      </c>
      <c r="B1115" s="146">
        <v>1000</v>
      </c>
      <c r="C1115" s="146">
        <v>25</v>
      </c>
      <c r="D1115" s="146">
        <v>400</v>
      </c>
      <c r="E1115" s="252">
        <v>19.896210835448585</v>
      </c>
      <c r="F1115" s="146">
        <v>1.2322161429614715</v>
      </c>
      <c r="G1115" s="146">
        <v>21.109712086918861</v>
      </c>
      <c r="H1115" s="146">
        <v>25.928300446711066</v>
      </c>
      <c r="J1115" s="146">
        <v>0.99999999919435534</v>
      </c>
      <c r="K1115" s="146">
        <v>0.36</v>
      </c>
      <c r="L1115" s="146">
        <v>132.21520177333306</v>
      </c>
      <c r="M1115" s="146">
        <v>48.767902293442518</v>
      </c>
      <c r="N1115" s="146">
        <v>5.7333930263382733</v>
      </c>
      <c r="Z1115" s="146">
        <v>0.22112490705365684</v>
      </c>
      <c r="AL1115" s="146">
        <v>3113.7661822681512</v>
      </c>
      <c r="AM1115" s="146">
        <v>5.8372001374904767E-2</v>
      </c>
      <c r="AN1115" s="146">
        <v>0.19237992042648352</v>
      </c>
      <c r="AO1115" s="146">
        <v>296.57854732790702</v>
      </c>
      <c r="AP1115" s="146">
        <v>247.06966909900882</v>
      </c>
      <c r="AQ1115" t="s">
        <v>383</v>
      </c>
      <c r="AR1115" s="146">
        <f t="shared" si="65"/>
        <v>19.525354503836514</v>
      </c>
      <c r="AS1115" s="146">
        <f t="shared" si="66"/>
        <v>5.3287291164862003</v>
      </c>
      <c r="AT1115" s="146">
        <v>0.4</v>
      </c>
      <c r="AU1115">
        <v>0</v>
      </c>
      <c r="AV1115" s="146">
        <v>0.5</v>
      </c>
      <c r="AW1115" s="146">
        <v>3</v>
      </c>
      <c r="AX1115" s="146">
        <v>0.99999999900000003</v>
      </c>
      <c r="AY1115" s="146">
        <v>0.36</v>
      </c>
      <c r="AZ1115" s="209">
        <v>247.06966909900882</v>
      </c>
      <c r="BA1115" s="146">
        <v>0.99999999900000003</v>
      </c>
      <c r="BB1115" s="252">
        <v>27.166007046916192</v>
      </c>
      <c r="BC1115" s="244">
        <v>203.73679948051861</v>
      </c>
      <c r="BD1115" s="229">
        <v>90640.217519679281</v>
      </c>
      <c r="BE1115" s="244">
        <v>35.220472515297651</v>
      </c>
      <c r="BF1115" s="146">
        <v>336851.70280967944</v>
      </c>
      <c r="BG1115" t="s">
        <v>390</v>
      </c>
      <c r="BH1115" s="146">
        <v>7.8789857950591217E-6</v>
      </c>
      <c r="BI1115" s="146">
        <v>2106402.1751967929</v>
      </c>
      <c r="BJ1115">
        <f t="shared" si="67"/>
        <v>0.15991803786387976</v>
      </c>
    </row>
    <row r="1116" spans="1:62" s="146" customFormat="1" x14ac:dyDescent="0.3">
      <c r="A1116">
        <v>-0.4</v>
      </c>
      <c r="B1116" s="146">
        <v>1000</v>
      </c>
      <c r="C1116" s="146">
        <v>25</v>
      </c>
      <c r="D1116" s="146">
        <v>400</v>
      </c>
      <c r="E1116" s="252">
        <v>19.893418247453493</v>
      </c>
      <c r="F1116" s="146">
        <v>1.2385636490068865</v>
      </c>
      <c r="G1116" s="146">
        <v>21.11049801478746</v>
      </c>
      <c r="H1116" s="146">
        <v>25.927927661174408</v>
      </c>
      <c r="J1116" s="146">
        <v>0.99999999919449278</v>
      </c>
      <c r="K1116" s="146">
        <v>0.36</v>
      </c>
      <c r="L1116" s="146">
        <v>132.27658451064417</v>
      </c>
      <c r="M1116" s="146">
        <v>48.790543467040877</v>
      </c>
      <c r="N1116" s="146">
        <v>5.7356104470438254</v>
      </c>
      <c r="Z1116" s="146">
        <v>0.22121360881581656</v>
      </c>
      <c r="AL1116" s="146">
        <v>3097.7228640556036</v>
      </c>
      <c r="AM1116" s="146">
        <v>5.867050830062364E-2</v>
      </c>
      <c r="AN1116" s="146">
        <v>0.1649804841384987</v>
      </c>
      <c r="AO1116" s="146">
        <v>279.41956679704458</v>
      </c>
      <c r="AP1116" s="146">
        <v>229.91764053369275</v>
      </c>
      <c r="AQ1116" s="146" t="s">
        <v>383</v>
      </c>
      <c r="AR1116" s="146">
        <f t="shared" si="65"/>
        <v>19.525354503836514</v>
      </c>
      <c r="AS1116" s="146">
        <f t="shared" si="66"/>
        <v>5.3287291164862003</v>
      </c>
      <c r="AT1116" s="146">
        <v>0.4</v>
      </c>
      <c r="AU1116">
        <v>0</v>
      </c>
      <c r="AV1116" s="146">
        <v>0.5</v>
      </c>
      <c r="AW1116" s="146">
        <v>3</v>
      </c>
      <c r="AX1116" s="146">
        <v>0.99999999900000003</v>
      </c>
      <c r="AY1116" s="146">
        <v>0.36</v>
      </c>
      <c r="AZ1116" s="209">
        <v>229.91764053369275</v>
      </c>
      <c r="BA1116" s="146">
        <v>0.99999999900000003</v>
      </c>
      <c r="BB1116" s="252">
        <v>27.198151455929089</v>
      </c>
      <c r="BC1116" s="244">
        <v>203.88776298036944</v>
      </c>
      <c r="BD1116" s="229">
        <v>90712.683483361427</v>
      </c>
      <c r="BE1116" s="244">
        <v>35.231414151840816</v>
      </c>
      <c r="BF1116" s="146">
        <v>336981.22117136017</v>
      </c>
      <c r="BG1116" t="s">
        <v>390</v>
      </c>
      <c r="BH1116" s="146">
        <v>7.8749950051308289E-6</v>
      </c>
      <c r="BI1116" s="146">
        <v>2107126.8348336145</v>
      </c>
      <c r="BJ1116">
        <f t="shared" si="67"/>
        <v>0.15992450743857062</v>
      </c>
    </row>
    <row r="1117" spans="1:62" s="146" customFormat="1" x14ac:dyDescent="0.3">
      <c r="A1117">
        <v>-0.5</v>
      </c>
      <c r="B1117" s="146">
        <v>1000</v>
      </c>
      <c r="C1117" s="146">
        <v>25</v>
      </c>
      <c r="D1117" s="146">
        <v>400</v>
      </c>
      <c r="E1117" s="252">
        <v>19.889551272379364</v>
      </c>
      <c r="F1117" s="146">
        <v>1.2480302721829344</v>
      </c>
      <c r="G1117" s="146">
        <v>21.111991580067887</v>
      </c>
      <c r="H1117" s="146">
        <v>25.925178586105602</v>
      </c>
      <c r="J1117" s="146">
        <v>0.99999999919451588</v>
      </c>
      <c r="K1117" s="146">
        <v>0.36</v>
      </c>
      <c r="L1117" s="146">
        <v>132.3704561994011</v>
      </c>
      <c r="M1117" s="146">
        <v>48.825168270270893</v>
      </c>
      <c r="N1117" s="146">
        <v>5.7364147321785808</v>
      </c>
      <c r="Z1117" s="146">
        <v>0.22126808936440528</v>
      </c>
      <c r="AL1117" s="146">
        <v>3074.1697811319646</v>
      </c>
      <c r="AM1117" s="146">
        <v>5.9114757954015877E-2</v>
      </c>
      <c r="AN1117" s="146">
        <v>0.13760082395087564</v>
      </c>
      <c r="AO1117" s="146">
        <v>255.45470803663167</v>
      </c>
      <c r="AP1117" s="146">
        <v>205.96241504267496</v>
      </c>
      <c r="AQ1117" t="s">
        <v>383</v>
      </c>
      <c r="AR1117" s="146">
        <f t="shared" si="65"/>
        <v>19.525354503836514</v>
      </c>
      <c r="AS1117" s="146">
        <f t="shared" si="66"/>
        <v>5.3287291164862003</v>
      </c>
      <c r="AT1117" s="146">
        <v>0.4</v>
      </c>
      <c r="AU1117">
        <v>0</v>
      </c>
      <c r="AV1117" s="146">
        <v>0.5</v>
      </c>
      <c r="AW1117" s="146">
        <v>3</v>
      </c>
      <c r="AX1117" s="146">
        <v>0.99999999900000003</v>
      </c>
      <c r="AY1117" s="146">
        <v>0.36</v>
      </c>
      <c r="AZ1117" s="209">
        <v>205.96241504267496</v>
      </c>
      <c r="BA1117" s="146">
        <v>0.99999999900000003</v>
      </c>
      <c r="BB1117" s="252">
        <v>27.246396558847323</v>
      </c>
      <c r="BC1117" s="244">
        <v>204.11883529155574</v>
      </c>
      <c r="BD1117" s="229">
        <v>90825.654203794678</v>
      </c>
      <c r="BE1117" s="244">
        <v>35.251233347265853</v>
      </c>
      <c r="BF1117" s="146">
        <v>337192.70663663285</v>
      </c>
      <c r="BG1117" t="s">
        <v>390</v>
      </c>
      <c r="BH1117" s="146">
        <v>7.8689446679965576E-6</v>
      </c>
      <c r="BI1117" s="146">
        <v>2108256.5420379466</v>
      </c>
      <c r="BJ1117">
        <f t="shared" si="67"/>
        <v>0.15993912501307145</v>
      </c>
    </row>
    <row r="1118" spans="1:62" s="146" customFormat="1" x14ac:dyDescent="0.3">
      <c r="A1118">
        <v>-0.6</v>
      </c>
      <c r="B1118" s="146">
        <v>1000</v>
      </c>
      <c r="C1118" s="146">
        <v>25</v>
      </c>
      <c r="D1118" s="146">
        <v>400</v>
      </c>
      <c r="E1118" s="252">
        <v>19.884333557029493</v>
      </c>
      <c r="F1118" s="146">
        <v>1.2640736585782655</v>
      </c>
      <c r="G1118" s="146">
        <v>21.115954201487199</v>
      </c>
      <c r="H1118" s="146">
        <v>25.914455484835461</v>
      </c>
      <c r="J1118" s="146">
        <v>0.99999999919398075</v>
      </c>
      <c r="K1118" s="146">
        <v>0.36</v>
      </c>
      <c r="L1118" s="146">
        <v>132.54039014722215</v>
      </c>
      <c r="M1118" s="146">
        <v>48.887848824795057</v>
      </c>
      <c r="N1118" s="146">
        <v>5.7303300236901507</v>
      </c>
      <c r="Z1118" s="146">
        <v>0.22112484775315489</v>
      </c>
      <c r="AL1118" s="146">
        <v>3035.3700277233124</v>
      </c>
      <c r="AM1118" s="146">
        <v>5.9863440056582271E-2</v>
      </c>
      <c r="AN1118" s="146">
        <v>0.11027514751288969</v>
      </c>
      <c r="AO1118" s="146">
        <v>219.68436220223347</v>
      </c>
      <c r="AP1118" s="146">
        <v>170.20501587823762</v>
      </c>
      <c r="AQ1118" s="146" t="s">
        <v>383</v>
      </c>
      <c r="AR1118" s="146">
        <f t="shared" si="65"/>
        <v>19.525354503836514</v>
      </c>
      <c r="AS1118" s="146">
        <f t="shared" si="66"/>
        <v>5.3287291164862003</v>
      </c>
      <c r="AT1118" s="146">
        <v>0.4</v>
      </c>
      <c r="AU1118">
        <v>0</v>
      </c>
      <c r="AV1118" s="146">
        <v>0.5</v>
      </c>
      <c r="AW1118" s="146">
        <v>3</v>
      </c>
      <c r="AX1118" s="146">
        <v>0.99999999899999992</v>
      </c>
      <c r="AY1118" s="146">
        <v>0.36</v>
      </c>
      <c r="AZ1118" s="209">
        <v>170.20501587823762</v>
      </c>
      <c r="BA1118" s="146">
        <v>0.99999999899999992</v>
      </c>
      <c r="BB1118" s="252">
        <v>27.329510611412619</v>
      </c>
      <c r="BC1118" s="244">
        <v>204.5377762925184</v>
      </c>
      <c r="BD1118" s="229">
        <v>91036.213795987947</v>
      </c>
      <c r="BE1118" s="244">
        <v>35.295749774910057</v>
      </c>
      <c r="BF1118" s="146">
        <v>337626.40606368706</v>
      </c>
      <c r="BG1118" t="s">
        <v>390</v>
      </c>
      <c r="BH1118" s="146">
        <v>7.8583606551972504E-6</v>
      </c>
      <c r="BI1118" s="146">
        <v>2110362.1379598794</v>
      </c>
      <c r="BJ1118">
        <f t="shared" si="67"/>
        <v>0.15998505658847531</v>
      </c>
    </row>
    <row r="1119" spans="1:62" s="146" customFormat="1" x14ac:dyDescent="0.3">
      <c r="A1119">
        <v>-0.7</v>
      </c>
      <c r="B1119" s="146">
        <v>1000</v>
      </c>
      <c r="C1119" s="146">
        <v>25</v>
      </c>
      <c r="D1119" s="146">
        <v>400</v>
      </c>
      <c r="E1119" s="252">
        <v>19.882358685442373</v>
      </c>
      <c r="F1119" s="146">
        <v>1.3011927174357665</v>
      </c>
      <c r="G1119" s="146">
        <v>21.135926076560029</v>
      </c>
      <c r="H1119" s="146">
        <v>25.863807193533862</v>
      </c>
      <c r="J1119" s="146">
        <v>0.99999999918951299</v>
      </c>
      <c r="K1119" s="146">
        <v>0.36</v>
      </c>
      <c r="L1119" s="146">
        <v>133.02216060948871</v>
      </c>
      <c r="M1119" s="146">
        <v>49.065551044483549</v>
      </c>
      <c r="N1119" s="146">
        <v>5.6799629939093492</v>
      </c>
      <c r="Z1119" s="146">
        <v>0.21961047541869166</v>
      </c>
      <c r="AL1119" s="146">
        <v>2951.5484003910078</v>
      </c>
      <c r="AM1119" s="146">
        <v>6.1563080449964447E-2</v>
      </c>
      <c r="AN1119" s="146">
        <v>8.3204162777498439E-2</v>
      </c>
      <c r="AO1119" s="146">
        <v>161.04129863536929</v>
      </c>
      <c r="AP1119" s="146">
        <v>111.56690343633269</v>
      </c>
      <c r="AQ1119" t="s">
        <v>383</v>
      </c>
      <c r="AR1119" s="146">
        <f t="shared" si="65"/>
        <v>19.525354503836514</v>
      </c>
      <c r="AS1119" s="146">
        <f t="shared" si="66"/>
        <v>5.3287291164862003</v>
      </c>
      <c r="AT1119" s="146">
        <v>0.4</v>
      </c>
      <c r="AU1119">
        <v>0</v>
      </c>
      <c r="AV1119" s="146">
        <v>0.5</v>
      </c>
      <c r="AW1119" s="146">
        <v>3</v>
      </c>
      <c r="AX1119" s="146">
        <v>0.99999999899999992</v>
      </c>
      <c r="AY1119" s="146">
        <v>0.36</v>
      </c>
      <c r="AZ1119" s="209">
        <v>111.56690343633269</v>
      </c>
      <c r="BA1119" s="146">
        <v>0.99999999899999992</v>
      </c>
      <c r="BB1119" s="252">
        <v>27.53195963419995</v>
      </c>
      <c r="BC1119" s="244">
        <v>205.72997106358676</v>
      </c>
      <c r="BD1119" s="229">
        <v>91659.702534885917</v>
      </c>
      <c r="BE1119" s="244">
        <v>35.458441896321716</v>
      </c>
      <c r="BF1119" s="146">
        <v>339180.05141981546</v>
      </c>
      <c r="BG1119" t="s">
        <v>390</v>
      </c>
      <c r="BH1119" s="146">
        <v>7.8317040369965128E-6</v>
      </c>
      <c r="BI1119" s="146">
        <v>2116597.0253488589</v>
      </c>
      <c r="BJ1119">
        <f t="shared" si="67"/>
        <v>0.16024781635697119</v>
      </c>
    </row>
    <row r="1120" spans="1:62" s="146" customFormat="1" x14ac:dyDescent="0.3">
      <c r="A1120">
        <v>-0.8</v>
      </c>
      <c r="B1120" s="146">
        <v>1000</v>
      </c>
      <c r="C1120" s="146">
        <v>25</v>
      </c>
      <c r="D1120" s="146">
        <v>400</v>
      </c>
      <c r="E1120" s="252">
        <v>20.855055212202167</v>
      </c>
      <c r="F1120" s="146">
        <v>1.7381340917006562</v>
      </c>
      <c r="G1120" s="146">
        <v>22.460420755068267</v>
      </c>
      <c r="H1120" s="146">
        <v>25.995016232573839</v>
      </c>
      <c r="J1120" s="146">
        <v>0.99999999903415493</v>
      </c>
      <c r="K1120" s="146">
        <v>0.36</v>
      </c>
      <c r="L1120" s="146">
        <v>150.85143393286796</v>
      </c>
      <c r="M1120" s="146">
        <v>55.641922352287366</v>
      </c>
      <c r="N1120" s="146">
        <v>4.7718117708666554</v>
      </c>
      <c r="Z1120" s="146">
        <v>0.18356640858285722</v>
      </c>
      <c r="AL1120" s="146">
        <v>2409.16437786295</v>
      </c>
      <c r="AM1120" s="146">
        <v>7.7386532988632489E-2</v>
      </c>
      <c r="AN1120" s="146">
        <v>6.4199684831631035E-2</v>
      </c>
      <c r="AO1120" s="146">
        <v>75.153308510839736</v>
      </c>
      <c r="AP1120" s="146">
        <v>23.25849242962466</v>
      </c>
      <c r="AQ1120" s="146" t="s">
        <v>383</v>
      </c>
      <c r="AR1120" s="146">
        <f t="shared" si="65"/>
        <v>19.525354503836514</v>
      </c>
      <c r="AS1120" s="146">
        <f t="shared" si="66"/>
        <v>5.3287291164862003</v>
      </c>
      <c r="AT1120" s="146">
        <v>0.4</v>
      </c>
      <c r="AU1120">
        <v>0</v>
      </c>
      <c r="AV1120" s="146">
        <v>0.5</v>
      </c>
      <c r="AW1120" s="146">
        <v>3</v>
      </c>
      <c r="AX1120" s="146">
        <v>0.99999999900000003</v>
      </c>
      <c r="AY1120" s="146">
        <v>0.36</v>
      </c>
      <c r="AZ1120" s="209">
        <v>23.25849242962466</v>
      </c>
      <c r="BA1120" s="146">
        <v>0.99999999900000003</v>
      </c>
      <c r="BB1120" s="252">
        <v>30.915988926468916</v>
      </c>
      <c r="BC1120" s="244">
        <v>255.29501617213631</v>
      </c>
      <c r="BD1120" s="229">
        <v>116045.17273691579</v>
      </c>
      <c r="BE1120" s="244">
        <v>39.224382634171562</v>
      </c>
      <c r="BF1120" s="146">
        <v>428162.78139297431</v>
      </c>
      <c r="BG1120" t="s">
        <v>390</v>
      </c>
      <c r="BH1120" s="146">
        <v>7.2069921996452841E-6</v>
      </c>
      <c r="BI1120" s="146">
        <v>2360451.7273691576</v>
      </c>
      <c r="BJ1120">
        <f t="shared" si="67"/>
        <v>0.18139018749185915</v>
      </c>
    </row>
    <row r="1121" spans="1:62" s="146" customFormat="1" x14ac:dyDescent="0.3">
      <c r="A1121">
        <v>-0.85</v>
      </c>
      <c r="B1121" s="146">
        <v>1000</v>
      </c>
      <c r="C1121" s="146">
        <v>25</v>
      </c>
      <c r="D1121" s="146">
        <v>400</v>
      </c>
      <c r="E1121" s="252">
        <v>14.129910907005984</v>
      </c>
      <c r="F1121" s="146">
        <v>1.0849191885266376</v>
      </c>
      <c r="G1121" s="146">
        <v>15.06963088394183</v>
      </c>
      <c r="H1121" s="146">
        <v>18.527809458721592</v>
      </c>
      <c r="J1121" s="146">
        <v>0.99999999916145932</v>
      </c>
      <c r="K1121" s="146">
        <v>0.36</v>
      </c>
      <c r="L1121" s="146">
        <v>98.945726952979001</v>
      </c>
      <c r="M1121" s="146">
        <v>36.496374695770946</v>
      </c>
      <c r="N1121" s="146">
        <v>4.1992683606152141</v>
      </c>
      <c r="Z1121" s="146">
        <v>0.22664678034231905</v>
      </c>
      <c r="AL1121" s="146">
        <v>2153.7567947972352</v>
      </c>
      <c r="AM1121" s="146">
        <v>7.1993746687102039E-2</v>
      </c>
      <c r="AN1121" s="146">
        <v>4.5475165189849974E-2</v>
      </c>
      <c r="AO1121" s="146">
        <v>89.282911936298603</v>
      </c>
      <c r="AP1121" s="146">
        <v>54.1226144896278</v>
      </c>
      <c r="AQ1121" t="s">
        <v>383</v>
      </c>
      <c r="AR1121" s="146">
        <f t="shared" si="65"/>
        <v>19.525354503836514</v>
      </c>
      <c r="AS1121" s="146">
        <f t="shared" si="66"/>
        <v>5.3287291164862003</v>
      </c>
      <c r="AT1121" s="146">
        <v>0.4</v>
      </c>
      <c r="AU1121">
        <v>0</v>
      </c>
      <c r="AV1121" s="146">
        <v>0.5</v>
      </c>
      <c r="AW1121" s="146">
        <v>3</v>
      </c>
      <c r="AX1121" s="146">
        <v>0.99999999900000003</v>
      </c>
      <c r="AY1121" s="146">
        <v>0.36</v>
      </c>
      <c r="AZ1121" s="209">
        <v>54.1226144896278</v>
      </c>
      <c r="BA1121" s="146">
        <v>0.99999999900000003</v>
      </c>
      <c r="BB1121" s="252">
        <v>20.775724340747335</v>
      </c>
      <c r="BC1121" s="244">
        <v>134.34341647414269</v>
      </c>
      <c r="BD1121" s="229">
        <v>55097.969383269061</v>
      </c>
      <c r="BE1121" s="244">
        <v>24.560736594868423</v>
      </c>
      <c r="BF1121" s="146">
        <v>640554.8773714914</v>
      </c>
      <c r="BG1121" t="s">
        <v>390</v>
      </c>
      <c r="BH1121" s="146">
        <v>5.5833097894971256E-6</v>
      </c>
      <c r="BI1121" s="146">
        <v>1750979.6938326906</v>
      </c>
      <c r="BJ1121">
        <f t="shared" si="67"/>
        <v>0.36582655962696597</v>
      </c>
    </row>
    <row r="1122" spans="1:62" s="256" customFormat="1" ht="15" thickBot="1" x14ac:dyDescent="0.35">
      <c r="A1122" s="256">
        <v>-0.87</v>
      </c>
      <c r="B1122" s="256">
        <v>1000</v>
      </c>
      <c r="C1122" s="256">
        <v>25</v>
      </c>
      <c r="D1122" s="256">
        <v>400</v>
      </c>
      <c r="E1122" s="257">
        <v>4.4297696790273546</v>
      </c>
      <c r="F1122" s="256">
        <v>0.4987687687363952</v>
      </c>
      <c r="G1122" s="256">
        <v>4.7911429647936847</v>
      </c>
      <c r="H1122" s="256">
        <v>6.073221711640941</v>
      </c>
      <c r="J1122" s="256">
        <v>0.99999999929886763</v>
      </c>
      <c r="K1122" s="256">
        <v>0.36</v>
      </c>
      <c r="L1122" s="256">
        <v>31.26176646019017</v>
      </c>
      <c r="M1122" s="256">
        <v>11.530979432037357</v>
      </c>
      <c r="N1122" s="256">
        <v>1.5874575832836184</v>
      </c>
      <c r="Z1122" s="256">
        <v>0.26138640389841766</v>
      </c>
      <c r="AL1122" s="256">
        <v>1059.1446146530864</v>
      </c>
      <c r="AM1122" s="256">
        <v>0.10410225125851011</v>
      </c>
      <c r="AN1122" s="256">
        <v>3.5850789378304285E-2</v>
      </c>
      <c r="AO1122" s="256">
        <v>276.43871290298267</v>
      </c>
      <c r="AP1122" s="256">
        <v>265.41582301127733</v>
      </c>
      <c r="AQ1122" s="255" t="s">
        <v>383</v>
      </c>
      <c r="AR1122" s="256">
        <f t="shared" si="65"/>
        <v>19.525354503836514</v>
      </c>
      <c r="AS1122" s="256">
        <f t="shared" si="66"/>
        <v>5.3287291164862003</v>
      </c>
      <c r="AT1122" s="256">
        <v>0.4</v>
      </c>
      <c r="AU1122" s="254">
        <v>0</v>
      </c>
      <c r="AV1122" s="256">
        <v>0.5</v>
      </c>
      <c r="AW1122" s="256">
        <v>3</v>
      </c>
      <c r="AX1122" s="256">
        <v>0.99999999900000003</v>
      </c>
      <c r="AY1122" s="256">
        <v>0.36</v>
      </c>
      <c r="AZ1122" s="258">
        <v>265.41582301127733</v>
      </c>
      <c r="BA1122" s="256">
        <v>0.99999999900000003</v>
      </c>
      <c r="BB1122" s="257">
        <v>7.889641877678609</v>
      </c>
      <c r="BC1122" s="259">
        <v>35.936012836728615</v>
      </c>
      <c r="BD1122" s="258">
        <v>12609.838918296909</v>
      </c>
      <c r="BE1122" s="259">
        <v>8.8595477225242227</v>
      </c>
      <c r="BF1122" s="256">
        <v>896586.68054352573</v>
      </c>
      <c r="BG1122" s="254" t="s">
        <v>390</v>
      </c>
      <c r="BH1122" s="256">
        <v>1.6047372594867797E-6</v>
      </c>
      <c r="BI1122" s="256">
        <v>1326098.389182969</v>
      </c>
      <c r="BJ1122">
        <f t="shared" si="67"/>
        <v>0.676108717013017</v>
      </c>
    </row>
    <row r="1123" spans="1:62" x14ac:dyDescent="0.3">
      <c r="A1123">
        <v>-0.1</v>
      </c>
      <c r="B1123" s="146">
        <v>100</v>
      </c>
      <c r="C1123" s="146">
        <v>25</v>
      </c>
      <c r="D1123" s="146">
        <v>400</v>
      </c>
      <c r="E1123" s="249">
        <v>3.1671479173373958</v>
      </c>
      <c r="F1123">
        <v>0.7574699352233446</v>
      </c>
      <c r="G1123">
        <v>3.7627507365709203</v>
      </c>
      <c r="H1123">
        <v>1.8703186309514674</v>
      </c>
      <c r="J1123">
        <v>0.30365981538808962</v>
      </c>
      <c r="K1123">
        <v>0.18</v>
      </c>
      <c r="L1123">
        <v>18.818080642042073</v>
      </c>
      <c r="M1123">
        <v>9.3699986599379628</v>
      </c>
      <c r="N1123">
        <v>0.62209181585759143</v>
      </c>
      <c r="Z1123">
        <v>0.33261274606515639</v>
      </c>
      <c r="AL1123">
        <v>687.39062387586739</v>
      </c>
      <c r="AM1123">
        <v>0.20130749769346776</v>
      </c>
      <c r="AN1123">
        <v>0.20077909435785368</v>
      </c>
      <c r="AO1123">
        <v>384.22570871999</v>
      </c>
      <c r="AP1123">
        <v>376.34471594707179</v>
      </c>
      <c r="AQ1123" t="s">
        <v>384</v>
      </c>
      <c r="AR1123">
        <f t="shared" ref="AR1123:AR1162" si="68">0.3*Jsat_t</f>
        <v>9.762677251918257</v>
      </c>
      <c r="AS1123">
        <f t="shared" ref="AS1123:AS1162" si="69">0.1*Jatp</f>
        <v>2.6643645582431001</v>
      </c>
      <c r="AT1123">
        <v>0.2</v>
      </c>
      <c r="AU1123">
        <v>0</v>
      </c>
      <c r="AV1123">
        <v>0.3</v>
      </c>
      <c r="AW1123">
        <v>3</v>
      </c>
      <c r="AX1123">
        <v>0.19718335243784132</v>
      </c>
      <c r="AY1123">
        <v>0.18</v>
      </c>
      <c r="AZ1123" s="209">
        <v>376.34471594707179</v>
      </c>
      <c r="BA1123">
        <v>0.19718335243784132</v>
      </c>
      <c r="BB1123" s="249">
        <v>8.98885039070624</v>
      </c>
      <c r="BC1123" s="243">
        <v>69.931446239377877</v>
      </c>
      <c r="BD1123" s="209">
        <v>25544.583176270626</v>
      </c>
      <c r="BE1123" s="243">
        <v>16.815694409363005</v>
      </c>
      <c r="BF1123">
        <v>17838.355435836682</v>
      </c>
      <c r="BG1123" t="s">
        <v>387</v>
      </c>
      <c r="BH1123">
        <v>1.9440692698086013E-6</v>
      </c>
      <c r="BI1123">
        <v>1455445.8317627062</v>
      </c>
      <c r="BJ1123">
        <f t="shared" si="67"/>
        <v>1.2256282608767691E-2</v>
      </c>
    </row>
    <row r="1124" spans="1:62" x14ac:dyDescent="0.3">
      <c r="A1124">
        <v>-0.1</v>
      </c>
      <c r="B1124" s="146">
        <v>200</v>
      </c>
      <c r="C1124" s="146">
        <v>25</v>
      </c>
      <c r="D1124" s="146">
        <v>400</v>
      </c>
      <c r="E1124" s="252">
        <v>5.8602348644383957</v>
      </c>
      <c r="F1124" s="146">
        <v>1.356754775547524</v>
      </c>
      <c r="G1124" s="146">
        <v>6.8586271407311905</v>
      </c>
      <c r="H1124" s="146">
        <v>3.456661303490586</v>
      </c>
      <c r="I1124" s="146"/>
      <c r="J1124" s="146">
        <v>0.30174177321214357</v>
      </c>
      <c r="K1124" s="146">
        <v>0.18</v>
      </c>
      <c r="L1124" s="146">
        <v>34.847835594722277</v>
      </c>
      <c r="M1124" s="146">
        <v>17.351619383264207</v>
      </c>
      <c r="N1124" s="146">
        <v>0.97431370047403387</v>
      </c>
      <c r="O1124" s="146"/>
      <c r="P1124" s="146"/>
      <c r="Q1124" s="146"/>
      <c r="R1124" s="146"/>
      <c r="S1124" s="146"/>
      <c r="T1124" s="146"/>
      <c r="U1124" s="146"/>
      <c r="V1124" s="146"/>
      <c r="W1124" s="146"/>
      <c r="X1124" s="146"/>
      <c r="Y1124" s="146"/>
      <c r="Z1124" s="146">
        <v>0.2818655387179988</v>
      </c>
      <c r="AA1124" s="146"/>
      <c r="AB1124" s="146"/>
      <c r="AC1124" s="146"/>
      <c r="AD1124" s="146"/>
      <c r="AE1124" s="146"/>
      <c r="AF1124" s="146"/>
      <c r="AG1124" s="146"/>
      <c r="AH1124" s="146"/>
      <c r="AI1124" s="146"/>
      <c r="AJ1124" s="146"/>
      <c r="AK1124" s="146"/>
      <c r="AL1124" s="146">
        <v>846.5256118951429</v>
      </c>
      <c r="AM1124" s="146">
        <v>0.19781725230260613</v>
      </c>
      <c r="AN1124" s="146">
        <v>0.22497076084760562</v>
      </c>
      <c r="AO1124" s="146">
        <v>373.95112661592458</v>
      </c>
      <c r="AP1124" s="146">
        <v>359.36876165812606</v>
      </c>
      <c r="AQ1124" t="s">
        <v>384</v>
      </c>
      <c r="AR1124">
        <f t="shared" si="68"/>
        <v>9.762677251918257</v>
      </c>
      <c r="AS1124">
        <f t="shared" si="69"/>
        <v>2.6643645582431001</v>
      </c>
      <c r="AT1124">
        <v>0.2</v>
      </c>
      <c r="AU1124">
        <v>0</v>
      </c>
      <c r="AV1124">
        <v>0.3</v>
      </c>
      <c r="AW1124" s="146">
        <v>3</v>
      </c>
      <c r="AX1124" s="146">
        <v>0.20600668165802841</v>
      </c>
      <c r="AY1124">
        <v>0.18</v>
      </c>
      <c r="AZ1124" s="209">
        <v>359.36876165812606</v>
      </c>
      <c r="BA1124">
        <v>0.20600668165802841</v>
      </c>
      <c r="BB1124" s="249">
        <v>16.155877255580037</v>
      </c>
      <c r="BC1124" s="243">
        <v>101.8900696422282</v>
      </c>
      <c r="BD1124" s="209">
        <v>41061.241519908705</v>
      </c>
      <c r="BE1124" s="243">
        <v>26.115885765385034</v>
      </c>
      <c r="BF1124">
        <v>49704.496986929749</v>
      </c>
      <c r="BG1124" t="s">
        <v>387</v>
      </c>
      <c r="BH1124">
        <v>3.3156176448422503E-6</v>
      </c>
      <c r="BI1124">
        <v>1610612.415199087</v>
      </c>
      <c r="BJ1124">
        <f t="shared" si="67"/>
        <v>3.0860619549356819E-2</v>
      </c>
    </row>
    <row r="1125" spans="1:62" x14ac:dyDescent="0.3">
      <c r="A1125">
        <v>-0.1</v>
      </c>
      <c r="B1125" s="146">
        <v>300</v>
      </c>
      <c r="C1125" s="146">
        <v>25</v>
      </c>
      <c r="D1125" s="146">
        <v>400</v>
      </c>
      <c r="E1125" s="252">
        <v>8.1736954362529115</v>
      </c>
      <c r="F1125" s="146">
        <v>1.8821976657818138</v>
      </c>
      <c r="G1125" s="146">
        <v>9.5108584047560853</v>
      </c>
      <c r="H1125" s="146">
        <v>4.8535476213593602</v>
      </c>
      <c r="I1125" s="146"/>
      <c r="J1125" s="146">
        <v>0.30172660520826755</v>
      </c>
      <c r="K1125" s="146">
        <v>0.18</v>
      </c>
      <c r="L1125" s="146">
        <v>49.002892369378529</v>
      </c>
      <c r="M1125" s="146">
        <v>24.399780432885574</v>
      </c>
      <c r="N1125" s="146">
        <v>1.2299667946805171</v>
      </c>
      <c r="O1125" s="146"/>
      <c r="P1125" s="146"/>
      <c r="Q1125" s="146"/>
      <c r="R1125" s="146"/>
      <c r="S1125" s="146"/>
      <c r="T1125" s="146"/>
      <c r="U1125" s="146"/>
      <c r="V1125" s="146"/>
      <c r="W1125" s="146"/>
      <c r="X1125" s="146"/>
      <c r="Y1125" s="146"/>
      <c r="Z1125" s="146">
        <v>0.25341603516316863</v>
      </c>
      <c r="AA1125" s="146"/>
      <c r="AB1125" s="146"/>
      <c r="AC1125" s="146"/>
      <c r="AD1125" s="146"/>
      <c r="AE1125" s="146"/>
      <c r="AF1125" s="146"/>
      <c r="AG1125" s="146"/>
      <c r="AH1125" s="146"/>
      <c r="AI1125" s="146"/>
      <c r="AJ1125" s="146"/>
      <c r="AK1125" s="146"/>
      <c r="AL1125" s="146">
        <v>960.35191330611019</v>
      </c>
      <c r="AM1125" s="146">
        <v>0.1978998725120947</v>
      </c>
      <c r="AN1125" s="146">
        <v>0.23835295863510592</v>
      </c>
      <c r="AO1125" s="146">
        <v>365.70759816425857</v>
      </c>
      <c r="AP1125" s="146">
        <v>345.36851596585194</v>
      </c>
      <c r="AQ1125" t="s">
        <v>384</v>
      </c>
      <c r="AR1125">
        <f t="shared" si="68"/>
        <v>9.762677251918257</v>
      </c>
      <c r="AS1125">
        <f t="shared" si="69"/>
        <v>2.6643645582431001</v>
      </c>
      <c r="AT1125">
        <v>0.2</v>
      </c>
      <c r="AU1125">
        <v>0</v>
      </c>
      <c r="AV1125">
        <v>0.3</v>
      </c>
      <c r="AW1125" s="146">
        <v>3</v>
      </c>
      <c r="AX1125" s="146">
        <v>0.21194438453444547</v>
      </c>
      <c r="AY1125">
        <v>0.18</v>
      </c>
      <c r="AZ1125" s="209">
        <v>345.36851596585194</v>
      </c>
      <c r="BA1125">
        <v>0.21194438453444547</v>
      </c>
      <c r="BB1125" s="249">
        <v>22.33886698145675</v>
      </c>
      <c r="BC1125" s="243">
        <v>124.88262872339907</v>
      </c>
      <c r="BD1125" s="209">
        <v>53573.976072290039</v>
      </c>
      <c r="BE1125" s="243">
        <v>33.543025521508014</v>
      </c>
      <c r="BF1125">
        <v>86164.221162099231</v>
      </c>
      <c r="BG1125" t="s">
        <v>387</v>
      </c>
      <c r="BH1125">
        <v>4.2642777815119024E-6</v>
      </c>
      <c r="BI1125">
        <v>1735739.7607229003</v>
      </c>
      <c r="BJ1125">
        <f t="shared" si="67"/>
        <v>4.9641209536050258E-2</v>
      </c>
    </row>
    <row r="1126" spans="1:62" x14ac:dyDescent="0.3">
      <c r="A1126">
        <v>-0.1</v>
      </c>
      <c r="B1126" s="146">
        <v>400</v>
      </c>
      <c r="C1126" s="146">
        <v>25</v>
      </c>
      <c r="D1126" s="146">
        <v>400</v>
      </c>
      <c r="E1126" s="252">
        <v>10.189220956610253</v>
      </c>
      <c r="F1126" s="146">
        <v>2.3558056085289336</v>
      </c>
      <c r="G1126" s="146">
        <v>11.824752133959279</v>
      </c>
      <c r="H1126" s="146">
        <v>6.1023755517967766</v>
      </c>
      <c r="I1126" s="146"/>
      <c r="J1126" s="146">
        <v>0.30220321366088138</v>
      </c>
      <c r="K1126" s="146">
        <v>0.18</v>
      </c>
      <c r="L1126" s="146">
        <v>61.685793240063894</v>
      </c>
      <c r="M1126" s="146">
        <v>30.714917795882442</v>
      </c>
      <c r="N1126" s="146">
        <v>1.4313494386900443</v>
      </c>
      <c r="O1126" s="146"/>
      <c r="P1126" s="146"/>
      <c r="Q1126" s="146"/>
      <c r="R1126" s="146"/>
      <c r="S1126" s="146"/>
      <c r="T1126" s="146"/>
      <c r="U1126" s="146"/>
      <c r="V1126" s="146"/>
      <c r="W1126" s="146"/>
      <c r="X1126" s="146"/>
      <c r="Y1126" s="146"/>
      <c r="Z1126" s="146">
        <v>0.23455610467444918</v>
      </c>
      <c r="AA1126" s="146"/>
      <c r="AB1126" s="146"/>
      <c r="AC1126" s="146"/>
      <c r="AD1126" s="146"/>
      <c r="AE1126" s="146"/>
      <c r="AF1126" s="146"/>
      <c r="AG1126" s="146"/>
      <c r="AH1126" s="146"/>
      <c r="AI1126" s="146"/>
      <c r="AJ1126" s="146"/>
      <c r="AK1126" s="146"/>
      <c r="AL1126" s="146">
        <v>1049.1090272089857</v>
      </c>
      <c r="AM1126" s="146">
        <v>0.19922663763609391</v>
      </c>
      <c r="AN1126" s="146">
        <v>0.24724350545197582</v>
      </c>
      <c r="AO1126" s="146">
        <v>358.78872151572295</v>
      </c>
      <c r="AP1126" s="146">
        <v>333.43430786396419</v>
      </c>
      <c r="AQ1126" t="s">
        <v>384</v>
      </c>
      <c r="AR1126">
        <f t="shared" si="68"/>
        <v>9.762677251918257</v>
      </c>
      <c r="AS1126">
        <f t="shared" si="69"/>
        <v>2.6643645582431001</v>
      </c>
      <c r="AT1126">
        <v>0.2</v>
      </c>
      <c r="AU1126">
        <v>0</v>
      </c>
      <c r="AV1126">
        <v>0.3</v>
      </c>
      <c r="AW1126" s="146">
        <v>3</v>
      </c>
      <c r="AX1126" s="146">
        <v>0.21622528378258996</v>
      </c>
      <c r="AY1126">
        <v>0.18</v>
      </c>
      <c r="AZ1126" s="209">
        <v>333.43430786396419</v>
      </c>
      <c r="BA1126">
        <v>0.21622528378258996</v>
      </c>
      <c r="BB1126" s="249">
        <v>27.808844398741286</v>
      </c>
      <c r="BC1126" s="243">
        <v>143.18600556787291</v>
      </c>
      <c r="BD1126" s="209">
        <v>64259.774665982892</v>
      </c>
      <c r="BE1126" s="243">
        <v>39.865343665951535</v>
      </c>
      <c r="BF1126">
        <v>124336.16636135289</v>
      </c>
      <c r="BG1126" t="s">
        <v>387</v>
      </c>
      <c r="BH1126">
        <v>4.950756385478614E-6</v>
      </c>
      <c r="BI1126">
        <v>1842597.7466598288</v>
      </c>
      <c r="BJ1126">
        <f t="shared" si="67"/>
        <v>6.7478735707097989E-2</v>
      </c>
    </row>
    <row r="1127" spans="1:62" x14ac:dyDescent="0.3">
      <c r="A1127">
        <v>-0.1</v>
      </c>
      <c r="B1127" s="146">
        <v>600</v>
      </c>
      <c r="C1127" s="146">
        <v>25</v>
      </c>
      <c r="D1127" s="146">
        <v>400</v>
      </c>
      <c r="E1127" s="252">
        <v>13.518733239012173</v>
      </c>
      <c r="F1127" s="146">
        <v>3.1799627461387434</v>
      </c>
      <c r="G1127" s="146">
        <v>15.661938619445348</v>
      </c>
      <c r="H1127" s="146">
        <v>8.2422969767222707</v>
      </c>
      <c r="I1127" s="146"/>
      <c r="J1127" s="146">
        <v>0.30400863539487538</v>
      </c>
      <c r="K1127" s="146">
        <v>0.18</v>
      </c>
      <c r="L1127" s="146">
        <v>83.478473601069339</v>
      </c>
      <c r="M1127" s="146">
        <v>41.566044946590537</v>
      </c>
      <c r="N1127" s="146">
        <v>1.7318748535662669</v>
      </c>
      <c r="O1127" s="146"/>
      <c r="P1127" s="146"/>
      <c r="Q1127" s="146"/>
      <c r="R1127" s="146"/>
      <c r="S1127" s="146"/>
      <c r="T1127" s="146"/>
      <c r="U1127" s="146"/>
      <c r="V1127" s="146"/>
      <c r="W1127" s="146"/>
      <c r="X1127" s="146"/>
      <c r="Y1127" s="146"/>
      <c r="Z1127" s="146">
        <v>0.21012041406144344</v>
      </c>
      <c r="AA1127" s="146"/>
      <c r="AB1127" s="146"/>
      <c r="AC1127" s="146"/>
      <c r="AD1127" s="146"/>
      <c r="AE1127" s="146"/>
      <c r="AF1127" s="146"/>
      <c r="AG1127" s="146"/>
      <c r="AH1127" s="146"/>
      <c r="AI1127" s="146"/>
      <c r="AJ1127" s="146"/>
      <c r="AK1127" s="146"/>
      <c r="AL1127" s="146">
        <v>1180.0827249738429</v>
      </c>
      <c r="AM1127" s="146">
        <v>0.20303762027202726</v>
      </c>
      <c r="AN1127" s="146">
        <v>0.25890393214703106</v>
      </c>
      <c r="AO1127" s="146">
        <v>347.78475117428923</v>
      </c>
      <c r="AP1127" s="146">
        <v>314.1452981907097</v>
      </c>
      <c r="AQ1127" t="s">
        <v>384</v>
      </c>
      <c r="AR1127">
        <f t="shared" si="68"/>
        <v>9.762677251918257</v>
      </c>
      <c r="AS1127">
        <f t="shared" si="69"/>
        <v>2.6643645582431001</v>
      </c>
      <c r="AT1127">
        <v>0.2</v>
      </c>
      <c r="AU1127">
        <v>0</v>
      </c>
      <c r="AV1127">
        <v>0.3</v>
      </c>
      <c r="AW1127" s="146">
        <v>3</v>
      </c>
      <c r="AX1127" s="146">
        <v>0.22241771229217056</v>
      </c>
      <c r="AY1127">
        <v>0.18</v>
      </c>
      <c r="AZ1127" s="209">
        <v>314.1452981907097</v>
      </c>
      <c r="BA1127">
        <v>0.22241771229217056</v>
      </c>
      <c r="BB1127" s="249">
        <v>37.085329520377591</v>
      </c>
      <c r="BC1127" s="243">
        <v>171.11971643986766</v>
      </c>
      <c r="BD1127" s="209">
        <v>81674.12001812947</v>
      </c>
      <c r="BE1127" s="243">
        <v>50.169886505653629</v>
      </c>
      <c r="BF1127">
        <v>200326.56206546587</v>
      </c>
      <c r="BG1127" t="s">
        <v>387</v>
      </c>
      <c r="BH1127">
        <v>5.8554069382359515E-6</v>
      </c>
      <c r="BI1127">
        <v>2016741.2001812947</v>
      </c>
      <c r="BJ1127">
        <f t="shared" si="67"/>
        <v>9.9331814140286093E-2</v>
      </c>
    </row>
    <row r="1128" spans="1:62" x14ac:dyDescent="0.3">
      <c r="A1128">
        <v>-0.1</v>
      </c>
      <c r="B1128" s="146">
        <v>800</v>
      </c>
      <c r="C1128" s="146">
        <v>25</v>
      </c>
      <c r="D1128" s="146">
        <v>400</v>
      </c>
      <c r="E1128" s="252">
        <v>16.117111599761031</v>
      </c>
      <c r="F1128" s="146">
        <v>3.8653795771605961</v>
      </c>
      <c r="G1128" s="146">
        <v>18.673443748340638</v>
      </c>
      <c r="H1128" s="146">
        <v>9.9905740797955431</v>
      </c>
      <c r="I1128" s="146"/>
      <c r="J1128" s="146">
        <v>0.30649513902205833</v>
      </c>
      <c r="K1128" s="146">
        <v>0.18</v>
      </c>
      <c r="L1128" s="146">
        <v>101.34171808972123</v>
      </c>
      <c r="M1128" s="146">
        <v>50.460606517703518</v>
      </c>
      <c r="N1128" s="146">
        <v>1.9423508485832031</v>
      </c>
      <c r="O1128" s="146"/>
      <c r="P1128" s="146"/>
      <c r="Q1128" s="146"/>
      <c r="R1128" s="146"/>
      <c r="S1128" s="146"/>
      <c r="T1128" s="146"/>
      <c r="U1128" s="146"/>
      <c r="V1128" s="146"/>
      <c r="W1128" s="146"/>
      <c r="X1128" s="146"/>
      <c r="Y1128" s="146"/>
      <c r="Z1128" s="146">
        <v>0.19441834203615185</v>
      </c>
      <c r="AA1128" s="146"/>
      <c r="AB1128" s="146"/>
      <c r="AC1128" s="146"/>
      <c r="AD1128" s="146"/>
      <c r="AE1128" s="146"/>
      <c r="AF1128" s="146"/>
      <c r="AG1128" s="146"/>
      <c r="AH1128" s="146"/>
      <c r="AI1128" s="146"/>
      <c r="AJ1128" s="146"/>
      <c r="AK1128" s="146"/>
      <c r="AL1128" s="146">
        <v>1270.5858723812523</v>
      </c>
      <c r="AM1128" s="146">
        <v>0.20699875337692233</v>
      </c>
      <c r="AN1128" s="146">
        <v>0.26646710161643</v>
      </c>
      <c r="AO1128" s="146">
        <v>339.51556682985563</v>
      </c>
      <c r="AP1128" s="146">
        <v>299.41044808965029</v>
      </c>
      <c r="AQ1128" t="s">
        <v>384</v>
      </c>
      <c r="AR1128">
        <f t="shared" si="68"/>
        <v>9.762677251918257</v>
      </c>
      <c r="AS1128">
        <f t="shared" si="69"/>
        <v>2.6643645582431001</v>
      </c>
      <c r="AT1128">
        <v>0.2</v>
      </c>
      <c r="AU1128">
        <v>0</v>
      </c>
      <c r="AV1128">
        <v>0.3</v>
      </c>
      <c r="AW1128" s="146">
        <v>3</v>
      </c>
      <c r="AX1128" s="146">
        <v>0.2270807642988539</v>
      </c>
      <c r="AY1128">
        <v>0.18</v>
      </c>
      <c r="AZ1128" s="209">
        <v>299.41044808965029</v>
      </c>
      <c r="BA1128">
        <v>0.2270807642988539</v>
      </c>
      <c r="BB1128" s="249">
        <v>44.571951485058499</v>
      </c>
      <c r="BC1128" s="243">
        <v>191.30150733443472</v>
      </c>
      <c r="BD1128" s="209">
        <v>95046.380743026981</v>
      </c>
      <c r="BE1128" s="243">
        <v>58.155436665288377</v>
      </c>
      <c r="BF1128">
        <v>271085.69816414098</v>
      </c>
      <c r="BG1128" t="s">
        <v>387</v>
      </c>
      <c r="BH1128">
        <v>6.4034598523281476E-6</v>
      </c>
      <c r="BI1128">
        <v>2150463.8074302697</v>
      </c>
      <c r="BJ1128">
        <f t="shared" si="67"/>
        <v>0.12605917720051241</v>
      </c>
    </row>
    <row r="1129" spans="1:62" x14ac:dyDescent="0.3">
      <c r="A1129">
        <v>-0.1</v>
      </c>
      <c r="B1129" s="146">
        <v>1000</v>
      </c>
      <c r="C1129" s="146">
        <v>25</v>
      </c>
      <c r="D1129" s="146">
        <v>400</v>
      </c>
      <c r="E1129" s="252">
        <v>18.159157159387401</v>
      </c>
      <c r="F1129" s="146">
        <v>4.4283566960590219</v>
      </c>
      <c r="G1129" s="146">
        <v>21.049946628580706</v>
      </c>
      <c r="H1129" s="146">
        <v>11.417454696133248</v>
      </c>
      <c r="I1129" s="146"/>
      <c r="J1129" s="146">
        <v>0.30639223243649727</v>
      </c>
      <c r="K1129" s="146">
        <v>0.18</v>
      </c>
      <c r="L1129" s="146">
        <v>115.96542610427396</v>
      </c>
      <c r="M1129" s="146">
        <v>57.742120881796168</v>
      </c>
      <c r="N1129" s="146">
        <v>2.1275861537286112</v>
      </c>
      <c r="O1129" s="146"/>
      <c r="P1129" s="146"/>
      <c r="Q1129" s="146"/>
      <c r="R1129" s="146"/>
      <c r="S1129" s="146"/>
      <c r="T1129" s="146"/>
      <c r="U1129" s="146"/>
      <c r="V1129" s="146"/>
      <c r="W1129" s="146"/>
      <c r="X1129" s="146"/>
      <c r="Y1129" s="146"/>
      <c r="Z1129" s="146">
        <v>0.18634504890561651</v>
      </c>
      <c r="AA1129" s="146"/>
      <c r="AB1129" s="146"/>
      <c r="AC1129" s="146"/>
      <c r="AD1129" s="146"/>
      <c r="AE1129" s="146"/>
      <c r="AF1129" s="146"/>
      <c r="AG1129" s="146"/>
      <c r="AH1129" s="146"/>
      <c r="AI1129" s="146"/>
      <c r="AJ1129" s="146"/>
      <c r="AK1129" s="146"/>
      <c r="AL1129" s="146">
        <v>1351.8160380082952</v>
      </c>
      <c r="AM1129" s="146">
        <v>0.21037377311191807</v>
      </c>
      <c r="AN1129" s="146">
        <v>0.27188205323744069</v>
      </c>
      <c r="AO1129" s="146">
        <v>333.20943054844224</v>
      </c>
      <c r="AP1129" s="146">
        <v>288.0229611439903</v>
      </c>
      <c r="AQ1129" t="s">
        <v>384</v>
      </c>
      <c r="AR1129">
        <f t="shared" si="68"/>
        <v>9.762677251918257</v>
      </c>
      <c r="AS1129">
        <f t="shared" si="69"/>
        <v>2.6643645582431001</v>
      </c>
      <c r="AT1129">
        <v>0.2</v>
      </c>
      <c r="AU1129">
        <v>0</v>
      </c>
      <c r="AV1129">
        <v>0.3</v>
      </c>
      <c r="AW1129" s="146">
        <v>3</v>
      </c>
      <c r="AX1129" s="146">
        <v>0.22935880967375258</v>
      </c>
      <c r="AY1129">
        <v>0.18</v>
      </c>
      <c r="AZ1129" s="209">
        <v>288.0229611439903</v>
      </c>
      <c r="BA1129">
        <v>0.22935880967375258</v>
      </c>
      <c r="BB1129" s="249">
        <v>50.615546567088359</v>
      </c>
      <c r="BC1129" s="243">
        <v>206.12284298032469</v>
      </c>
      <c r="BD1129" s="209">
        <v>105399.75912622274</v>
      </c>
      <c r="BE1129" s="243">
        <v>64.52160548519349</v>
      </c>
      <c r="BF1129">
        <v>334121.6724005671</v>
      </c>
      <c r="BG1129" t="s">
        <v>387</v>
      </c>
      <c r="BH1129">
        <v>6.7561066852801621E-6</v>
      </c>
      <c r="BI1129">
        <v>2253997.5912622274</v>
      </c>
      <c r="BJ1129">
        <f t="shared" si="67"/>
        <v>0.1482351506034488</v>
      </c>
    </row>
    <row r="1130" spans="1:62" x14ac:dyDescent="0.3">
      <c r="A1130">
        <v>-0.1</v>
      </c>
      <c r="B1130" s="146">
        <v>1300</v>
      </c>
      <c r="C1130" s="146">
        <v>25</v>
      </c>
      <c r="D1130" s="146">
        <v>400</v>
      </c>
      <c r="E1130" s="252">
        <v>20.418088681599318</v>
      </c>
      <c r="F1130" s="146">
        <v>5.0828592796737677</v>
      </c>
      <c r="G1130" s="146">
        <v>23.691465011800204</v>
      </c>
      <c r="H1130" s="146">
        <v>13.077484548624621</v>
      </c>
      <c r="I1130" s="146"/>
      <c r="J1130" s="146">
        <v>0.3109692963519361</v>
      </c>
      <c r="K1130" s="146">
        <v>0.18</v>
      </c>
      <c r="L1130" s="146">
        <v>133.0371639522578</v>
      </c>
      <c r="M1130" s="146">
        <v>66.242571262535009</v>
      </c>
      <c r="N1130" s="146">
        <v>2.2825903638462162</v>
      </c>
      <c r="O1130" s="146"/>
      <c r="P1130" s="146"/>
      <c r="Q1130" s="146"/>
      <c r="R1130" s="146"/>
      <c r="S1130" s="146"/>
      <c r="T1130" s="146"/>
      <c r="U1130" s="146"/>
      <c r="V1130" s="146"/>
      <c r="W1130" s="146"/>
      <c r="X1130" s="146"/>
      <c r="Y1130" s="146"/>
      <c r="Z1130" s="146">
        <v>0.17454353360993111</v>
      </c>
      <c r="AA1130" s="146"/>
      <c r="AB1130" s="146"/>
      <c r="AC1130" s="146"/>
      <c r="AD1130" s="146"/>
      <c r="AE1130" s="146"/>
      <c r="AF1130" s="146"/>
      <c r="AG1130" s="146"/>
      <c r="AH1130" s="146"/>
      <c r="AI1130" s="146"/>
      <c r="AJ1130" s="146"/>
      <c r="AK1130" s="146"/>
      <c r="AL1130" s="146">
        <v>1416.9357074074294</v>
      </c>
      <c r="AM1130" s="146">
        <v>0.21454389912747507</v>
      </c>
      <c r="AN1130" s="146">
        <v>0.27760111334669246</v>
      </c>
      <c r="AO1130" s="146">
        <v>326.44810233127765</v>
      </c>
      <c r="AP1130" s="146">
        <v>275.64052548432096</v>
      </c>
      <c r="AQ1130" t="s">
        <v>384</v>
      </c>
      <c r="AR1130">
        <f t="shared" si="68"/>
        <v>9.762677251918257</v>
      </c>
      <c r="AS1130">
        <f t="shared" si="69"/>
        <v>2.6643645582431001</v>
      </c>
      <c r="AT1130">
        <v>0.2</v>
      </c>
      <c r="AU1130">
        <v>0</v>
      </c>
      <c r="AV1130">
        <v>0.3</v>
      </c>
      <c r="AW1130" s="146">
        <v>3</v>
      </c>
      <c r="AX1130" s="146">
        <v>0.23444179580208241</v>
      </c>
      <c r="AY1130">
        <v>0.18</v>
      </c>
      <c r="AZ1130" s="209">
        <v>275.64052548432096</v>
      </c>
      <c r="BA1130">
        <v>0.23444179580208241</v>
      </c>
      <c r="BB1130" s="249">
        <v>57.451511951670824</v>
      </c>
      <c r="BC1130" s="243">
        <v>221.46774942058985</v>
      </c>
      <c r="BD1130" s="209">
        <v>116406.43706092998</v>
      </c>
      <c r="BE1130" s="243">
        <v>71.310926725011086</v>
      </c>
      <c r="BF1130">
        <v>411348.5083220299</v>
      </c>
      <c r="BG1130" t="s">
        <v>387</v>
      </c>
      <c r="BH1130">
        <v>7.0876097815653381E-6</v>
      </c>
      <c r="BI1130">
        <v>2364064.3706092997</v>
      </c>
      <c r="BJ1130">
        <f t="shared" si="67"/>
        <v>0.17400055321505961</v>
      </c>
    </row>
    <row r="1131" spans="1:62" x14ac:dyDescent="0.3">
      <c r="A1131">
        <v>-0.1</v>
      </c>
      <c r="B1131" s="227">
        <v>1600</v>
      </c>
      <c r="C1131" s="146">
        <v>25</v>
      </c>
      <c r="D1131" s="146">
        <v>400</v>
      </c>
      <c r="E1131" s="252">
        <v>22.005916026081149</v>
      </c>
      <c r="F1131" s="146">
        <v>5.5635298634337289</v>
      </c>
      <c r="G1131" s="146">
        <v>25.556127311205636</v>
      </c>
      <c r="H1131" s="146">
        <v>14.308340003249203</v>
      </c>
      <c r="I1131" s="146"/>
      <c r="J1131" s="146">
        <v>0.31750425321708525</v>
      </c>
      <c r="K1131" s="146">
        <v>0.18</v>
      </c>
      <c r="L1131" s="146">
        <v>145.74203364777324</v>
      </c>
      <c r="M1131" s="146">
        <v>72.56864745947216</v>
      </c>
      <c r="N1131" s="146">
        <v>2.3535694957738542</v>
      </c>
      <c r="O1131" s="146"/>
      <c r="P1131" s="146"/>
      <c r="Q1131" s="146"/>
      <c r="R1131" s="146"/>
      <c r="S1131" s="146"/>
      <c r="T1131" s="146"/>
      <c r="U1131" s="146"/>
      <c r="V1131" s="146"/>
      <c r="W1131" s="146"/>
      <c r="X1131" s="146"/>
      <c r="Y1131" s="146"/>
      <c r="Z1131" s="146">
        <v>0.16448934643986618</v>
      </c>
      <c r="AA1131" s="146"/>
      <c r="AB1131" s="146"/>
      <c r="AC1131" s="146"/>
      <c r="AD1131" s="146"/>
      <c r="AE1131" s="146"/>
      <c r="AF1131" s="146"/>
      <c r="AG1131" s="146"/>
      <c r="AH1131" s="146"/>
      <c r="AI1131" s="146"/>
      <c r="AJ1131" s="146"/>
      <c r="AK1131" s="146"/>
      <c r="AL1131" s="146">
        <v>1443.8752624569227</v>
      </c>
      <c r="AM1131" s="146">
        <v>0.21769847190400712</v>
      </c>
      <c r="AN1131" s="146">
        <v>0.28158243854650405</v>
      </c>
      <c r="AO1131" s="146">
        <v>321.84911765210524</v>
      </c>
      <c r="AP1131" s="146">
        <v>267.09051456999748</v>
      </c>
      <c r="AQ1131" t="s">
        <v>384</v>
      </c>
      <c r="AR1131">
        <f t="shared" si="68"/>
        <v>9.762677251918257</v>
      </c>
      <c r="AS1131">
        <f t="shared" si="69"/>
        <v>2.6643645582431001</v>
      </c>
      <c r="AT1131">
        <v>0.2</v>
      </c>
      <c r="AU1131">
        <v>0</v>
      </c>
      <c r="AV1131">
        <v>0.3</v>
      </c>
      <c r="AW1131" s="146">
        <v>3</v>
      </c>
      <c r="AX1131" s="146">
        <v>0.23992216384265166</v>
      </c>
      <c r="AY1131">
        <v>0.18</v>
      </c>
      <c r="AZ1131" s="209">
        <v>267.09051456999748</v>
      </c>
      <c r="BA1131">
        <v>0.23992216384265166</v>
      </c>
      <c r="BB1131" s="249">
        <v>62.331746611374982</v>
      </c>
      <c r="BC1131" s="243">
        <v>231.55009988056642</v>
      </c>
      <c r="BD1131" s="209">
        <v>123750.28022215773</v>
      </c>
      <c r="BE1131" s="243">
        <v>75.8284414824831</v>
      </c>
      <c r="BF1131">
        <v>470300.02127095475</v>
      </c>
      <c r="BG1131" t="s">
        <v>387</v>
      </c>
      <c r="BH1131">
        <v>7.2924071559480413E-6</v>
      </c>
      <c r="BI1131">
        <v>2437502.8022215776</v>
      </c>
      <c r="BJ1131">
        <f t="shared" si="67"/>
        <v>0.19294337665676367</v>
      </c>
    </row>
    <row r="1132" spans="1:62" s="140" customFormat="1" x14ac:dyDescent="0.3">
      <c r="A1132" s="140">
        <v>-0.1</v>
      </c>
      <c r="B1132" s="140">
        <v>1900</v>
      </c>
      <c r="C1132" s="140">
        <v>25</v>
      </c>
      <c r="D1132" s="140">
        <v>400</v>
      </c>
      <c r="E1132" s="253">
        <v>23.162186743503177</v>
      </c>
      <c r="F1132" s="140">
        <v>5.9494971671621588</v>
      </c>
      <c r="G1132" s="140">
        <v>26.92960410502792</v>
      </c>
      <c r="H1132" s="140">
        <v>15.14784506218462</v>
      </c>
      <c r="J1132" s="140">
        <v>0.31584729480055634</v>
      </c>
      <c r="K1132" s="140">
        <v>0.18</v>
      </c>
      <c r="L1132" s="140">
        <v>154.45771282299131</v>
      </c>
      <c r="M1132" s="140">
        <v>76.908404725140912</v>
      </c>
      <c r="N1132" s="140">
        <v>2.4453249321826007</v>
      </c>
      <c r="Z1132" s="140">
        <v>0.16143054818319724</v>
      </c>
      <c r="AL1132" s="140">
        <v>1483.0105314250436</v>
      </c>
      <c r="AM1132" s="140">
        <v>0.2209277620257088</v>
      </c>
      <c r="AN1132" s="140">
        <v>0.28241004767976019</v>
      </c>
      <c r="AO1132" s="140">
        <v>317.98384323149855</v>
      </c>
      <c r="AP1132" s="140">
        <v>260.34806533374217</v>
      </c>
      <c r="AQ1132" t="s">
        <v>384</v>
      </c>
      <c r="AR1132">
        <f t="shared" si="68"/>
        <v>9.762677251918257</v>
      </c>
      <c r="AS1132">
        <f t="shared" si="69"/>
        <v>2.6643645582431001</v>
      </c>
      <c r="AT1132" s="140">
        <v>0.2</v>
      </c>
      <c r="AU1132">
        <v>0</v>
      </c>
      <c r="AV1132">
        <v>0.3</v>
      </c>
      <c r="AW1132" s="140">
        <v>3</v>
      </c>
      <c r="AX1132" s="140">
        <v>0.2395943811628066</v>
      </c>
      <c r="AY1132">
        <v>0.18</v>
      </c>
      <c r="AZ1132" s="209">
        <v>260.34806533374217</v>
      </c>
      <c r="BA1132" s="140">
        <v>0.2395943811628066</v>
      </c>
      <c r="BB1132" s="253">
        <v>66.199713502002311</v>
      </c>
      <c r="BC1132" s="245">
        <v>236.66357713803538</v>
      </c>
      <c r="BD1132" s="210">
        <v>129220.64325954388</v>
      </c>
      <c r="BE1132" s="245">
        <v>80.403934039430055</v>
      </c>
      <c r="BF1132" s="140">
        <v>516595.64204563835</v>
      </c>
      <c r="BG1132" t="s">
        <v>387</v>
      </c>
      <c r="BH1132" s="140">
        <v>7.4180181376501791E-6</v>
      </c>
      <c r="BI1132" s="140">
        <v>2492206.4325954388</v>
      </c>
      <c r="BJ1132">
        <f t="shared" si="67"/>
        <v>0.20728445095442766</v>
      </c>
    </row>
    <row r="1133" spans="1:62" x14ac:dyDescent="0.3">
      <c r="A1133">
        <v>-0.1</v>
      </c>
      <c r="B1133" s="146">
        <v>1000</v>
      </c>
      <c r="C1133" s="146">
        <v>25</v>
      </c>
      <c r="D1133" s="146">
        <v>200</v>
      </c>
      <c r="E1133" s="252">
        <v>14.041613860762487</v>
      </c>
      <c r="F1133" s="146">
        <v>7.5022951585101989</v>
      </c>
      <c r="G1133" s="146">
        <v>18.549770185994589</v>
      </c>
      <c r="H1133" s="146">
        <v>11.878307258921154</v>
      </c>
      <c r="I1133" s="146"/>
      <c r="J1133" s="146">
        <v>0.36797052109672934</v>
      </c>
      <c r="K1133" s="146">
        <v>0.18</v>
      </c>
      <c r="L1133" s="146">
        <v>121.43085348779769</v>
      </c>
      <c r="M1133" s="146">
        <v>60.463495512596367</v>
      </c>
      <c r="N1133" s="146">
        <v>1.2180553066593216</v>
      </c>
      <c r="O1133" s="146"/>
      <c r="P1133" s="146"/>
      <c r="Q1133" s="146"/>
      <c r="R1133" s="146"/>
      <c r="S1133" s="146"/>
      <c r="T1133" s="146"/>
      <c r="U1133" s="146"/>
      <c r="V1133" s="146"/>
      <c r="W1133" s="146"/>
      <c r="X1133" s="146"/>
      <c r="Y1133" s="146"/>
      <c r="Z1133" s="146">
        <v>0.10254451919018226</v>
      </c>
      <c r="AA1133" s="146"/>
      <c r="AB1133" s="146"/>
      <c r="AC1133" s="146"/>
      <c r="AD1133" s="146"/>
      <c r="AE1133" s="146"/>
      <c r="AF1133" s="146"/>
      <c r="AG1133" s="146"/>
      <c r="AH1133" s="146"/>
      <c r="AI1133" s="146"/>
      <c r="AJ1133" s="146"/>
      <c r="AK1133" s="146"/>
      <c r="AL1133" s="146">
        <v>721.61206487454012</v>
      </c>
      <c r="AM1133" s="146">
        <v>0.40444140726738315</v>
      </c>
      <c r="AN1133" s="146">
        <v>0.26758669209842351</v>
      </c>
      <c r="AO1133" s="146">
        <v>147.52499180490742</v>
      </c>
      <c r="AP1133" s="146">
        <v>112.58441154487934</v>
      </c>
      <c r="AQ1133" t="s">
        <v>384</v>
      </c>
      <c r="AR1133">
        <f t="shared" si="68"/>
        <v>9.762677251918257</v>
      </c>
      <c r="AS1133">
        <f t="shared" si="69"/>
        <v>2.6643645582431001</v>
      </c>
      <c r="AT1133">
        <v>0.2</v>
      </c>
      <c r="AU1133">
        <v>0</v>
      </c>
      <c r="AV1133">
        <v>0.3</v>
      </c>
      <c r="AW1133" s="146">
        <v>3</v>
      </c>
      <c r="AX1133" s="146">
        <v>0.23337161566277134</v>
      </c>
      <c r="AY1133">
        <v>0.18</v>
      </c>
      <c r="AZ1133" s="209">
        <v>112.58441154487934</v>
      </c>
      <c r="BA1133">
        <v>0.23337161566277134</v>
      </c>
      <c r="BB1133" s="249">
        <v>67.501829455620936</v>
      </c>
      <c r="BC1133" s="243">
        <v>222.32605170045233</v>
      </c>
      <c r="BD1133" s="209">
        <v>123393.33786421394</v>
      </c>
      <c r="BE1133" s="243">
        <v>80.477446690348273</v>
      </c>
      <c r="BF1133">
        <v>271224.67851539468</v>
      </c>
      <c r="BG1133" t="s">
        <v>388</v>
      </c>
      <c r="BH1133">
        <v>4.9438925379256051E-6</v>
      </c>
      <c r="BI1133">
        <v>2433933.3786421395</v>
      </c>
      <c r="BJ1133">
        <f t="shared" si="67"/>
        <v>0.1114347175216059</v>
      </c>
    </row>
    <row r="1134" spans="1:62" x14ac:dyDescent="0.3">
      <c r="A1134">
        <v>-0.1</v>
      </c>
      <c r="B1134" s="146">
        <v>1000</v>
      </c>
      <c r="C1134" s="146">
        <v>25</v>
      </c>
      <c r="D1134" s="146">
        <v>300</v>
      </c>
      <c r="E1134" s="252">
        <v>16.45697130579882</v>
      </c>
      <c r="F1134" s="146">
        <v>5.4694638907001867</v>
      </c>
      <c r="G1134" s="146">
        <v>19.893729954626252</v>
      </c>
      <c r="H1134" s="146">
        <v>11.62507640325113</v>
      </c>
      <c r="I1134" s="146"/>
      <c r="J1134" s="146">
        <v>0.32971061388973627</v>
      </c>
      <c r="K1134" s="146">
        <v>0.18</v>
      </c>
      <c r="L1134" s="146">
        <v>118.27411874921192</v>
      </c>
      <c r="M1134" s="146">
        <v>58.891677385499726</v>
      </c>
      <c r="N1134" s="146">
        <v>1.7231819772651384</v>
      </c>
      <c r="O1134" s="146"/>
      <c r="P1134" s="146"/>
      <c r="Q1134" s="146"/>
      <c r="R1134" s="146"/>
      <c r="S1134" s="146"/>
      <c r="T1134" s="146"/>
      <c r="U1134" s="146"/>
      <c r="V1134" s="146"/>
      <c r="W1134" s="146"/>
      <c r="X1134" s="146"/>
      <c r="Y1134" s="146"/>
      <c r="Z1134" s="146">
        <v>0.14822973350809326</v>
      </c>
      <c r="AA1134" s="146"/>
      <c r="AB1134" s="146"/>
      <c r="AC1134" s="146"/>
      <c r="AD1134" s="146"/>
      <c r="AE1134" s="146"/>
      <c r="AF1134" s="146"/>
      <c r="AG1134" s="146"/>
      <c r="AH1134" s="146"/>
      <c r="AI1134" s="146"/>
      <c r="AJ1134" s="146"/>
      <c r="AK1134" s="146"/>
      <c r="AL1134" s="146">
        <v>1061.0577699641231</v>
      </c>
      <c r="AM1134" s="146">
        <v>0.27493405727206388</v>
      </c>
      <c r="AN1134" s="146">
        <v>0.27620521716477842</v>
      </c>
      <c r="AO1134" s="146">
        <v>240.41759429916587</v>
      </c>
      <c r="AP1134" s="146">
        <v>199.46678133155336</v>
      </c>
      <c r="AQ1134" t="s">
        <v>384</v>
      </c>
      <c r="AR1134">
        <f t="shared" si="68"/>
        <v>9.762677251918257</v>
      </c>
      <c r="AS1134">
        <f t="shared" si="69"/>
        <v>2.6643645582431001</v>
      </c>
      <c r="AT1134">
        <v>0.2</v>
      </c>
      <c r="AU1134">
        <v>0</v>
      </c>
      <c r="AV1134">
        <v>0.3</v>
      </c>
      <c r="AW1134" s="146">
        <v>3</v>
      </c>
      <c r="AX1134" s="146">
        <v>0.23221466318847347</v>
      </c>
      <c r="AY1134">
        <v>0.18</v>
      </c>
      <c r="AZ1134" s="209">
        <v>199.46678133155336</v>
      </c>
      <c r="BA1134">
        <v>0.23221466318847347</v>
      </c>
      <c r="BB1134" s="249">
        <v>56.114276773011696</v>
      </c>
      <c r="BC1134" s="243">
        <v>212.81817781990264</v>
      </c>
      <c r="BD1134" s="209">
        <v>110530.7849960835</v>
      </c>
      <c r="BE1134" s="243">
        <v>67.992503571032969</v>
      </c>
      <c r="BF1134">
        <v>306189.97248944658</v>
      </c>
      <c r="BG1134" t="s">
        <v>388</v>
      </c>
      <c r="BH1134">
        <v>6.0470213498640618E-6</v>
      </c>
      <c r="BI1134">
        <v>2305307.8499608347</v>
      </c>
      <c r="BJ1134">
        <f t="shared" si="67"/>
        <v>0.1328195592162012</v>
      </c>
    </row>
    <row r="1135" spans="1:62" x14ac:dyDescent="0.3">
      <c r="A1135">
        <v>-0.1</v>
      </c>
      <c r="B1135" s="146">
        <v>1000</v>
      </c>
      <c r="C1135" s="146">
        <v>25</v>
      </c>
      <c r="D1135" s="146">
        <v>400</v>
      </c>
      <c r="E1135" s="252">
        <v>18.163685357082048</v>
      </c>
      <c r="F1135" s="146">
        <v>4.430291614144104</v>
      </c>
      <c r="G1135" s="146">
        <v>21.055693646904558</v>
      </c>
      <c r="H1135" s="146">
        <v>11.419406644978157</v>
      </c>
      <c r="I1135" s="146"/>
      <c r="J1135" s="146">
        <v>0.30634590565427233</v>
      </c>
      <c r="K1135" s="146">
        <v>0.18</v>
      </c>
      <c r="L1135" s="146">
        <v>115.98509068809814</v>
      </c>
      <c r="M1135" s="146">
        <v>57.751912375816502</v>
      </c>
      <c r="N1135" s="146">
        <v>2.1276778923705848</v>
      </c>
      <c r="O1135" s="146"/>
      <c r="P1135" s="146"/>
      <c r="Q1135" s="146"/>
      <c r="R1135" s="146"/>
      <c r="S1135" s="146"/>
      <c r="T1135" s="146"/>
      <c r="U1135" s="146"/>
      <c r="V1135" s="146"/>
      <c r="W1135" s="146"/>
      <c r="X1135" s="146"/>
      <c r="Y1135" s="146"/>
      <c r="Z1135" s="146">
        <v>0.18632123003573578</v>
      </c>
      <c r="AA1135" s="146"/>
      <c r="AB1135" s="146"/>
      <c r="AC1135" s="146"/>
      <c r="AD1135" s="146"/>
      <c r="AE1135" s="146"/>
      <c r="AF1135" s="146"/>
      <c r="AG1135" s="146"/>
      <c r="AH1135" s="146"/>
      <c r="AI1135" s="146"/>
      <c r="AJ1135" s="146"/>
      <c r="AK1135" s="146"/>
      <c r="AL1135" s="146">
        <v>1351.8182140777578</v>
      </c>
      <c r="AM1135" s="146">
        <v>0.21040824816499981</v>
      </c>
      <c r="AN1135" s="146">
        <v>0.27181828391040913</v>
      </c>
      <c r="AO1135" s="146">
        <v>333.177102379659</v>
      </c>
      <c r="AP1135" s="146">
        <v>287.97926789246628</v>
      </c>
      <c r="AQ1135" t="s">
        <v>384</v>
      </c>
      <c r="AR1135">
        <f t="shared" si="68"/>
        <v>9.762677251918257</v>
      </c>
      <c r="AS1135">
        <f t="shared" si="69"/>
        <v>2.6643645582431001</v>
      </c>
      <c r="AT1135">
        <v>0.2</v>
      </c>
      <c r="AU1135">
        <v>0</v>
      </c>
      <c r="AV1135">
        <v>0.3</v>
      </c>
      <c r="AW1135" s="146">
        <v>3</v>
      </c>
      <c r="AX1135" s="146">
        <v>0.22931825444770479</v>
      </c>
      <c r="AY1135">
        <v>0.18</v>
      </c>
      <c r="AZ1135" s="209">
        <v>287.97926789246628</v>
      </c>
      <c r="BA1135">
        <v>0.22931825444770479</v>
      </c>
      <c r="BB1135" s="249">
        <v>50.634251286156598</v>
      </c>
      <c r="BC1135" s="243">
        <v>206.17899536672385</v>
      </c>
      <c r="BD1135" s="209">
        <v>105452.99565279779</v>
      </c>
      <c r="BE1135" s="243">
        <v>64.565997733459213</v>
      </c>
      <c r="BF1135">
        <v>334332.03856789193</v>
      </c>
      <c r="BG1135" t="s">
        <v>388</v>
      </c>
      <c r="BH1135">
        <v>6.7558222003320206E-6</v>
      </c>
      <c r="BI1135">
        <v>2254529.9565279782</v>
      </c>
      <c r="BJ1135">
        <f t="shared" si="67"/>
        <v>0.14829345584867279</v>
      </c>
    </row>
    <row r="1136" spans="1:62" x14ac:dyDescent="0.3">
      <c r="A1136">
        <v>-0.1</v>
      </c>
      <c r="B1136" s="146">
        <v>1000</v>
      </c>
      <c r="C1136" s="146">
        <v>25</v>
      </c>
      <c r="D1136" s="146">
        <v>500</v>
      </c>
      <c r="E1136" s="252">
        <v>19.246469308662373</v>
      </c>
      <c r="F1136" s="146">
        <v>3.6827041613610745</v>
      </c>
      <c r="G1136" s="146">
        <v>21.744908918536655</v>
      </c>
      <c r="H1136" s="146">
        <v>11.290866255151682</v>
      </c>
      <c r="I1136" s="146"/>
      <c r="J1136" s="146">
        <v>0.30437016954675217</v>
      </c>
      <c r="K1136" s="146">
        <v>0.18</v>
      </c>
      <c r="L1136" s="146">
        <v>114.57611484709311</v>
      </c>
      <c r="M1136" s="146">
        <v>57.050347641706118</v>
      </c>
      <c r="N1136" s="146">
        <v>2.3459771775689937</v>
      </c>
      <c r="O1136" s="146"/>
      <c r="P1136" s="146"/>
      <c r="Q1136" s="146"/>
      <c r="R1136" s="146"/>
      <c r="S1136" s="146"/>
      <c r="T1136" s="146"/>
      <c r="U1136" s="146"/>
      <c r="V1136" s="146"/>
      <c r="W1136" s="146"/>
      <c r="X1136" s="146"/>
      <c r="Y1136" s="146"/>
      <c r="Z1136" s="146">
        <v>0.20777654473575888</v>
      </c>
      <c r="AA1136" s="146"/>
      <c r="AB1136" s="146"/>
      <c r="AC1136" s="146"/>
      <c r="AD1136" s="146"/>
      <c r="AE1136" s="146"/>
      <c r="AF1136" s="146"/>
      <c r="AG1136" s="146"/>
      <c r="AH1136" s="146"/>
      <c r="AI1136" s="146"/>
      <c r="AJ1136" s="146"/>
      <c r="AK1136" s="146"/>
      <c r="AL1136" s="146">
        <v>1553.5359836588334</v>
      </c>
      <c r="AM1136" s="146">
        <v>0.16935937396462111</v>
      </c>
      <c r="AN1136" s="146">
        <v>0.2689537075035196</v>
      </c>
      <c r="AO1136" s="146">
        <v>428.43947202917622</v>
      </c>
      <c r="AP1136" s="146">
        <v>380.54739487433534</v>
      </c>
      <c r="AQ1136" t="s">
        <v>384</v>
      </c>
      <c r="AR1136">
        <f t="shared" si="68"/>
        <v>9.762677251918257</v>
      </c>
      <c r="AS1136">
        <f t="shared" si="69"/>
        <v>2.6643645582431001</v>
      </c>
      <c r="AT1136">
        <v>0.2</v>
      </c>
      <c r="AU1136">
        <v>0</v>
      </c>
      <c r="AV1136">
        <v>0.3</v>
      </c>
      <c r="AW1136" s="146">
        <v>3</v>
      </c>
      <c r="AX1136" s="146">
        <v>0.2359186119785126</v>
      </c>
      <c r="AY1136">
        <v>0.18</v>
      </c>
      <c r="AZ1136" s="209">
        <v>380.54739487433534</v>
      </c>
      <c r="BA1136">
        <v>0.2359186119785126</v>
      </c>
      <c r="BB1136" s="249">
        <v>46.37076635726639</v>
      </c>
      <c r="BC1136" s="243">
        <v>202.19248771738748</v>
      </c>
      <c r="BD1136" s="209">
        <v>101163.48266609326</v>
      </c>
      <c r="BE1136" s="243">
        <v>60.642523960111205</v>
      </c>
      <c r="BF1136">
        <v>348776.38857532467</v>
      </c>
      <c r="BG1136" t="s">
        <v>388</v>
      </c>
      <c r="BH1136">
        <v>7.253375801680738E-6</v>
      </c>
      <c r="BI1136">
        <v>2211634.8266609325</v>
      </c>
      <c r="BJ1136">
        <f t="shared" si="67"/>
        <v>0.15770071278082468</v>
      </c>
    </row>
    <row r="1137" spans="1:62" s="146" customFormat="1" x14ac:dyDescent="0.3">
      <c r="A1137">
        <v>-0.1</v>
      </c>
      <c r="B1137" s="146">
        <v>1000</v>
      </c>
      <c r="C1137" s="146">
        <v>25</v>
      </c>
      <c r="D1137" s="146">
        <v>600</v>
      </c>
      <c r="E1137" s="252">
        <v>20.013482002246448</v>
      </c>
      <c r="F1137" s="146">
        <v>3.1457934462358059</v>
      </c>
      <c r="G1137" s="146">
        <v>22.229520756862712</v>
      </c>
      <c r="H1137" s="146">
        <v>11.203558741345365</v>
      </c>
      <c r="J1137" s="146">
        <v>0.30302668043189018</v>
      </c>
      <c r="K1137" s="146">
        <v>0.18</v>
      </c>
      <c r="L1137" s="146">
        <v>113.62771906192089</v>
      </c>
      <c r="M1137" s="146">
        <v>56.57811737523032</v>
      </c>
      <c r="N1137" s="146">
        <v>2.5336914194489726</v>
      </c>
      <c r="Z1137" s="146">
        <v>0.22615058999946991</v>
      </c>
      <c r="AL1137" s="146">
        <v>1742.0418169489019</v>
      </c>
      <c r="AM1137" s="146">
        <v>0.14151422698866031</v>
      </c>
      <c r="AN1137" s="146">
        <v>0.26683502315638769</v>
      </c>
      <c r="AO1137" s="146">
        <v>524.99679477788459</v>
      </c>
      <c r="AP1137" s="146">
        <v>475.19610722441615</v>
      </c>
      <c r="AQ1137" t="s">
        <v>384</v>
      </c>
      <c r="AR1137">
        <f t="shared" si="68"/>
        <v>9.762677251918257</v>
      </c>
      <c r="AS1137">
        <f t="shared" si="69"/>
        <v>2.6643645582431001</v>
      </c>
      <c r="AT1137">
        <v>0.2</v>
      </c>
      <c r="AU1137">
        <v>0</v>
      </c>
      <c r="AV1137">
        <v>0.3</v>
      </c>
      <c r="AW1137" s="146">
        <v>3</v>
      </c>
      <c r="AX1137" s="146">
        <v>0.24114690141569325</v>
      </c>
      <c r="AY1137">
        <v>0.18</v>
      </c>
      <c r="AZ1137" s="209">
        <v>475.19610722441615</v>
      </c>
      <c r="BA1137" s="146">
        <v>0.24114690141569325</v>
      </c>
      <c r="BB1137" s="252">
        <v>43.285866871631505</v>
      </c>
      <c r="BC1137" s="244">
        <v>199.55032749877446</v>
      </c>
      <c r="BD1137" s="229">
        <v>98110.021191706954</v>
      </c>
      <c r="BE1137" s="244">
        <v>57.706485100569772</v>
      </c>
      <c r="BF1137" s="146">
        <v>358159.89751088608</v>
      </c>
      <c r="BG1137" t="s">
        <v>388</v>
      </c>
      <c r="BH1137" s="146">
        <v>7.6157966736272432E-6</v>
      </c>
      <c r="BI1137" s="146">
        <v>2181100.2119170697</v>
      </c>
      <c r="BJ1137">
        <f t="shared" si="67"/>
        <v>0.16421065641733298</v>
      </c>
    </row>
    <row r="1138" spans="1:62" s="140" customFormat="1" x14ac:dyDescent="0.3">
      <c r="A1138">
        <v>-0.1</v>
      </c>
      <c r="B1138" s="146">
        <v>1000</v>
      </c>
      <c r="C1138" s="146">
        <v>25</v>
      </c>
      <c r="D1138" s="146">
        <v>700</v>
      </c>
      <c r="E1138" s="252">
        <v>20.579374805236125</v>
      </c>
      <c r="F1138" s="146">
        <v>2.7454342290416953</v>
      </c>
      <c r="G1138" s="146">
        <v>22.584818042656806</v>
      </c>
      <c r="H1138" s="146">
        <v>11.140132976855867</v>
      </c>
      <c r="I1138" s="146"/>
      <c r="J1138" s="146">
        <v>0.30263915514118817</v>
      </c>
      <c r="K1138" s="146">
        <v>0.18</v>
      </c>
      <c r="L1138" s="146">
        <v>112.94305870206983</v>
      </c>
      <c r="M1138" s="146">
        <v>56.237207652482908</v>
      </c>
      <c r="N1138" s="146">
        <v>2.6825299258238822</v>
      </c>
      <c r="O1138" s="146"/>
      <c r="P1138" s="146"/>
      <c r="Q1138" s="146"/>
      <c r="R1138" s="146"/>
      <c r="S1138" s="146"/>
      <c r="T1138" s="146"/>
      <c r="U1138" s="146"/>
      <c r="V1138" s="146"/>
      <c r="W1138" s="146"/>
      <c r="X1138" s="146"/>
      <c r="Y1138" s="146"/>
      <c r="Z1138" s="146">
        <v>0.24079873475450969</v>
      </c>
      <c r="AA1138" s="146"/>
      <c r="AB1138" s="146"/>
      <c r="AC1138" s="146"/>
      <c r="AD1138" s="146"/>
      <c r="AE1138" s="146"/>
      <c r="AF1138" s="146"/>
      <c r="AG1138" s="146"/>
      <c r="AH1138" s="146"/>
      <c r="AI1138" s="146"/>
      <c r="AJ1138" s="146"/>
      <c r="AK1138" s="146"/>
      <c r="AL1138" s="146">
        <v>1912.4576671262816</v>
      </c>
      <c r="AM1138" s="146">
        <v>0.12156105149292278</v>
      </c>
      <c r="AN1138" s="146">
        <v>0.26520417274557617</v>
      </c>
      <c r="AO1138" s="146">
        <v>622.40176844811958</v>
      </c>
      <c r="AP1138" s="146">
        <v>571.19270421434101</v>
      </c>
      <c r="AQ1138" t="s">
        <v>384</v>
      </c>
      <c r="AR1138">
        <f t="shared" si="68"/>
        <v>9.762677251918257</v>
      </c>
      <c r="AS1138">
        <f t="shared" si="69"/>
        <v>2.6643645582431001</v>
      </c>
      <c r="AT1138">
        <v>0.2</v>
      </c>
      <c r="AU1138">
        <v>0</v>
      </c>
      <c r="AV1138">
        <v>0.3</v>
      </c>
      <c r="AW1138" s="146">
        <v>3</v>
      </c>
      <c r="AX1138" s="146">
        <v>0.24570882718896836</v>
      </c>
      <c r="AY1138">
        <v>0.18</v>
      </c>
      <c r="AZ1138" s="209">
        <v>571.19270421434101</v>
      </c>
      <c r="BA1138" s="140">
        <v>0.24570882718896836</v>
      </c>
      <c r="BB1138" s="253">
        <v>40.96889811596165</v>
      </c>
      <c r="BC1138" s="245">
        <v>197.66296548933281</v>
      </c>
      <c r="BD1138" s="210">
        <v>95816.208389007938</v>
      </c>
      <c r="BE1138" s="245">
        <v>55.427483670601895</v>
      </c>
      <c r="BF1138" s="140">
        <v>364510.82740495144</v>
      </c>
      <c r="BG1138" t="s">
        <v>388</v>
      </c>
      <c r="BH1138" s="140">
        <v>7.8903353189652763E-6</v>
      </c>
      <c r="BI1138" s="140">
        <v>2158162.0838900795</v>
      </c>
      <c r="BJ1138">
        <f t="shared" si="67"/>
        <v>0.1688987264329665</v>
      </c>
    </row>
    <row r="1139" spans="1:62" x14ac:dyDescent="0.3">
      <c r="A1139">
        <v>-0.1</v>
      </c>
      <c r="B1139" s="146">
        <v>1000</v>
      </c>
      <c r="C1139" s="146">
        <v>25</v>
      </c>
      <c r="D1139" s="146">
        <v>800</v>
      </c>
      <c r="E1139" s="252">
        <v>21.012820338417452</v>
      </c>
      <c r="F1139" s="146">
        <v>2.4363445995332085</v>
      </c>
      <c r="G1139" s="146">
        <v>22.85567087149872</v>
      </c>
      <c r="H1139" s="146">
        <v>11.091891300628612</v>
      </c>
      <c r="I1139" s="146"/>
      <c r="J1139" s="146">
        <v>0.30243642336068949</v>
      </c>
      <c r="K1139" s="146">
        <v>0.18</v>
      </c>
      <c r="L1139" s="146">
        <v>112.42467728668417</v>
      </c>
      <c r="M1139" s="146">
        <v>55.979092424904991</v>
      </c>
      <c r="N1139" s="146">
        <v>2.8057675921462355</v>
      </c>
      <c r="O1139" s="146"/>
      <c r="P1139" s="146"/>
      <c r="Q1139" s="146"/>
      <c r="R1139" s="146"/>
      <c r="S1139" s="146"/>
      <c r="T1139" s="146"/>
      <c r="U1139" s="146"/>
      <c r="V1139" s="146"/>
      <c r="W1139" s="146"/>
      <c r="X1139" s="146"/>
      <c r="Y1139" s="146"/>
      <c r="Z1139" s="146">
        <v>0.25295664338030649</v>
      </c>
      <c r="AA1139" s="146"/>
      <c r="AB1139" s="146"/>
      <c r="AC1139" s="146"/>
      <c r="AD1139" s="146"/>
      <c r="AE1139" s="146"/>
      <c r="AF1139" s="146"/>
      <c r="AG1139" s="146"/>
      <c r="AH1139" s="146"/>
      <c r="AI1139" s="146"/>
      <c r="AJ1139" s="146"/>
      <c r="AK1139" s="146"/>
      <c r="AL1139" s="146">
        <v>2070.9777206580884</v>
      </c>
      <c r="AM1139" s="146">
        <v>0.1065969410056284</v>
      </c>
      <c r="AN1139" s="146">
        <v>0.26391898956505161</v>
      </c>
      <c r="AO1139" s="146">
        <v>720.38155203213159</v>
      </c>
      <c r="AP1139" s="146">
        <v>668.0939245849703</v>
      </c>
      <c r="AQ1139" t="s">
        <v>384</v>
      </c>
      <c r="AR1139">
        <f t="shared" si="68"/>
        <v>9.762677251918257</v>
      </c>
      <c r="AS1139">
        <f t="shared" si="69"/>
        <v>2.6643645582431001</v>
      </c>
      <c r="AT1139">
        <v>0.2</v>
      </c>
      <c r="AU1139">
        <v>0</v>
      </c>
      <c r="AV1139">
        <v>0.3</v>
      </c>
      <c r="AW1139" s="146">
        <v>3</v>
      </c>
      <c r="AX1139" s="146">
        <v>0.24949760721212935</v>
      </c>
      <c r="AY1139">
        <v>0.18</v>
      </c>
      <c r="AZ1139" s="209">
        <v>668.0939245849703</v>
      </c>
      <c r="BA1139">
        <v>0.24949760721212935</v>
      </c>
      <c r="BB1139" s="249">
        <v>39.172490798543784</v>
      </c>
      <c r="BC1139" s="243">
        <v>196.24494731267359</v>
      </c>
      <c r="BD1139" s="209">
        <v>94039.165587243086</v>
      </c>
      <c r="BE1139" s="243">
        <v>53.626346013192595</v>
      </c>
      <c r="BF1139">
        <v>369033.18527246069</v>
      </c>
      <c r="BG1139" t="s">
        <v>388</v>
      </c>
      <c r="BH1139">
        <v>8.104932871569376E-6</v>
      </c>
      <c r="BI1139">
        <v>2140391.6558724307</v>
      </c>
      <c r="BJ1139">
        <f t="shared" si="67"/>
        <v>0.17241385905237122</v>
      </c>
    </row>
    <row r="1140" spans="1:62" x14ac:dyDescent="0.3">
      <c r="A1140">
        <v>-0.1</v>
      </c>
      <c r="B1140" s="146">
        <v>1000</v>
      </c>
      <c r="C1140" s="146">
        <v>25</v>
      </c>
      <c r="D1140" s="146">
        <v>900</v>
      </c>
      <c r="E1140" s="252">
        <v>21.355598826151802</v>
      </c>
      <c r="F1140" s="146">
        <v>2.1908897800791358</v>
      </c>
      <c r="G1140" s="146">
        <v>23.06934890471716</v>
      </c>
      <c r="H1140" s="146">
        <v>11.054080042098565</v>
      </c>
      <c r="I1140" s="146"/>
      <c r="J1140" s="146">
        <v>0.3021658362985159</v>
      </c>
      <c r="K1140" s="146">
        <v>0.18</v>
      </c>
      <c r="L1140" s="146">
        <v>112.01967762978778</v>
      </c>
      <c r="M1140" s="146">
        <v>55.777432844707612</v>
      </c>
      <c r="N1140" s="146">
        <v>2.9110583468579883</v>
      </c>
      <c r="O1140" s="146"/>
      <c r="P1140" s="146"/>
      <c r="Q1140" s="146"/>
      <c r="R1140" s="146"/>
      <c r="S1140" s="146"/>
      <c r="T1140" s="146"/>
      <c r="U1140" s="146"/>
      <c r="V1140" s="146"/>
      <c r="W1140" s="146"/>
      <c r="X1140" s="146"/>
      <c r="Y1140" s="146"/>
      <c r="Z1140" s="146">
        <v>0.26334695748279902</v>
      </c>
      <c r="AA1140" s="146"/>
      <c r="AB1140" s="146"/>
      <c r="AC1140" s="146"/>
      <c r="AD1140" s="146"/>
      <c r="AE1140" s="146"/>
      <c r="AF1140" s="146"/>
      <c r="AG1140" s="146"/>
      <c r="AH1140" s="146"/>
      <c r="AI1140" s="146"/>
      <c r="AJ1140" s="146"/>
      <c r="AK1140" s="146"/>
      <c r="AL1140" s="146">
        <v>2221.1500683728273</v>
      </c>
      <c r="AM1140" s="146">
        <v>9.49697275431622E-2</v>
      </c>
      <c r="AN1140" s="146">
        <v>0.26287481213021396</v>
      </c>
      <c r="AO1140" s="146">
        <v>818.76133489893516</v>
      </c>
      <c r="AP1140" s="146">
        <v>765.62089494383372</v>
      </c>
      <c r="AQ1140" t="s">
        <v>384</v>
      </c>
      <c r="AR1140">
        <f t="shared" si="68"/>
        <v>9.762677251918257</v>
      </c>
      <c r="AS1140">
        <f t="shared" si="69"/>
        <v>2.6643645582431001</v>
      </c>
      <c r="AT1140">
        <v>0.2</v>
      </c>
      <c r="AU1140">
        <v>0</v>
      </c>
      <c r="AV1140">
        <v>0.3</v>
      </c>
      <c r="AW1140" s="146">
        <v>3</v>
      </c>
      <c r="AX1140" s="146">
        <v>0.25258164909089165</v>
      </c>
      <c r="AY1140">
        <v>0.18</v>
      </c>
      <c r="AZ1140" s="209">
        <v>765.62089494383372</v>
      </c>
      <c r="BA1140">
        <v>0.25258164909089165</v>
      </c>
      <c r="BB1140" s="249">
        <v>37.742754761701981</v>
      </c>
      <c r="BC1140" s="243">
        <v>195.14356921939404</v>
      </c>
      <c r="BD1140" s="209">
        <v>92630.060920992299</v>
      </c>
      <c r="BE1140" s="243">
        <v>52.178506190921979</v>
      </c>
      <c r="BF1140">
        <v>372413.10813634162</v>
      </c>
      <c r="BG1140" t="s">
        <v>388</v>
      </c>
      <c r="BH1140">
        <v>8.2770839873768259E-6</v>
      </c>
      <c r="BI1140">
        <v>2126300.6092099231</v>
      </c>
      <c r="BJ1140">
        <f t="shared" si="67"/>
        <v>0.17514602898727497</v>
      </c>
    </row>
    <row r="1141" spans="1:62" x14ac:dyDescent="0.3">
      <c r="A1141">
        <v>-0.1</v>
      </c>
      <c r="B1141" s="146">
        <v>1000</v>
      </c>
      <c r="C1141" s="146">
        <v>25</v>
      </c>
      <c r="D1141" s="146">
        <v>1000</v>
      </c>
      <c r="E1141" s="252">
        <v>21.633658543053116</v>
      </c>
      <c r="F1141" s="146">
        <v>1.9913471827906</v>
      </c>
      <c r="G1141" s="146">
        <v>23.242479514613905</v>
      </c>
      <c r="H1141" s="146">
        <v>11.023697467835166</v>
      </c>
      <c r="I1141" s="146"/>
      <c r="J1141" s="146">
        <v>0.30176275651776424</v>
      </c>
      <c r="K1141" s="146">
        <v>0.18</v>
      </c>
      <c r="L1141" s="146">
        <v>111.69502264752404</v>
      </c>
      <c r="M1141" s="146">
        <v>55.615778911630244</v>
      </c>
      <c r="N1141" s="146">
        <v>3.0030474306342629</v>
      </c>
      <c r="O1141" s="146"/>
      <c r="P1141" s="146"/>
      <c r="Q1141" s="146"/>
      <c r="R1141" s="146"/>
      <c r="S1141" s="146"/>
      <c r="T1141" s="146"/>
      <c r="U1141" s="146"/>
      <c r="V1141" s="146"/>
      <c r="W1141" s="146"/>
      <c r="X1141" s="146"/>
      <c r="Y1141" s="146"/>
      <c r="Z1141" s="146">
        <v>0.27241743883089359</v>
      </c>
      <c r="AA1141" s="146"/>
      <c r="AB1141" s="146"/>
      <c r="AC1141" s="146"/>
      <c r="AD1141" s="146"/>
      <c r="AE1141" s="146"/>
      <c r="AF1141" s="146"/>
      <c r="AG1141" s="146"/>
      <c r="AH1141" s="146"/>
      <c r="AI1141" s="146"/>
      <c r="AJ1141" s="146"/>
      <c r="AK1141" s="146"/>
      <c r="AL1141" s="146">
        <v>2365.1222254169911</v>
      </c>
      <c r="AM1141" s="146">
        <v>8.5677054444149289E-2</v>
      </c>
      <c r="AN1141" s="146">
        <v>0.26200641681008213</v>
      </c>
      <c r="AO1141" s="146">
        <v>917.43080644191059</v>
      </c>
      <c r="AP1141" s="146">
        <v>863.59851009986153</v>
      </c>
      <c r="AQ1141" t="s">
        <v>384</v>
      </c>
      <c r="AR1141">
        <f t="shared" si="68"/>
        <v>9.762677251918257</v>
      </c>
      <c r="AS1141">
        <f t="shared" si="69"/>
        <v>2.6643645582431001</v>
      </c>
      <c r="AT1141">
        <v>0.2</v>
      </c>
      <c r="AU1141">
        <v>0</v>
      </c>
      <c r="AV1141">
        <v>0.3</v>
      </c>
      <c r="AW1141" s="146">
        <v>3</v>
      </c>
      <c r="AX1141" s="146">
        <v>0.25507244372517812</v>
      </c>
      <c r="AY1141">
        <v>0.18</v>
      </c>
      <c r="AZ1141" s="209">
        <v>863.59851009986153</v>
      </c>
      <c r="BA1141">
        <v>0.25507244372517812</v>
      </c>
      <c r="BB1141" s="249">
        <v>36.579113924761316</v>
      </c>
      <c r="BC1141" s="243">
        <v>194.26474945124593</v>
      </c>
      <c r="BD1141" s="209">
        <v>91488.875713160916</v>
      </c>
      <c r="BE1141" s="243">
        <v>50.994202614950069</v>
      </c>
      <c r="BF1141">
        <v>375035.96954797592</v>
      </c>
      <c r="BG1141" t="s">
        <v>388</v>
      </c>
      <c r="BH1141">
        <v>8.4181889465710981E-6</v>
      </c>
      <c r="BI1141">
        <v>2114888.7571316091</v>
      </c>
      <c r="BJ1141">
        <f t="shared" si="67"/>
        <v>0.17733129852968313</v>
      </c>
    </row>
    <row r="1142" spans="1:62" s="140" customFormat="1" x14ac:dyDescent="0.3">
      <c r="A1142" s="140">
        <v>-0.1</v>
      </c>
      <c r="B1142" s="140">
        <v>1000</v>
      </c>
      <c r="C1142" s="140">
        <v>25</v>
      </c>
      <c r="D1142" s="140">
        <v>1100</v>
      </c>
      <c r="E1142" s="253">
        <v>21.864711750924329</v>
      </c>
      <c r="F1142" s="140">
        <v>1.8260186113281414</v>
      </c>
      <c r="G1142" s="140">
        <v>23.386641692856315</v>
      </c>
      <c r="H1142" s="140">
        <v>10.998943968795428</v>
      </c>
      <c r="J1142" s="140">
        <v>0.30121163230668052</v>
      </c>
      <c r="K1142" s="140">
        <v>0.18</v>
      </c>
      <c r="L1142" s="140">
        <v>111.43090145632378</v>
      </c>
      <c r="M1142" s="140">
        <v>55.484266285306454</v>
      </c>
      <c r="N1142" s="140">
        <v>3.0849302482981535</v>
      </c>
      <c r="Z1142" s="140">
        <v>0.28047513079894393</v>
      </c>
      <c r="AL1142" s="140">
        <v>2504.3667815103427</v>
      </c>
      <c r="AM1142" s="140">
        <v>7.8079556496814889E-2</v>
      </c>
      <c r="AN1142" s="140">
        <v>0.26125630776647402</v>
      </c>
      <c r="AO1142" s="140">
        <v>1016.3093441155562</v>
      </c>
      <c r="AP1142" s="140">
        <v>961.90165736126664</v>
      </c>
      <c r="AQ1142" t="s">
        <v>384</v>
      </c>
      <c r="AR1142">
        <f t="shared" si="68"/>
        <v>9.762677251918257</v>
      </c>
      <c r="AS1142">
        <f t="shared" si="69"/>
        <v>2.6643645582431001</v>
      </c>
      <c r="AT1142" s="140">
        <v>0.2</v>
      </c>
      <c r="AU1142">
        <v>0</v>
      </c>
      <c r="AV1142">
        <v>0.3</v>
      </c>
      <c r="AW1142" s="140">
        <v>3</v>
      </c>
      <c r="AX1142" s="140">
        <v>0.25706519944021883</v>
      </c>
      <c r="AY1142">
        <v>0.18</v>
      </c>
      <c r="AZ1142" s="209">
        <v>961.90165736126664</v>
      </c>
      <c r="BA1142" s="140">
        <v>0.25706519944021883</v>
      </c>
      <c r="BB1142" s="253">
        <v>35.615432957903707</v>
      </c>
      <c r="BC1142" s="245">
        <v>193.55243594185686</v>
      </c>
      <c r="BD1142" s="210">
        <v>90553.349684814879</v>
      </c>
      <c r="BE1142" s="245">
        <v>50.015818565310276</v>
      </c>
      <c r="BF1142" s="140">
        <v>377166.55518698471</v>
      </c>
      <c r="BG1142" t="s">
        <v>388</v>
      </c>
      <c r="BH1142" s="140">
        <v>8.5359327495314149E-6</v>
      </c>
      <c r="BI1142" s="140">
        <v>2105533.4968481488</v>
      </c>
      <c r="BJ1142">
        <f t="shared" si="67"/>
        <v>0.17913111130816933</v>
      </c>
    </row>
    <row r="1143" spans="1:62" x14ac:dyDescent="0.3">
      <c r="A1143">
        <v>-0.1</v>
      </c>
      <c r="B1143" s="146">
        <v>1000</v>
      </c>
      <c r="C1143" s="146">
        <v>25</v>
      </c>
      <c r="D1143" s="146">
        <v>400</v>
      </c>
      <c r="E1143" s="252">
        <v>18.161402880831801</v>
      </c>
      <c r="F1143" s="146">
        <v>4.4293161128536047</v>
      </c>
      <c r="G1143" s="146">
        <v>21.052796635711449</v>
      </c>
      <c r="H1143" s="146">
        <v>11.418421151224743</v>
      </c>
      <c r="I1143" s="146"/>
      <c r="J1143" s="146">
        <v>0.30636911512162174</v>
      </c>
      <c r="K1143" s="146">
        <v>0.18</v>
      </c>
      <c r="L1143" s="146">
        <v>115.97516253075121</v>
      </c>
      <c r="M1143" s="146">
        <v>57.746968894979858</v>
      </c>
      <c r="N1143" s="146">
        <v>2.1276326489675164</v>
      </c>
      <c r="O1143" s="146"/>
      <c r="P1143" s="146"/>
      <c r="Q1143" s="146"/>
      <c r="R1143" s="146"/>
      <c r="S1143" s="146"/>
      <c r="T1143" s="146"/>
      <c r="U1143" s="146"/>
      <c r="V1143" s="146"/>
      <c r="W1143" s="146"/>
      <c r="X1143" s="146"/>
      <c r="Y1143" s="146"/>
      <c r="Z1143" s="146">
        <v>0.18633334861180048</v>
      </c>
      <c r="AA1143" s="146"/>
      <c r="AB1143" s="146"/>
      <c r="AC1143" s="146"/>
      <c r="AD1143" s="146"/>
      <c r="AE1143" s="146"/>
      <c r="AF1143" s="146"/>
      <c r="AG1143" s="146"/>
      <c r="AH1143" s="146"/>
      <c r="AI1143" s="146"/>
      <c r="AJ1143" s="146"/>
      <c r="AK1143" s="146"/>
      <c r="AL1143" s="146">
        <v>1351.8176369836347</v>
      </c>
      <c r="AM1143" s="146">
        <v>0.2103908658548595</v>
      </c>
      <c r="AN1143" s="146">
        <v>0.27185038533422662</v>
      </c>
      <c r="AO1143" s="146">
        <v>333.19338922950851</v>
      </c>
      <c r="AP1143" s="146">
        <v>288.00131249987709</v>
      </c>
      <c r="AQ1143" t="s">
        <v>384</v>
      </c>
      <c r="AR1143">
        <f t="shared" si="68"/>
        <v>9.762677251918257</v>
      </c>
      <c r="AS1143">
        <f t="shared" si="69"/>
        <v>2.6643645582431001</v>
      </c>
      <c r="AT1143">
        <v>0.2</v>
      </c>
      <c r="AU1143">
        <v>0</v>
      </c>
      <c r="AV1143">
        <v>0.3</v>
      </c>
      <c r="AW1143" s="146">
        <v>3</v>
      </c>
      <c r="AX1143" s="146">
        <v>0.22933860707713963</v>
      </c>
      <c r="AY1143">
        <v>0.18</v>
      </c>
      <c r="AZ1143" s="209">
        <v>288.00131249987709</v>
      </c>
      <c r="BA1143">
        <v>0.22933860707713963</v>
      </c>
      <c r="BB1143" s="249">
        <v>50.624822748987782</v>
      </c>
      <c r="BC1143" s="243">
        <v>206.15064358695281</v>
      </c>
      <c r="BD1143" s="209">
        <v>105426.15087530261</v>
      </c>
      <c r="BE1143" s="243">
        <v>64.543635794185633</v>
      </c>
      <c r="BF1143">
        <v>334225.97356882237</v>
      </c>
      <c r="BG1143" t="s">
        <v>389</v>
      </c>
      <c r="BH1143">
        <v>6.755965938719674E-6</v>
      </c>
      <c r="BI1143">
        <v>2254261.5087530259</v>
      </c>
      <c r="BJ1143">
        <f t="shared" si="67"/>
        <v>0.14826406442689244</v>
      </c>
    </row>
    <row r="1144" spans="1:62" x14ac:dyDescent="0.3">
      <c r="A1144">
        <v>-0.1</v>
      </c>
      <c r="B1144" s="146">
        <v>1000</v>
      </c>
      <c r="C1144" s="146">
        <v>25</v>
      </c>
      <c r="D1144" s="146">
        <v>400</v>
      </c>
      <c r="E1144" s="252">
        <v>17.551518665958284</v>
      </c>
      <c r="F1144" s="146">
        <v>4.2353460738517539</v>
      </c>
      <c r="G1144" s="146">
        <v>20.310702575602697</v>
      </c>
      <c r="H1144" s="146">
        <v>11.027592605310733</v>
      </c>
      <c r="I1144" s="146"/>
      <c r="J1144" s="146">
        <v>0.30988695079248996</v>
      </c>
      <c r="K1144" s="146">
        <v>0.18</v>
      </c>
      <c r="L1144" s="146">
        <v>112.0439223730708</v>
      </c>
      <c r="M1144" s="146">
        <v>55.789504916051854</v>
      </c>
      <c r="N1144" s="146">
        <v>2.0608728311007489</v>
      </c>
      <c r="O1144" s="146"/>
      <c r="P1144" s="146"/>
      <c r="Q1144" s="146"/>
      <c r="R1144" s="146"/>
      <c r="S1144" s="146"/>
      <c r="T1144" s="146"/>
      <c r="U1144" s="146"/>
      <c r="V1144" s="146"/>
      <c r="W1144" s="146"/>
      <c r="X1144" s="146"/>
      <c r="Y1144" s="146"/>
      <c r="Z1144" s="146">
        <v>0.18688329401181011</v>
      </c>
      <c r="AA1144" s="146"/>
      <c r="AB1144" s="146"/>
      <c r="AC1144" s="146"/>
      <c r="AD1144" s="146"/>
      <c r="AE1144" s="146"/>
      <c r="AF1144" s="146"/>
      <c r="AG1144" s="146"/>
      <c r="AH1144" s="146"/>
      <c r="AI1144" s="146"/>
      <c r="AJ1144" s="146"/>
      <c r="AK1144" s="146"/>
      <c r="AL1144" s="146">
        <v>1322.5426781201829</v>
      </c>
      <c r="AM1144" s="146">
        <v>0.20852779750412326</v>
      </c>
      <c r="AN1144" s="146">
        <v>0.27330599622157331</v>
      </c>
      <c r="AO1144" s="146">
        <v>335.78070401452516</v>
      </c>
      <c r="AP1144" s="146">
        <v>292.10626256980868</v>
      </c>
      <c r="AQ1144" t="s">
        <v>384</v>
      </c>
      <c r="AR1144">
        <f t="shared" si="68"/>
        <v>9.762677251918257</v>
      </c>
      <c r="AS1144">
        <f t="shared" si="69"/>
        <v>2.6643645582431001</v>
      </c>
      <c r="AT1144">
        <v>0.2</v>
      </c>
      <c r="AU1144">
        <v>0</v>
      </c>
      <c r="AV1144">
        <v>0.3</v>
      </c>
      <c r="AW1144" s="146">
        <v>2.5</v>
      </c>
      <c r="AX1144" s="146">
        <v>0.23160206232255257</v>
      </c>
      <c r="AY1144">
        <v>0.18</v>
      </c>
      <c r="AZ1144" s="209">
        <v>292.10626256980868</v>
      </c>
      <c r="BA1144">
        <v>0.23160206232255257</v>
      </c>
      <c r="BB1144" s="249">
        <v>48.59272012048114</v>
      </c>
      <c r="BC1144" s="243">
        <v>195.20934281278545</v>
      </c>
      <c r="BD1144" s="209">
        <v>98806.556324055913</v>
      </c>
      <c r="BE1144" s="243">
        <v>61.395006274629964</v>
      </c>
      <c r="BF1144">
        <v>381021.81947222259</v>
      </c>
      <c r="BG1144" t="s">
        <v>389</v>
      </c>
      <c r="BH1144">
        <v>6.5625992795902711E-6</v>
      </c>
      <c r="BI1144">
        <v>2188065.5632405588</v>
      </c>
      <c r="BJ1144">
        <f t="shared" si="67"/>
        <v>0.17413638141076695</v>
      </c>
    </row>
    <row r="1145" spans="1:62" x14ac:dyDescent="0.3">
      <c r="A1145">
        <v>-0.1</v>
      </c>
      <c r="B1145" s="146">
        <v>1000</v>
      </c>
      <c r="C1145" s="146">
        <v>25</v>
      </c>
      <c r="D1145" s="146">
        <v>400</v>
      </c>
      <c r="E1145" s="252">
        <v>15.334644693811605</v>
      </c>
      <c r="F1145" s="146">
        <v>3.5822735378080868</v>
      </c>
      <c r="G1145" s="146">
        <v>17.652869064747435</v>
      </c>
      <c r="H1145" s="146">
        <v>9.6276417730140178</v>
      </c>
      <c r="I1145" s="146"/>
      <c r="J1145" s="146">
        <v>0.32660775998129693</v>
      </c>
      <c r="K1145" s="146">
        <v>0.18</v>
      </c>
      <c r="L1145" s="146">
        <v>97.933151220253421</v>
      </c>
      <c r="M1145" s="146">
        <v>48.763394798466429</v>
      </c>
      <c r="N1145" s="146">
        <v>1.7850293292036525</v>
      </c>
      <c r="O1145" s="146"/>
      <c r="P1145" s="146"/>
      <c r="Q1145" s="146"/>
      <c r="R1145" s="146"/>
      <c r="S1145" s="146"/>
      <c r="T1145" s="146"/>
      <c r="U1145" s="146"/>
      <c r="V1145" s="146"/>
      <c r="W1145" s="146"/>
      <c r="X1145" s="146"/>
      <c r="Y1145" s="146"/>
      <c r="Z1145" s="146">
        <v>0.18540670408064355</v>
      </c>
      <c r="AA1145" s="146"/>
      <c r="AB1145" s="146"/>
      <c r="AC1145" s="146"/>
      <c r="AD1145" s="146"/>
      <c r="AE1145" s="146"/>
      <c r="AF1145" s="146"/>
      <c r="AG1145" s="146"/>
      <c r="AH1145" s="146"/>
      <c r="AI1145" s="146"/>
      <c r="AJ1145" s="146"/>
      <c r="AK1145" s="146"/>
      <c r="AL1145" s="146">
        <v>1199.1646102912807</v>
      </c>
      <c r="AM1145" s="146">
        <v>0.20292868681396631</v>
      </c>
      <c r="AN1145" s="146">
        <v>0.27784197076714406</v>
      </c>
      <c r="AO1145" s="146">
        <v>344.8080336765845</v>
      </c>
      <c r="AP1145" s="146">
        <v>306.64994568945406</v>
      </c>
      <c r="AQ1145" t="s">
        <v>384</v>
      </c>
      <c r="AR1145">
        <f t="shared" si="68"/>
        <v>9.762677251918257</v>
      </c>
      <c r="AS1145">
        <f t="shared" si="69"/>
        <v>2.6643645582431001</v>
      </c>
      <c r="AT1145">
        <v>0.2</v>
      </c>
      <c r="AU1145">
        <v>0</v>
      </c>
      <c r="AV1145">
        <v>0.3</v>
      </c>
      <c r="AW1145" s="146">
        <v>1.5</v>
      </c>
      <c r="AX1145" s="146">
        <v>0.24187631547183885</v>
      </c>
      <c r="AY1145">
        <v>0.18</v>
      </c>
      <c r="AZ1145" s="209">
        <v>306.64994568945406</v>
      </c>
      <c r="BA1145">
        <v>0.24187631547183885</v>
      </c>
      <c r="BB1145" s="249">
        <v>41.574594842042735</v>
      </c>
      <c r="BC1145" s="243">
        <v>159.96340818716791</v>
      </c>
      <c r="BD1145" s="209">
        <v>77720.781271849657</v>
      </c>
      <c r="BE1145" s="243">
        <v>50.871632625547463</v>
      </c>
      <c r="BF1145">
        <v>501917.79283250158</v>
      </c>
      <c r="BG1145" t="s">
        <v>389</v>
      </c>
      <c r="BH1145">
        <v>5.8910251407506348E-6</v>
      </c>
      <c r="BI1145">
        <v>1977207.8127184967</v>
      </c>
      <c r="BJ1145">
        <f t="shared" si="67"/>
        <v>0.25385181547629343</v>
      </c>
    </row>
    <row r="1146" spans="1:62" x14ac:dyDescent="0.3">
      <c r="A1146">
        <v>-0.1</v>
      </c>
      <c r="B1146" s="146">
        <v>1000</v>
      </c>
      <c r="C1146" s="146">
        <v>25</v>
      </c>
      <c r="D1146" s="146">
        <v>400</v>
      </c>
      <c r="E1146" s="252">
        <v>13.286322466357461</v>
      </c>
      <c r="F1146" s="146">
        <v>3.0310814793046328</v>
      </c>
      <c r="G1146" s="146">
        <v>15.237071747517945</v>
      </c>
      <c r="H1146" s="146">
        <v>8.3250379610398895</v>
      </c>
      <c r="I1146" s="146"/>
      <c r="J1146" s="146">
        <v>0.33783151216019236</v>
      </c>
      <c r="K1146" s="146">
        <v>0.18</v>
      </c>
      <c r="L1146" s="146">
        <v>84.767013494881013</v>
      </c>
      <c r="M1146" s="146">
        <v>42.207641574214627</v>
      </c>
      <c r="N1146" s="146">
        <v>1.5697171291168903</v>
      </c>
      <c r="O1146" s="146"/>
      <c r="P1146" s="146"/>
      <c r="Q1146" s="146"/>
      <c r="R1146" s="146"/>
      <c r="S1146" s="146"/>
      <c r="T1146" s="146"/>
      <c r="U1146" s="146"/>
      <c r="V1146" s="146"/>
      <c r="W1146" s="146"/>
      <c r="X1146" s="146"/>
      <c r="Y1146" s="146"/>
      <c r="Z1146" s="146">
        <v>0.18855375032077515</v>
      </c>
      <c r="AA1146" s="146"/>
      <c r="AB1146" s="146"/>
      <c r="AC1146" s="146"/>
      <c r="AD1146" s="146"/>
      <c r="AE1146" s="146"/>
      <c r="AF1146" s="146"/>
      <c r="AG1146" s="146"/>
      <c r="AH1146" s="146"/>
      <c r="AI1146" s="146"/>
      <c r="AJ1146" s="146"/>
      <c r="AK1146" s="146"/>
      <c r="AL1146" s="146">
        <v>1104.4580325693023</v>
      </c>
      <c r="AM1146" s="146">
        <v>0.19892808339623283</v>
      </c>
      <c r="AN1146" s="146">
        <v>0.28066082354205696</v>
      </c>
      <c r="AO1146" s="146">
        <v>352.6605733615454</v>
      </c>
      <c r="AP1146" s="146">
        <v>319.59946801085772</v>
      </c>
      <c r="AQ1146" t="s">
        <v>384</v>
      </c>
      <c r="AR1146">
        <f t="shared" si="68"/>
        <v>9.762677251918257</v>
      </c>
      <c r="AS1146">
        <f t="shared" si="69"/>
        <v>2.6643645582431001</v>
      </c>
      <c r="AT1146">
        <v>0.2</v>
      </c>
      <c r="AU1146">
        <v>0</v>
      </c>
      <c r="AV1146">
        <v>0.3</v>
      </c>
      <c r="AW1146" s="146">
        <v>1</v>
      </c>
      <c r="AX1146" s="146">
        <v>0.24859064243163542</v>
      </c>
      <c r="AY1146">
        <v>0.18</v>
      </c>
      <c r="AZ1146" s="209">
        <v>319.59946801085772</v>
      </c>
      <c r="BA1146">
        <v>0.24859064243163542</v>
      </c>
      <c r="BB1146" s="249">
        <v>35.518032962559218</v>
      </c>
      <c r="BC1146" s="243">
        <v>131.50573862933749</v>
      </c>
      <c r="BD1146" s="209">
        <v>61535.18264764145</v>
      </c>
      <c r="BE1146" s="243">
        <v>42.577677973929688</v>
      </c>
      <c r="BF1146">
        <v>572682.49979642557</v>
      </c>
      <c r="BG1146" t="s">
        <v>389</v>
      </c>
      <c r="BH1146">
        <v>5.25179375768808E-6</v>
      </c>
      <c r="BI1146">
        <v>1815351.8264764145</v>
      </c>
      <c r="BJ1146">
        <f t="shared" si="67"/>
        <v>0.3154663968956356</v>
      </c>
    </row>
    <row r="1147" spans="1:62" x14ac:dyDescent="0.3">
      <c r="A1147">
        <v>-0.1</v>
      </c>
      <c r="B1147" s="146">
        <v>1000</v>
      </c>
      <c r="C1147" s="146">
        <v>25</v>
      </c>
      <c r="D1147" s="146">
        <v>400</v>
      </c>
      <c r="E1147" s="252">
        <v>12.173197033576063</v>
      </c>
      <c r="F1147" s="146">
        <v>2.7510163190113959</v>
      </c>
      <c r="G1147" s="146">
        <v>13.937942782290353</v>
      </c>
      <c r="H1147" s="146">
        <v>7.5938030937953336</v>
      </c>
      <c r="I1147" s="146"/>
      <c r="J1147" s="146">
        <v>0.3397805778754569</v>
      </c>
      <c r="K1147" s="146">
        <v>0.18</v>
      </c>
      <c r="L1147" s="146">
        <v>77.362390808672259</v>
      </c>
      <c r="M1147" s="146">
        <v>38.52069251884096</v>
      </c>
      <c r="N1147" s="146">
        <v>1.4703501285171665</v>
      </c>
      <c r="O1147" s="146"/>
      <c r="P1147" s="146"/>
      <c r="Q1147" s="146"/>
      <c r="R1147" s="146"/>
      <c r="S1147" s="146"/>
      <c r="T1147" s="146"/>
      <c r="U1147" s="146"/>
      <c r="V1147" s="146"/>
      <c r="W1147" s="146"/>
      <c r="X1147" s="146"/>
      <c r="Y1147" s="146"/>
      <c r="Z1147" s="146">
        <v>0.19362500059009233</v>
      </c>
      <c r="AA1147" s="146"/>
      <c r="AB1147" s="146"/>
      <c r="AC1147" s="146"/>
      <c r="AD1147" s="146"/>
      <c r="AE1147" s="146"/>
      <c r="AF1147" s="146"/>
      <c r="AG1147" s="146"/>
      <c r="AH1147" s="146"/>
      <c r="AI1147" s="146"/>
      <c r="AJ1147" s="146"/>
      <c r="AK1147" s="146"/>
      <c r="AL1147" s="146">
        <v>1061.5105962349419</v>
      </c>
      <c r="AM1147" s="146">
        <v>0.19737606632356508</v>
      </c>
      <c r="AN1147" s="146">
        <v>0.28066226890008383</v>
      </c>
      <c r="AO1147" s="146">
        <v>356.62688439994855</v>
      </c>
      <c r="AP1147" s="146">
        <v>326.3355319763582</v>
      </c>
      <c r="AQ1147" t="s">
        <v>384</v>
      </c>
      <c r="AR1147">
        <f t="shared" si="68"/>
        <v>9.762677251918257</v>
      </c>
      <c r="AS1147">
        <f t="shared" si="69"/>
        <v>2.6643645582431001</v>
      </c>
      <c r="AT1147">
        <v>0.2</v>
      </c>
      <c r="AU1147">
        <v>0</v>
      </c>
      <c r="AV1147">
        <v>0.3</v>
      </c>
      <c r="AW1147" s="146">
        <v>0.8</v>
      </c>
      <c r="AX1147" s="146">
        <v>0.24940214435822045</v>
      </c>
      <c r="AY1147">
        <v>0.18</v>
      </c>
      <c r="AZ1147" s="209">
        <v>326.3355319763582</v>
      </c>
      <c r="BA1147">
        <v>0.24940214435822045</v>
      </c>
      <c r="BB1147" s="249">
        <v>32.38776493048541</v>
      </c>
      <c r="BC1147" s="243">
        <v>116.942480817351</v>
      </c>
      <c r="BD1147" s="209">
        <v>53792.17857208963</v>
      </c>
      <c r="BE1147" s="243">
        <v>38.752554866085923</v>
      </c>
      <c r="BF1147">
        <v>603622.50892691128</v>
      </c>
      <c r="BG1147" t="s">
        <v>389</v>
      </c>
      <c r="BH1147">
        <v>4.8784888232057881E-6</v>
      </c>
      <c r="BI1147">
        <v>1737921.7857208964</v>
      </c>
      <c r="BJ1147">
        <f t="shared" si="67"/>
        <v>0.34732432373331829</v>
      </c>
    </row>
    <row r="1148" spans="1:62" x14ac:dyDescent="0.3">
      <c r="A1148">
        <v>-0.1</v>
      </c>
      <c r="B1148" s="146">
        <v>1000</v>
      </c>
      <c r="C1148" s="146">
        <v>25</v>
      </c>
      <c r="D1148" s="146">
        <v>400</v>
      </c>
      <c r="E1148" s="252">
        <v>10.753084343057727</v>
      </c>
      <c r="F1148" s="146">
        <v>2.4070841940012517</v>
      </c>
      <c r="G1148" s="146">
        <v>12.291076162018628</v>
      </c>
      <c r="H1148" s="146">
        <v>6.6745784872519902</v>
      </c>
      <c r="I1148" s="146"/>
      <c r="J1148" s="146">
        <v>0.34364523295222904</v>
      </c>
      <c r="K1148" s="146">
        <v>0.18</v>
      </c>
      <c r="L1148" s="146">
        <v>68.040605296718297</v>
      </c>
      <c r="M1148" s="146">
        <v>33.879139566830695</v>
      </c>
      <c r="N1148" s="146">
        <v>1.3320681283120601</v>
      </c>
      <c r="O1148" s="146"/>
      <c r="P1148" s="146"/>
      <c r="Q1148" s="146"/>
      <c r="R1148" s="146"/>
      <c r="S1148" s="146"/>
      <c r="T1148" s="146"/>
      <c r="U1148" s="146"/>
      <c r="V1148" s="146"/>
      <c r="W1148" s="146"/>
      <c r="X1148" s="146"/>
      <c r="Y1148" s="146"/>
      <c r="Z1148" s="146">
        <v>0.19957337094113484</v>
      </c>
      <c r="AA1148" s="146"/>
      <c r="AB1148" s="146"/>
      <c r="AC1148" s="146"/>
      <c r="AD1148" s="146"/>
      <c r="AE1148" s="146"/>
      <c r="AF1148" s="146"/>
      <c r="AG1148" s="146"/>
      <c r="AH1148" s="146"/>
      <c r="AI1148" s="146"/>
      <c r="AJ1148" s="146"/>
      <c r="AK1148" s="146"/>
      <c r="AL1148" s="146">
        <v>1000.949247002808</v>
      </c>
      <c r="AM1148" s="146">
        <v>0.19583998685481449</v>
      </c>
      <c r="AN1148" s="146">
        <v>0.28055938538930814</v>
      </c>
      <c r="AO1148" s="146">
        <v>361.67269782068922</v>
      </c>
      <c r="AP1148" s="146">
        <v>334.91518284677824</v>
      </c>
      <c r="AQ1148" t="s">
        <v>384</v>
      </c>
      <c r="AR1148">
        <f t="shared" si="68"/>
        <v>9.762677251918257</v>
      </c>
      <c r="AS1148">
        <f t="shared" si="69"/>
        <v>2.6643645582431001</v>
      </c>
      <c r="AT1148">
        <v>0.2</v>
      </c>
      <c r="AU1148">
        <v>0</v>
      </c>
      <c r="AV1148">
        <v>0.3</v>
      </c>
      <c r="AW1148" s="146">
        <v>0.6</v>
      </c>
      <c r="AX1148" s="146">
        <v>0.25117746911152361</v>
      </c>
      <c r="AY1148">
        <v>0.18</v>
      </c>
      <c r="AZ1148" s="209">
        <v>334.91518284677824</v>
      </c>
      <c r="BA1148">
        <v>0.25117746911152361</v>
      </c>
      <c r="BB1148" s="249">
        <v>28.48105970032379</v>
      </c>
      <c r="BC1148" s="243">
        <v>99.805494785195933</v>
      </c>
      <c r="BD1148" s="209">
        <v>44824.550004107281</v>
      </c>
      <c r="BE1148" s="243">
        <v>33.97439399891347</v>
      </c>
      <c r="BF1148">
        <v>629263.69958559866</v>
      </c>
      <c r="BG1148" t="s">
        <v>389</v>
      </c>
      <c r="BH1148">
        <v>4.392485488810446E-6</v>
      </c>
      <c r="BI1148">
        <v>1648245.5000410727</v>
      </c>
      <c r="BJ1148">
        <f t="shared" si="67"/>
        <v>0.3817778962963454</v>
      </c>
    </row>
    <row r="1149" spans="1:62" x14ac:dyDescent="0.3">
      <c r="A1149">
        <v>-0.1</v>
      </c>
      <c r="B1149" s="146">
        <v>1000</v>
      </c>
      <c r="C1149" s="146">
        <v>25</v>
      </c>
      <c r="D1149" s="146">
        <v>400</v>
      </c>
      <c r="E1149" s="252">
        <v>8.914184988620832</v>
      </c>
      <c r="F1149" s="146">
        <v>1.9783788502061781</v>
      </c>
      <c r="G1149" s="146">
        <v>10.172122245348264</v>
      </c>
      <c r="H1149" s="146">
        <v>5.5035304694420217</v>
      </c>
      <c r="I1149" s="146"/>
      <c r="J1149" s="146">
        <v>0.34907995371491501</v>
      </c>
      <c r="K1149" s="146">
        <v>0.18</v>
      </c>
      <c r="L1149" s="146">
        <v>56.145066054403273</v>
      </c>
      <c r="M1149" s="146">
        <v>27.956049487669684</v>
      </c>
      <c r="N1149" s="146">
        <v>1.1492464576007952</v>
      </c>
      <c r="O1149" s="146"/>
      <c r="P1149" s="146"/>
      <c r="Q1149" s="146"/>
      <c r="R1149" s="146"/>
      <c r="S1149" s="146"/>
      <c r="T1149" s="146"/>
      <c r="U1149" s="146"/>
      <c r="V1149" s="146"/>
      <c r="W1149" s="146"/>
      <c r="X1149" s="146"/>
      <c r="Y1149" s="146"/>
      <c r="Z1149" s="146">
        <v>0.20881985917619753</v>
      </c>
      <c r="AA1149" s="146"/>
      <c r="AB1149" s="146"/>
      <c r="AC1149" s="146"/>
      <c r="AD1149" s="146"/>
      <c r="AE1149" s="146"/>
      <c r="AF1149" s="146"/>
      <c r="AG1149" s="146"/>
      <c r="AH1149" s="146"/>
      <c r="AI1149" s="146"/>
      <c r="AJ1149" s="146"/>
      <c r="AK1149" s="146"/>
      <c r="AL1149" s="146">
        <v>920.65623763740689</v>
      </c>
      <c r="AM1149" s="146">
        <v>0.19449027474191979</v>
      </c>
      <c r="AN1149" s="146">
        <v>0.28044973005926038</v>
      </c>
      <c r="AO1149" s="146">
        <v>368.21467795052888</v>
      </c>
      <c r="AP1149" s="146">
        <v>346.03300883700933</v>
      </c>
      <c r="AQ1149" t="s">
        <v>384</v>
      </c>
      <c r="AR1149">
        <f t="shared" si="68"/>
        <v>9.762677251918257</v>
      </c>
      <c r="AS1149">
        <f t="shared" si="69"/>
        <v>2.6643645582431001</v>
      </c>
      <c r="AT1149">
        <v>0.2</v>
      </c>
      <c r="AU1149">
        <v>0</v>
      </c>
      <c r="AV1149">
        <v>0.3</v>
      </c>
      <c r="AW1149" s="146">
        <v>0.4</v>
      </c>
      <c r="AX1149" s="146">
        <v>0.2537465648280896</v>
      </c>
      <c r="AY1149">
        <v>0.18</v>
      </c>
      <c r="AZ1149" s="209">
        <v>346.03300883700933</v>
      </c>
      <c r="BA1149">
        <v>0.2537465648280896</v>
      </c>
      <c r="BB1149" s="249">
        <v>23.534229732713559</v>
      </c>
      <c r="BC1149" s="243">
        <v>79.548748442229666</v>
      </c>
      <c r="BD1149" s="209">
        <v>34508.990494818601</v>
      </c>
      <c r="BE1149" s="243">
        <v>27.950384207507842</v>
      </c>
      <c r="BF1149">
        <v>649438.62420816696</v>
      </c>
      <c r="BG1149" t="s">
        <v>389</v>
      </c>
      <c r="BH1149">
        <v>3.7239014285986098E-6</v>
      </c>
      <c r="BI1149">
        <v>1545089.9049481861</v>
      </c>
      <c r="BJ1149">
        <f t="shared" si="67"/>
        <v>0.4203241650394095</v>
      </c>
    </row>
    <row r="1150" spans="1:62" x14ac:dyDescent="0.3">
      <c r="A1150">
        <v>-0.1</v>
      </c>
      <c r="B1150" s="146">
        <v>1000</v>
      </c>
      <c r="C1150" s="146">
        <v>25</v>
      </c>
      <c r="D1150" s="146">
        <v>400</v>
      </c>
      <c r="E1150" s="252">
        <v>7.7361614489009263</v>
      </c>
      <c r="F1150" s="146">
        <v>1.7133848544833976</v>
      </c>
      <c r="G1150" s="146">
        <v>8.8220695658862169</v>
      </c>
      <c r="H1150" s="146">
        <v>4.7625038762096015</v>
      </c>
      <c r="I1150" s="146"/>
      <c r="J1150" s="146">
        <v>0.35379809945974833</v>
      </c>
      <c r="K1150" s="146">
        <v>0.18</v>
      </c>
      <c r="L1150" s="146">
        <v>48.607100127647627</v>
      </c>
      <c r="M1150" s="146">
        <v>24.202705457749861</v>
      </c>
      <c r="N1150" s="146">
        <v>1.0233008350039023</v>
      </c>
      <c r="O1150" s="146"/>
      <c r="P1150" s="146"/>
      <c r="Q1150" s="146"/>
      <c r="R1150" s="146"/>
      <c r="S1150" s="146"/>
      <c r="T1150" s="146"/>
      <c r="U1150" s="146"/>
      <c r="V1150" s="146"/>
      <c r="W1150" s="146"/>
      <c r="X1150" s="146"/>
      <c r="Y1150" s="146"/>
      <c r="Z1150" s="146">
        <v>0.21486614218114414</v>
      </c>
      <c r="AA1150" s="146"/>
      <c r="AB1150" s="146"/>
      <c r="AC1150" s="146"/>
      <c r="AD1150" s="146"/>
      <c r="AE1150" s="146"/>
      <c r="AF1150" s="146"/>
      <c r="AG1150" s="146"/>
      <c r="AH1150" s="146"/>
      <c r="AI1150" s="146"/>
      <c r="AJ1150" s="146"/>
      <c r="AK1150" s="146"/>
      <c r="AL1150" s="146">
        <v>864.79064876708685</v>
      </c>
      <c r="AM1150" s="146">
        <v>0.19421574968177893</v>
      </c>
      <c r="AN1150" s="146">
        <v>0.2802021112297351</v>
      </c>
      <c r="AO1150" s="146">
        <v>372.39078101535745</v>
      </c>
      <c r="AP1150" s="146">
        <v>353.14023126513553</v>
      </c>
      <c r="AQ1150" t="s">
        <v>384</v>
      </c>
      <c r="AR1150">
        <f t="shared" si="68"/>
        <v>9.762677251918257</v>
      </c>
      <c r="AS1150">
        <f t="shared" si="69"/>
        <v>2.6643645582431001</v>
      </c>
      <c r="AT1150">
        <v>0.2</v>
      </c>
      <c r="AU1150">
        <v>0</v>
      </c>
      <c r="AV1150">
        <v>0.3</v>
      </c>
      <c r="AW1150" s="146">
        <v>0.3</v>
      </c>
      <c r="AX1150" s="146">
        <v>0.256184574222039</v>
      </c>
      <c r="AY1150">
        <v>0.18</v>
      </c>
      <c r="AZ1150" s="209">
        <v>353.14023126513553</v>
      </c>
      <c r="BA1150">
        <v>0.256184574222039</v>
      </c>
      <c r="BB1150" s="249">
        <v>20.42693427107535</v>
      </c>
      <c r="BC1150" s="243">
        <v>67.496646040548328</v>
      </c>
      <c r="BD1150" s="209">
        <v>28580.422809946638</v>
      </c>
      <c r="BE1150" s="243">
        <v>24.189629856888537</v>
      </c>
      <c r="BF1150">
        <v>652574.86866899556</v>
      </c>
      <c r="BG1150" t="s">
        <v>389</v>
      </c>
      <c r="BH1150">
        <v>3.2753550113819716E-6</v>
      </c>
      <c r="BI1150">
        <v>1485804.2280994663</v>
      </c>
      <c r="BJ1150">
        <f t="shared" si="67"/>
        <v>0.43920649593501448</v>
      </c>
    </row>
    <row r="1151" spans="1:62" x14ac:dyDescent="0.3">
      <c r="A1151">
        <v>-0.1</v>
      </c>
      <c r="B1151" s="146">
        <v>1000</v>
      </c>
      <c r="C1151" s="146">
        <v>25</v>
      </c>
      <c r="D1151" s="146">
        <v>400</v>
      </c>
      <c r="E1151" s="252">
        <v>6.2868151241050878</v>
      </c>
      <c r="F1151" s="146">
        <v>1.3939630040283242</v>
      </c>
      <c r="G1151" s="146">
        <v>7.1666579375623094</v>
      </c>
      <c r="H1151" s="146">
        <v>3.8610527292706935</v>
      </c>
      <c r="I1151" s="146"/>
      <c r="J1151" s="146">
        <v>0.36006709503747791</v>
      </c>
      <c r="K1151" s="146">
        <v>0.18</v>
      </c>
      <c r="L1151" s="146">
        <v>39.427049657808908</v>
      </c>
      <c r="M1151" s="146">
        <v>19.631725970693235</v>
      </c>
      <c r="N1151" s="146">
        <v>0.86574487802286493</v>
      </c>
      <c r="O1151" s="146"/>
      <c r="P1151" s="146"/>
      <c r="Q1151" s="146"/>
      <c r="R1151" s="146"/>
      <c r="S1151" s="146"/>
      <c r="T1151" s="146"/>
      <c r="U1151" s="146"/>
      <c r="V1151" s="146"/>
      <c r="W1151" s="146"/>
      <c r="X1151" s="146"/>
      <c r="Y1151" s="146"/>
      <c r="Z1151" s="146">
        <v>0.22422508541767408</v>
      </c>
      <c r="AA1151" s="146"/>
      <c r="AB1151" s="146"/>
      <c r="AC1151" s="146"/>
      <c r="AD1151" s="146"/>
      <c r="AE1151" s="146"/>
      <c r="AF1151" s="146"/>
      <c r="AG1151" s="146"/>
      <c r="AH1151" s="146"/>
      <c r="AI1151" s="146"/>
      <c r="AJ1151" s="146"/>
      <c r="AK1151" s="146"/>
      <c r="AL1151" s="146">
        <v>794.77780518403904</v>
      </c>
      <c r="AM1151" s="146">
        <v>0.19450670259036687</v>
      </c>
      <c r="AN1151" s="146">
        <v>0.28002677767857176</v>
      </c>
      <c r="AO1151" s="146">
        <v>377.54923591156916</v>
      </c>
      <c r="AP1151" s="146">
        <v>361.90536617260648</v>
      </c>
      <c r="AQ1151" t="s">
        <v>384</v>
      </c>
      <c r="AR1151">
        <f t="shared" si="68"/>
        <v>9.762677251918257</v>
      </c>
      <c r="AS1151">
        <f t="shared" si="69"/>
        <v>2.6643645582431001</v>
      </c>
      <c r="AT1151">
        <v>0.2</v>
      </c>
      <c r="AU1151">
        <v>0</v>
      </c>
      <c r="AV1151">
        <v>0.3</v>
      </c>
      <c r="AW1151" s="146">
        <v>0.2</v>
      </c>
      <c r="AX1151" s="146">
        <v>0.25978648076190142</v>
      </c>
      <c r="AY1151">
        <v>0.18</v>
      </c>
      <c r="AZ1151" s="209">
        <v>361.90536617260648</v>
      </c>
      <c r="BA1151">
        <v>0.25978648076190142</v>
      </c>
      <c r="BB1151" s="249">
        <v>16.644567428518982</v>
      </c>
      <c r="BC1151" s="243">
        <v>53.514945654904224</v>
      </c>
      <c r="BD1151" s="209">
        <v>21935.905416450747</v>
      </c>
      <c r="BE1151" s="243">
        <v>19.629578922319521</v>
      </c>
      <c r="BF1151">
        <v>648968.04992195498</v>
      </c>
      <c r="BG1151" t="s">
        <v>389</v>
      </c>
      <c r="BH1151">
        <v>2.6931416871403595E-6</v>
      </c>
      <c r="BI1151">
        <v>1419359.0541645074</v>
      </c>
      <c r="BJ1151">
        <f t="shared" si="67"/>
        <v>0.45722613176548482</v>
      </c>
    </row>
    <row r="1152" spans="1:62" s="140" customFormat="1" x14ac:dyDescent="0.3">
      <c r="A1152" s="140">
        <v>-0.1</v>
      </c>
      <c r="B1152" s="140">
        <v>1000</v>
      </c>
      <c r="C1152" s="140">
        <v>25</v>
      </c>
      <c r="D1152" s="140">
        <v>400</v>
      </c>
      <c r="E1152" s="253">
        <v>4.2890561287022431</v>
      </c>
      <c r="F1152" s="140">
        <v>0.96362316345501653</v>
      </c>
      <c r="G1152" s="140">
        <v>4.8932214900598714</v>
      </c>
      <c r="H1152" s="140">
        <v>2.6339741381168689</v>
      </c>
      <c r="J1152" s="140">
        <v>0.37405549425957985</v>
      </c>
      <c r="K1152" s="140">
        <v>0.18</v>
      </c>
      <c r="L1152" s="140">
        <v>26.914467622799837</v>
      </c>
      <c r="M1152" s="140">
        <v>13.401394666954277</v>
      </c>
      <c r="N1152" s="140">
        <v>0.6258907182838338</v>
      </c>
      <c r="Z1152" s="140">
        <v>0.2376221957635877</v>
      </c>
      <c r="AL1152" s="140">
        <v>686.94913601209225</v>
      </c>
      <c r="AM1152" s="140">
        <v>0.19693021568971039</v>
      </c>
      <c r="AN1152" s="140">
        <v>0.27990058234529164</v>
      </c>
      <c r="AO1152" s="140">
        <v>384.6765015893709</v>
      </c>
      <c r="AP1152" s="140">
        <v>374.00377687017544</v>
      </c>
      <c r="AQ1152" t="s">
        <v>384</v>
      </c>
      <c r="AR1152">
        <f t="shared" si="68"/>
        <v>9.762677251918257</v>
      </c>
      <c r="AS1152">
        <f t="shared" si="69"/>
        <v>2.6643645582431001</v>
      </c>
      <c r="AT1152" s="140">
        <v>0.2</v>
      </c>
      <c r="AU1152">
        <v>0</v>
      </c>
      <c r="AV1152">
        <v>0.3</v>
      </c>
      <c r="AW1152" s="140">
        <v>0.1</v>
      </c>
      <c r="AX1152" s="140">
        <v>0.2696882319455659</v>
      </c>
      <c r="AY1152">
        <v>0.18</v>
      </c>
      <c r="AZ1152" s="209">
        <v>374.00377687017544</v>
      </c>
      <c r="BA1152" s="140">
        <v>0.2696882319455659</v>
      </c>
      <c r="BB1152" s="253">
        <v>11.483059607752516</v>
      </c>
      <c r="BC1152" s="245">
        <v>35.507991041826941</v>
      </c>
      <c r="BD1152" s="210">
        <v>13851.052896342086</v>
      </c>
      <c r="BE1152" s="245">
        <v>13.433520810221138</v>
      </c>
      <c r="BF1152" s="140">
        <v>611926.95734335622</v>
      </c>
      <c r="BG1152" t="s">
        <v>389</v>
      </c>
      <c r="BH1152" s="140">
        <v>1.852611397895195E-6</v>
      </c>
      <c r="BI1152" s="140">
        <v>1338510.5289634208</v>
      </c>
      <c r="BJ1152">
        <f t="shared" si="67"/>
        <v>0.45717007382620234</v>
      </c>
    </row>
    <row r="1153" spans="1:62" x14ac:dyDescent="0.3">
      <c r="A1153">
        <v>-0.1</v>
      </c>
      <c r="B1153" s="146">
        <v>1000</v>
      </c>
      <c r="C1153" s="146">
        <v>25</v>
      </c>
      <c r="D1153" s="146">
        <v>400</v>
      </c>
      <c r="E1153" s="252">
        <v>18.157923195114321</v>
      </c>
      <c r="F1153" s="146">
        <v>4.4278299854031742</v>
      </c>
      <c r="G1153" s="146">
        <v>21.048381002806778</v>
      </c>
      <c r="H1153" s="146">
        <v>11.41692655271927</v>
      </c>
      <c r="I1153" s="146"/>
      <c r="J1153" s="146">
        <v>0.30640510041074653</v>
      </c>
      <c r="K1153" s="146">
        <v>0.18</v>
      </c>
      <c r="L1153" s="146">
        <v>115.96010537638789</v>
      </c>
      <c r="M1153" s="146">
        <v>57.739471556707663</v>
      </c>
      <c r="N1153" s="146">
        <v>2.1275597797400003</v>
      </c>
      <c r="O1153" s="146"/>
      <c r="P1153" s="146"/>
      <c r="Q1153" s="146"/>
      <c r="R1153" s="146"/>
      <c r="S1153" s="146"/>
      <c r="T1153" s="146"/>
      <c r="U1153" s="146"/>
      <c r="V1153" s="146"/>
      <c r="W1153" s="146"/>
      <c r="X1153" s="146"/>
      <c r="Y1153" s="146"/>
      <c r="Z1153" s="146">
        <v>0.1863513590908808</v>
      </c>
      <c r="AA1153" s="146"/>
      <c r="AB1153" s="146"/>
      <c r="AC1153" s="146"/>
      <c r="AD1153" s="146"/>
      <c r="AE1153" s="146"/>
      <c r="AF1153" s="146"/>
      <c r="AG1153" s="146"/>
      <c r="AH1153" s="146"/>
      <c r="AI1153" s="146"/>
      <c r="AJ1153" s="146"/>
      <c r="AK1153" s="146"/>
      <c r="AL1153" s="146">
        <v>1351.8146859230419</v>
      </c>
      <c r="AM1153" s="146">
        <v>0.21036439737634585</v>
      </c>
      <c r="AN1153" s="146">
        <v>0.27189953911207021</v>
      </c>
      <c r="AO1153" s="146">
        <v>333.21826416325746</v>
      </c>
      <c r="AP1153" s="146">
        <v>288.03479605304148</v>
      </c>
      <c r="AQ1153" t="s">
        <v>384</v>
      </c>
      <c r="AR1153">
        <f t="shared" si="68"/>
        <v>9.762677251918257</v>
      </c>
      <c r="AS1153">
        <f t="shared" si="69"/>
        <v>2.6643645582431001</v>
      </c>
      <c r="AT1153">
        <v>0.2</v>
      </c>
      <c r="AU1153">
        <v>0</v>
      </c>
      <c r="AV1153">
        <v>0.3</v>
      </c>
      <c r="AW1153" s="146">
        <v>3</v>
      </c>
      <c r="AX1153" s="146">
        <v>0.22937001849901473</v>
      </c>
      <c r="AY1153">
        <v>0.18</v>
      </c>
      <c r="AZ1153" s="209">
        <v>288.03479605304148</v>
      </c>
      <c r="BA1153">
        <v>0.22937001849901473</v>
      </c>
      <c r="BB1153" s="249">
        <v>50.610451662644181</v>
      </c>
      <c r="BC1153" s="243">
        <v>206.10765212949107</v>
      </c>
      <c r="BD1153" s="209">
        <v>105385.27502685631</v>
      </c>
      <c r="BE1153" s="243">
        <v>64.509473866857348</v>
      </c>
      <c r="BF1153">
        <v>334064.40328016365</v>
      </c>
      <c r="BG1153" t="s">
        <v>390</v>
      </c>
      <c r="BH1153">
        <v>6.7561834500374106E-6</v>
      </c>
      <c r="BI1153">
        <v>2253852.7502685632</v>
      </c>
      <c r="BJ1153">
        <f t="shared" si="67"/>
        <v>0.14821926731476021</v>
      </c>
    </row>
    <row r="1154" spans="1:62" s="140" customFormat="1" x14ac:dyDescent="0.3">
      <c r="A1154">
        <v>-0.2</v>
      </c>
      <c r="B1154" s="146">
        <v>1000</v>
      </c>
      <c r="C1154" s="146">
        <v>25</v>
      </c>
      <c r="D1154" s="146">
        <v>400</v>
      </c>
      <c r="E1154" s="252">
        <v>18.044123562595811</v>
      </c>
      <c r="F1154" s="146">
        <v>4.5011479883716037</v>
      </c>
      <c r="G1154" s="146">
        <v>20.973190087759569</v>
      </c>
      <c r="H1154" s="146">
        <v>11.43087631148053</v>
      </c>
      <c r="I1154" s="146"/>
      <c r="J1154" s="146">
        <v>0.30713529583566018</v>
      </c>
      <c r="K1154" s="146">
        <v>0.18</v>
      </c>
      <c r="L1154" s="146">
        <v>116.11340170836792</v>
      </c>
      <c r="M1154" s="146">
        <v>57.81580168051515</v>
      </c>
      <c r="N1154" s="146">
        <v>2.1034504510674203</v>
      </c>
      <c r="O1154" s="146"/>
      <c r="P1154" s="146"/>
      <c r="Q1154" s="146"/>
      <c r="R1154" s="146"/>
      <c r="S1154" s="146"/>
      <c r="T1154" s="146"/>
      <c r="U1154" s="146"/>
      <c r="V1154" s="146"/>
      <c r="W1154" s="146"/>
      <c r="X1154" s="146"/>
      <c r="Y1154" s="146"/>
      <c r="Z1154" s="146">
        <v>0.18401480286816094</v>
      </c>
      <c r="AA1154" s="146"/>
      <c r="AB1154" s="146"/>
      <c r="AC1154" s="146"/>
      <c r="AD1154" s="146"/>
      <c r="AE1154" s="146"/>
      <c r="AF1154" s="146"/>
      <c r="AG1154" s="146"/>
      <c r="AH1154" s="146"/>
      <c r="AI1154" s="146"/>
      <c r="AJ1154" s="146"/>
      <c r="AK1154" s="146"/>
      <c r="AL1154" s="146">
        <v>1332.2383843477717</v>
      </c>
      <c r="AM1154" s="146">
        <v>0.2146143705147924</v>
      </c>
      <c r="AN1154" s="146">
        <v>0.24192174318746004</v>
      </c>
      <c r="AO1154" s="146">
        <v>325.41338647426244</v>
      </c>
      <c r="AP1154" s="146">
        <v>280.51315881406151</v>
      </c>
      <c r="AQ1154" t="s">
        <v>384</v>
      </c>
      <c r="AR1154">
        <f t="shared" si="68"/>
        <v>9.762677251918257</v>
      </c>
      <c r="AS1154">
        <f t="shared" si="69"/>
        <v>2.6643645582431001</v>
      </c>
      <c r="AT1154">
        <v>0.2</v>
      </c>
      <c r="AU1154">
        <v>0</v>
      </c>
      <c r="AV1154">
        <v>0.3</v>
      </c>
      <c r="AW1154" s="146">
        <v>3</v>
      </c>
      <c r="AX1154" s="146">
        <v>0.22907310269722481</v>
      </c>
      <c r="AY1154">
        <v>0.18</v>
      </c>
      <c r="AZ1154" s="209">
        <v>280.51315881406151</v>
      </c>
      <c r="BA1154" s="140">
        <v>0.22907310269722481</v>
      </c>
      <c r="BB1154" s="253">
        <v>51.015560772953982</v>
      </c>
      <c r="BC1154" s="245">
        <v>206.54575083719342</v>
      </c>
      <c r="BD1154" s="210">
        <v>105797.62866274519</v>
      </c>
      <c r="BE1154" s="245">
        <v>64.851261553988323</v>
      </c>
      <c r="BF1154" s="140">
        <v>332395.54937295982</v>
      </c>
      <c r="BG1154" t="s">
        <v>390</v>
      </c>
      <c r="BH1154" s="140">
        <v>6.705960523094666E-6</v>
      </c>
      <c r="BI1154" s="140">
        <v>2257976.2866274519</v>
      </c>
      <c r="BJ1154">
        <f t="shared" si="67"/>
        <v>0.14720949521991258</v>
      </c>
    </row>
    <row r="1155" spans="1:62" x14ac:dyDescent="0.3">
      <c r="A1155">
        <v>-0.3</v>
      </c>
      <c r="B1155" s="146">
        <v>1000</v>
      </c>
      <c r="C1155" s="146">
        <v>25</v>
      </c>
      <c r="D1155" s="146">
        <v>400</v>
      </c>
      <c r="E1155" s="252">
        <v>17.894038301523779</v>
      </c>
      <c r="F1155" s="146">
        <v>4.5966723882923395</v>
      </c>
      <c r="G1155" s="146">
        <v>20.873374848575089</v>
      </c>
      <c r="H1155" s="146">
        <v>11.449056514838775</v>
      </c>
      <c r="I1155" s="146"/>
      <c r="J1155" s="146">
        <v>0.30820452090869355</v>
      </c>
      <c r="K1155" s="146">
        <v>0.18</v>
      </c>
      <c r="L1155" s="146">
        <v>116.31369379049904</v>
      </c>
      <c r="M1155" s="146">
        <v>57.915532177841847</v>
      </c>
      <c r="N1155" s="146">
        <v>2.0716319187898442</v>
      </c>
      <c r="O1155" s="146"/>
      <c r="P1155" s="146"/>
      <c r="Q1155" s="146"/>
      <c r="R1155" s="146"/>
      <c r="S1155" s="146"/>
      <c r="T1155" s="146"/>
      <c r="U1155" s="146"/>
      <c r="V1155" s="146"/>
      <c r="W1155" s="146"/>
      <c r="X1155" s="146"/>
      <c r="Y1155" s="146"/>
      <c r="Z1155" s="146">
        <v>0.18094346168218009</v>
      </c>
      <c r="AA1155" s="146"/>
      <c r="AB1155" s="146"/>
      <c r="AC1155" s="146"/>
      <c r="AD1155" s="146"/>
      <c r="AE1155" s="146"/>
      <c r="AF1155" s="146"/>
      <c r="AG1155" s="146"/>
      <c r="AH1155" s="146"/>
      <c r="AI1155" s="146"/>
      <c r="AJ1155" s="146"/>
      <c r="AK1155" s="146"/>
      <c r="AL1155" s="146">
        <v>1306.8657177021144</v>
      </c>
      <c r="AM1155" s="146">
        <v>0.22021701912789293</v>
      </c>
      <c r="AN1155" s="146">
        <v>0.21195568343767784</v>
      </c>
      <c r="AO1155" s="146">
        <v>315.57651103616087</v>
      </c>
      <c r="AP1155" s="146">
        <v>271.04975830719167</v>
      </c>
      <c r="AQ1155" t="s">
        <v>384</v>
      </c>
      <c r="AR1155">
        <f t="shared" si="68"/>
        <v>9.762677251918257</v>
      </c>
      <c r="AS1155">
        <f t="shared" si="69"/>
        <v>2.6643645582431001</v>
      </c>
      <c r="AT1155">
        <v>0.2</v>
      </c>
      <c r="AU1155">
        <v>0</v>
      </c>
      <c r="AV1155">
        <v>0.3</v>
      </c>
      <c r="AW1155" s="146">
        <v>3</v>
      </c>
      <c r="AX1155" s="146">
        <v>0.2287565782326097</v>
      </c>
      <c r="AY1155">
        <v>0.18</v>
      </c>
      <c r="AZ1155" s="209">
        <v>271.04975830719167</v>
      </c>
      <c r="BA1155">
        <v>0.2287565782326097</v>
      </c>
      <c r="BB1155" s="249">
        <v>51.540046854684512</v>
      </c>
      <c r="BC1155" s="243">
        <v>207.11951178616812</v>
      </c>
      <c r="BD1155" s="209">
        <v>106325.6380413524</v>
      </c>
      <c r="BE1155" s="243">
        <v>65.280629375888864</v>
      </c>
      <c r="BF1155">
        <v>330144.89090041269</v>
      </c>
      <c r="BG1155" t="s">
        <v>390</v>
      </c>
      <c r="BH1155">
        <v>6.6404264631143519E-6</v>
      </c>
      <c r="BI1155">
        <v>2263256.3804135239</v>
      </c>
      <c r="BJ1155">
        <f t="shared" si="67"/>
        <v>0.14587162716408261</v>
      </c>
    </row>
    <row r="1156" spans="1:62" x14ac:dyDescent="0.3">
      <c r="A1156">
        <v>-0.4</v>
      </c>
      <c r="B1156" s="146">
        <v>1000</v>
      </c>
      <c r="C1156" s="146">
        <v>25</v>
      </c>
      <c r="D1156" s="146">
        <v>400</v>
      </c>
      <c r="E1156" s="252">
        <v>17.684033340767424</v>
      </c>
      <c r="F1156" s="146">
        <v>4.7263864728665252</v>
      </c>
      <c r="G1156" s="146">
        <v>20.731335055661841</v>
      </c>
      <c r="H1156" s="146">
        <v>11.473566234593831</v>
      </c>
      <c r="I1156" s="146"/>
      <c r="J1156" s="146">
        <v>0.31122501949452003</v>
      </c>
      <c r="K1156" s="146">
        <v>0.18</v>
      </c>
      <c r="L1156" s="146">
        <v>116.58472877183378</v>
      </c>
      <c r="M1156" s="146">
        <v>58.050487355269944</v>
      </c>
      <c r="N1156" s="146">
        <v>2.0131224889470438</v>
      </c>
      <c r="O1156" s="146"/>
      <c r="P1156" s="146"/>
      <c r="Q1156" s="146"/>
      <c r="R1156" s="146"/>
      <c r="S1156" s="146"/>
      <c r="T1156" s="146"/>
      <c r="U1156" s="146"/>
      <c r="V1156" s="146"/>
      <c r="W1156" s="146"/>
      <c r="X1156" s="146"/>
      <c r="Y1156" s="146"/>
      <c r="Z1156" s="146">
        <v>0.17545743387764642</v>
      </c>
      <c r="AA1156" s="146"/>
      <c r="AB1156" s="146"/>
      <c r="AC1156" s="146"/>
      <c r="AD1156" s="146"/>
      <c r="AE1156" s="146"/>
      <c r="AF1156" s="146"/>
      <c r="AG1156" s="146"/>
      <c r="AH1156" s="146"/>
      <c r="AI1156" s="146"/>
      <c r="AJ1156" s="146"/>
      <c r="AK1156" s="146"/>
      <c r="AL1156" s="146">
        <v>1265.3990597972513</v>
      </c>
      <c r="AM1156" s="146">
        <v>0.22798273532199381</v>
      </c>
      <c r="AN1156" s="146">
        <v>0.18201357507457896</v>
      </c>
      <c r="AO1156" s="146">
        <v>302.84222847926867</v>
      </c>
      <c r="AP1156" s="146">
        <v>258.83781532372922</v>
      </c>
      <c r="AQ1156" t="s">
        <v>384</v>
      </c>
      <c r="AR1156">
        <f t="shared" si="68"/>
        <v>9.762677251918257</v>
      </c>
      <c r="AS1156">
        <f t="shared" si="69"/>
        <v>2.6643645582431001</v>
      </c>
      <c r="AT1156">
        <v>0.2</v>
      </c>
      <c r="AU1156">
        <v>0</v>
      </c>
      <c r="AV1156">
        <v>0.3</v>
      </c>
      <c r="AW1156" s="146">
        <v>3</v>
      </c>
      <c r="AX1156" s="146">
        <v>0.22918538988590756</v>
      </c>
      <c r="AY1156">
        <v>0.18</v>
      </c>
      <c r="AZ1156" s="209">
        <v>258.83781532372922</v>
      </c>
      <c r="BA1156">
        <v>0.22918538988590756</v>
      </c>
      <c r="BB1156" s="249">
        <v>52.230264420492702</v>
      </c>
      <c r="BC1156" s="243">
        <v>207.89838273648488</v>
      </c>
      <c r="BD1156" s="209">
        <v>106962.62978298153</v>
      </c>
      <c r="BE1156" s="243">
        <v>65.745008647976618</v>
      </c>
      <c r="BF1156">
        <v>326762.787552558</v>
      </c>
      <c r="BG1156" t="s">
        <v>390</v>
      </c>
      <c r="BH1156">
        <v>6.552279209079972E-6</v>
      </c>
      <c r="BI1156">
        <v>2269626.2978298152</v>
      </c>
      <c r="BJ1156">
        <f t="shared" ref="BJ1156:BJ1219" si="70">BF1156/BI1156</f>
        <v>0.14397206617891412</v>
      </c>
    </row>
    <row r="1157" spans="1:62" x14ac:dyDescent="0.3">
      <c r="A1157">
        <v>-0.5</v>
      </c>
      <c r="B1157" s="146">
        <v>1000</v>
      </c>
      <c r="C1157" s="146">
        <v>25</v>
      </c>
      <c r="D1157" s="146">
        <v>400</v>
      </c>
      <c r="E1157" s="252">
        <v>17.385376879935219</v>
      </c>
      <c r="F1157" s="146">
        <v>4.9119628104940105</v>
      </c>
      <c r="G1157" s="146">
        <v>20.530064773035381</v>
      </c>
      <c r="H1157" s="146">
        <v>11.509130860743349</v>
      </c>
      <c r="I1157" s="146"/>
      <c r="J1157" s="146">
        <v>0.3145495109866025</v>
      </c>
      <c r="K1157" s="146">
        <v>0.18</v>
      </c>
      <c r="L1157" s="146">
        <v>116.97953049464756</v>
      </c>
      <c r="M1157" s="146">
        <v>58.247069125965602</v>
      </c>
      <c r="N1157" s="146">
        <v>1.9445136711389654</v>
      </c>
      <c r="O1157" s="146"/>
      <c r="P1157" s="146"/>
      <c r="Q1157" s="146"/>
      <c r="R1157" s="146"/>
      <c r="S1157" s="146"/>
      <c r="T1157" s="146"/>
      <c r="U1157" s="146"/>
      <c r="V1157" s="146"/>
      <c r="W1157" s="146"/>
      <c r="X1157" s="146"/>
      <c r="Y1157" s="146"/>
      <c r="Z1157" s="146">
        <v>0.16895399788801893</v>
      </c>
      <c r="AA1157" s="146"/>
      <c r="AB1157" s="146"/>
      <c r="AC1157" s="146"/>
      <c r="AD1157" s="146"/>
      <c r="AE1157" s="146"/>
      <c r="AF1157" s="146"/>
      <c r="AG1157" s="146"/>
      <c r="AH1157" s="146"/>
      <c r="AI1157" s="146"/>
      <c r="AJ1157" s="146"/>
      <c r="AK1157" s="146"/>
      <c r="AL1157" s="146">
        <v>1214.6911067198912</v>
      </c>
      <c r="AM1157" s="146">
        <v>0.23925705373056036</v>
      </c>
      <c r="AN1157" s="146">
        <v>0.1520967752483654</v>
      </c>
      <c r="AO1157" s="146">
        <v>285.69529596175931</v>
      </c>
      <c r="AP1157" s="146">
        <v>242.43427115040927</v>
      </c>
      <c r="AQ1157" t="s">
        <v>384</v>
      </c>
      <c r="AR1157">
        <f t="shared" si="68"/>
        <v>9.762677251918257</v>
      </c>
      <c r="AS1157">
        <f t="shared" si="69"/>
        <v>2.6643645582431001</v>
      </c>
      <c r="AT1157">
        <v>0.2</v>
      </c>
      <c r="AU1157">
        <v>0</v>
      </c>
      <c r="AV1157">
        <v>0.3</v>
      </c>
      <c r="AW1157" s="146">
        <v>3</v>
      </c>
      <c r="AX1157" s="146">
        <v>0.22925003710172839</v>
      </c>
      <c r="AY1157">
        <v>0.18</v>
      </c>
      <c r="AZ1157" s="209">
        <v>242.43427115040927</v>
      </c>
      <c r="BA1157">
        <v>0.22925003710172839</v>
      </c>
      <c r="BB1157" s="249">
        <v>53.22622381421322</v>
      </c>
      <c r="BC1157" s="243">
        <v>209.03802000060583</v>
      </c>
      <c r="BD1157" s="209">
        <v>107909.24873955779</v>
      </c>
      <c r="BE1157" s="243">
        <v>66.444575140656255</v>
      </c>
      <c r="BF1157">
        <v>321982.80368392455</v>
      </c>
      <c r="BG1157" t="s">
        <v>390</v>
      </c>
      <c r="BH1157">
        <v>6.4261512295797902E-6</v>
      </c>
      <c r="BI1157">
        <v>2279092.4873955781</v>
      </c>
      <c r="BJ1157">
        <f t="shared" si="70"/>
        <v>0.1412767605810806</v>
      </c>
    </row>
    <row r="1158" spans="1:62" x14ac:dyDescent="0.3">
      <c r="A1158">
        <v>-0.6</v>
      </c>
      <c r="B1158" s="146">
        <v>1000</v>
      </c>
      <c r="C1158" s="146">
        <v>25</v>
      </c>
      <c r="D1158" s="146">
        <v>400</v>
      </c>
      <c r="E1158" s="252">
        <v>16.917332332788828</v>
      </c>
      <c r="F1158" s="146">
        <v>5.1953986774658025</v>
      </c>
      <c r="G1158" s="146">
        <v>20.210544500477532</v>
      </c>
      <c r="H1158" s="146">
        <v>11.565183541166371</v>
      </c>
      <c r="I1158" s="146"/>
      <c r="J1158" s="146">
        <v>0.32105037213511162</v>
      </c>
      <c r="K1158" s="146">
        <v>0.18</v>
      </c>
      <c r="L1158" s="146">
        <v>117.60522039195587</v>
      </c>
      <c r="M1158" s="146">
        <v>58.558615962799614</v>
      </c>
      <c r="N1158" s="146">
        <v>1.8358076288258793</v>
      </c>
      <c r="O1158" s="146"/>
      <c r="P1158" s="146"/>
      <c r="Q1158" s="146"/>
      <c r="R1158" s="146"/>
      <c r="S1158" s="146"/>
      <c r="T1158" s="146"/>
      <c r="U1158" s="146"/>
      <c r="V1158" s="146"/>
      <c r="W1158" s="146"/>
      <c r="X1158" s="146"/>
      <c r="Y1158" s="146"/>
      <c r="Z1158" s="146">
        <v>0.15873571070370876</v>
      </c>
      <c r="AA1158" s="146"/>
      <c r="AB1158" s="146"/>
      <c r="AC1158" s="146"/>
      <c r="AD1158" s="146"/>
      <c r="AE1158" s="146"/>
      <c r="AF1158" s="146"/>
      <c r="AG1158" s="146"/>
      <c r="AH1158" s="146"/>
      <c r="AI1158" s="146"/>
      <c r="AJ1158" s="146"/>
      <c r="AK1158" s="146"/>
      <c r="AL1158" s="146">
        <v>1137.3879579255149</v>
      </c>
      <c r="AM1158" s="146">
        <v>0.25706376576559065</v>
      </c>
      <c r="AN1158" s="146">
        <v>0.12221785820065426</v>
      </c>
      <c r="AO1158" s="146">
        <v>261.58052037686366</v>
      </c>
      <c r="AP1158" s="146">
        <v>219.48414351257489</v>
      </c>
      <c r="AQ1158" t="s">
        <v>384</v>
      </c>
      <c r="AR1158">
        <f t="shared" si="68"/>
        <v>9.762677251918257</v>
      </c>
      <c r="AS1158">
        <f t="shared" si="69"/>
        <v>2.6643645582431001</v>
      </c>
      <c r="AT1158">
        <v>0.2</v>
      </c>
      <c r="AU1158">
        <v>0</v>
      </c>
      <c r="AV1158">
        <v>0.3</v>
      </c>
      <c r="AW1158" s="146">
        <v>3</v>
      </c>
      <c r="AX1158" s="146">
        <v>0.23011773047232201</v>
      </c>
      <c r="AY1158">
        <v>0.18</v>
      </c>
      <c r="AZ1158" s="209">
        <v>219.48414351257489</v>
      </c>
      <c r="BA1158">
        <v>0.23011773047232201</v>
      </c>
      <c r="BB1158" s="249">
        <v>54.715435424208678</v>
      </c>
      <c r="BC1158" s="243">
        <v>210.85667259097821</v>
      </c>
      <c r="BD1158" s="209">
        <v>109277.67593793507</v>
      </c>
      <c r="BE1158" s="243">
        <v>67.348458991342454</v>
      </c>
      <c r="BF1158">
        <v>314161.77952133399</v>
      </c>
      <c r="BG1158" t="s">
        <v>390</v>
      </c>
      <c r="BH1158">
        <v>6.2331104289929113E-6</v>
      </c>
      <c r="BI1158">
        <v>2292776.7593793506</v>
      </c>
      <c r="BJ1158">
        <f t="shared" si="70"/>
        <v>0.13702240230591697</v>
      </c>
    </row>
    <row r="1159" spans="1:62" x14ac:dyDescent="0.3">
      <c r="A1159">
        <v>-0.7</v>
      </c>
      <c r="B1159" s="146">
        <v>1000</v>
      </c>
      <c r="C1159" s="146">
        <v>25</v>
      </c>
      <c r="D1159" s="146">
        <v>400</v>
      </c>
      <c r="E1159" s="252">
        <v>16.116284964200602</v>
      </c>
      <c r="F1159" s="146">
        <v>5.7080734280267826</v>
      </c>
      <c r="G1159" s="146">
        <v>19.678501172549979</v>
      </c>
      <c r="H1159" s="146">
        <v>11.661829650427675</v>
      </c>
      <c r="I1159" s="146"/>
      <c r="J1159" s="146">
        <v>0.33363563704234611</v>
      </c>
      <c r="K1159" s="146">
        <v>0.18</v>
      </c>
      <c r="L1159" s="146">
        <v>118.70293370948221</v>
      </c>
      <c r="M1159" s="146">
        <v>59.105195208040946</v>
      </c>
      <c r="N1159" s="146">
        <v>1.6544910498178478</v>
      </c>
      <c r="O1159" s="146"/>
      <c r="P1159" s="146"/>
      <c r="Q1159" s="146"/>
      <c r="R1159" s="146"/>
      <c r="S1159" s="146"/>
      <c r="T1159" s="146"/>
      <c r="U1159" s="146"/>
      <c r="V1159" s="146"/>
      <c r="W1159" s="146"/>
      <c r="X1159" s="146"/>
      <c r="Y1159" s="146"/>
      <c r="Z1159" s="146">
        <v>0.14187233902504934</v>
      </c>
      <c r="AA1159" s="146"/>
      <c r="AB1159" s="146"/>
      <c r="AC1159" s="146"/>
      <c r="AD1159" s="146"/>
      <c r="AE1159" s="146"/>
      <c r="AF1159" s="146"/>
      <c r="AG1159" s="146"/>
      <c r="AH1159" s="146"/>
      <c r="AI1159" s="146"/>
      <c r="AJ1159" s="146"/>
      <c r="AK1159" s="146"/>
      <c r="AL1159" s="146">
        <v>1012.0224839776447</v>
      </c>
      <c r="AM1159" s="146">
        <v>0.29006647294810811</v>
      </c>
      <c r="AN1159" s="146">
        <v>9.2029961528966725E-2</v>
      </c>
      <c r="AO1159" s="146">
        <v>224.88002063189009</v>
      </c>
      <c r="AP1159" s="146">
        <v>184.77695906872336</v>
      </c>
      <c r="AQ1159" t="s">
        <v>384</v>
      </c>
      <c r="AR1159">
        <f t="shared" si="68"/>
        <v>9.762677251918257</v>
      </c>
      <c r="AS1159">
        <f t="shared" si="69"/>
        <v>2.6643645582431001</v>
      </c>
      <c r="AT1159">
        <v>0.2</v>
      </c>
      <c r="AU1159">
        <v>0</v>
      </c>
      <c r="AV1159">
        <v>0.3</v>
      </c>
      <c r="AW1159" s="146">
        <v>3</v>
      </c>
      <c r="AX1159" s="146">
        <v>0.23200152836481278</v>
      </c>
      <c r="AY1159">
        <v>0.18</v>
      </c>
      <c r="AZ1159" s="209">
        <v>184.77695906872336</v>
      </c>
      <c r="BA1159">
        <v>0.23200152836481278</v>
      </c>
      <c r="BB1159" s="249">
        <v>57.421570499287043</v>
      </c>
      <c r="BC1159" s="243">
        <v>214.08518571236809</v>
      </c>
      <c r="BD1159" s="209">
        <v>112118.69178424604</v>
      </c>
      <c r="BE1159" s="243">
        <v>69.186612022026964</v>
      </c>
      <c r="BF1159">
        <v>301341.57485564915</v>
      </c>
      <c r="BG1159" t="s">
        <v>390</v>
      </c>
      <c r="BH1159">
        <v>5.8917007919706361E-6</v>
      </c>
      <c r="BI1159">
        <v>2321186.9178424603</v>
      </c>
      <c r="BJ1159">
        <f t="shared" si="70"/>
        <v>0.12982219249096305</v>
      </c>
    </row>
    <row r="1160" spans="1:62" x14ac:dyDescent="0.3">
      <c r="A1160">
        <v>-0.8</v>
      </c>
      <c r="B1160" s="146">
        <v>1000</v>
      </c>
      <c r="C1160" s="146">
        <v>25</v>
      </c>
      <c r="D1160" s="146">
        <v>400</v>
      </c>
      <c r="E1160" s="252">
        <v>14.403596146751218</v>
      </c>
      <c r="F1160" s="146">
        <v>7.1836122925876449</v>
      </c>
      <c r="G1160" s="146">
        <v>18.743536133144261</v>
      </c>
      <c r="H1160" s="146">
        <v>11.8286890241486</v>
      </c>
      <c r="I1160" s="146"/>
      <c r="J1160" s="146">
        <v>0.35983666815242188</v>
      </c>
      <c r="K1160" s="146">
        <v>0.18</v>
      </c>
      <c r="L1160" s="146">
        <v>120.80899764329868</v>
      </c>
      <c r="M1160" s="146">
        <v>60.153857747700592</v>
      </c>
      <c r="N1160" s="146">
        <v>1.2855479451235894</v>
      </c>
      <c r="O1160" s="146"/>
      <c r="P1160" s="146"/>
      <c r="Q1160" s="146"/>
      <c r="R1160" s="146"/>
      <c r="S1160" s="146"/>
      <c r="T1160" s="146"/>
      <c r="U1160" s="146"/>
      <c r="V1160" s="146"/>
      <c r="W1160" s="146"/>
      <c r="X1160" s="146"/>
      <c r="Y1160" s="146"/>
      <c r="Z1160" s="146">
        <v>0.10868050909945365</v>
      </c>
      <c r="AA1160" s="146"/>
      <c r="AB1160" s="146"/>
      <c r="AC1160" s="146"/>
      <c r="AD1160" s="146"/>
      <c r="AE1160" s="146"/>
      <c r="AF1160" s="146"/>
      <c r="AG1160" s="146"/>
      <c r="AH1160" s="146"/>
      <c r="AI1160" s="146"/>
      <c r="AJ1160" s="146"/>
      <c r="AK1160" s="146"/>
      <c r="AL1160" s="146">
        <v>765.63824687144756</v>
      </c>
      <c r="AM1160" s="146">
        <v>0.38325811317347092</v>
      </c>
      <c r="AN1160" s="146">
        <v>5.9693044233848011E-2</v>
      </c>
      <c r="AO1160" s="146">
        <v>158.70561919534532</v>
      </c>
      <c r="AP1160" s="146">
        <v>122.8642743096528</v>
      </c>
      <c r="AQ1160" t="s">
        <v>384</v>
      </c>
      <c r="AR1160">
        <f t="shared" si="68"/>
        <v>9.762677251918257</v>
      </c>
      <c r="AS1160">
        <f t="shared" si="69"/>
        <v>2.6643645582431001</v>
      </c>
      <c r="AT1160">
        <v>0.2</v>
      </c>
      <c r="AU1160">
        <v>0</v>
      </c>
      <c r="AV1160">
        <v>0.3</v>
      </c>
      <c r="AW1160" s="146">
        <v>3</v>
      </c>
      <c r="AX1160" s="146">
        <v>0.2317668197287362</v>
      </c>
      <c r="AY1160">
        <v>0.18</v>
      </c>
      <c r="AZ1160" s="209">
        <v>122.8642743096528</v>
      </c>
      <c r="BA1160">
        <v>0.2317668197287362</v>
      </c>
      <c r="BB1160" s="249">
        <v>65.752434150223522</v>
      </c>
      <c r="BC1160" s="243">
        <v>220.41931572361719</v>
      </c>
      <c r="BD1160" s="209">
        <v>121194.04357775231</v>
      </c>
      <c r="BE1160" s="243">
        <v>78.834220316070969</v>
      </c>
      <c r="BF1160">
        <v>282514.81169159559</v>
      </c>
      <c r="BG1160" t="s">
        <v>390</v>
      </c>
      <c r="BH1160">
        <v>5.0967129124525232E-6</v>
      </c>
      <c r="BI1160">
        <v>2411940.4357775231</v>
      </c>
      <c r="BJ1160">
        <f t="shared" si="70"/>
        <v>0.11713175313159131</v>
      </c>
    </row>
    <row r="1161" spans="1:62" x14ac:dyDescent="0.3">
      <c r="A1161">
        <v>-0.85</v>
      </c>
      <c r="B1161" s="146">
        <v>1000</v>
      </c>
      <c r="C1161" s="146">
        <v>25</v>
      </c>
      <c r="D1161" s="146">
        <v>400</v>
      </c>
      <c r="E1161" s="252">
        <v>10.079382562162547</v>
      </c>
      <c r="F1161" s="146">
        <v>4.4108517576236528</v>
      </c>
      <c r="G1161" s="146">
        <v>12.712159457171364</v>
      </c>
      <c r="H1161" s="146">
        <v>7.7387511755583915</v>
      </c>
      <c r="I1161" s="146"/>
      <c r="J1161" s="146">
        <v>0.35611639998410333</v>
      </c>
      <c r="K1161" s="146">
        <v>0.18</v>
      </c>
      <c r="L1161" s="146">
        <v>79.296642336029834</v>
      </c>
      <c r="M1161" s="146">
        <v>39.483805312545968</v>
      </c>
      <c r="N1161" s="146">
        <v>1.0913308725397375</v>
      </c>
      <c r="O1161" s="146"/>
      <c r="P1161" s="146"/>
      <c r="Q1161" s="146"/>
      <c r="R1161" s="146"/>
      <c r="S1161" s="146"/>
      <c r="T1161" s="146"/>
      <c r="U1161" s="146"/>
      <c r="V1161" s="146"/>
      <c r="W1161" s="146"/>
      <c r="X1161" s="146"/>
      <c r="Y1161" s="146"/>
      <c r="Z1161" s="146">
        <v>0.14102157412510324</v>
      </c>
      <c r="AA1161" s="146"/>
      <c r="AB1161" s="146"/>
      <c r="AC1161" s="146"/>
      <c r="AD1161" s="146"/>
      <c r="AE1161" s="146"/>
      <c r="AF1161" s="146"/>
      <c r="AG1161" s="146"/>
      <c r="AH1161" s="146"/>
      <c r="AI1161" s="146"/>
      <c r="AJ1161" s="146"/>
      <c r="AK1161" s="146"/>
      <c r="AL1161" s="146">
        <v>697.53489797556017</v>
      </c>
      <c r="AM1161" s="146">
        <v>0.34697895133272111</v>
      </c>
      <c r="AN1161" s="146">
        <v>4.5189008032240109E-2</v>
      </c>
      <c r="AO1161" s="146">
        <v>176.95056826714566</v>
      </c>
      <c r="AP1161" s="146">
        <v>151.86946170569141</v>
      </c>
      <c r="AQ1161" t="s">
        <v>384</v>
      </c>
      <c r="AR1161">
        <f t="shared" si="68"/>
        <v>9.762677251918257</v>
      </c>
      <c r="AS1161">
        <f t="shared" si="69"/>
        <v>2.6643645582431001</v>
      </c>
      <c r="AT1161">
        <v>0.2</v>
      </c>
      <c r="AU1161">
        <v>0</v>
      </c>
      <c r="AV1161">
        <v>0.3</v>
      </c>
      <c r="AW1161" s="146">
        <v>3</v>
      </c>
      <c r="AX1161" s="146">
        <v>0.23337713146932501</v>
      </c>
      <c r="AY1161">
        <v>0.18</v>
      </c>
      <c r="AZ1161" s="209">
        <v>151.86946170569141</v>
      </c>
      <c r="BA1161">
        <v>0.23337713146932501</v>
      </c>
      <c r="BB1161" s="249">
        <v>42.117851635754747</v>
      </c>
      <c r="BC1161" s="243">
        <v>120.65928708354399</v>
      </c>
      <c r="BD1161" s="209">
        <v>62194.704353996058</v>
      </c>
      <c r="BE1161" s="243">
        <v>50.281119395252354</v>
      </c>
      <c r="BF1161">
        <v>658194.69581552385</v>
      </c>
      <c r="BG1161" t="s">
        <v>390</v>
      </c>
      <c r="BH1161">
        <v>3.7401881281140593E-6</v>
      </c>
      <c r="BI1161">
        <v>1821947.0435399606</v>
      </c>
      <c r="BJ1161">
        <f t="shared" si="70"/>
        <v>0.36125896092823934</v>
      </c>
    </row>
    <row r="1162" spans="1:62" s="160" customFormat="1" ht="15" thickBot="1" x14ac:dyDescent="0.35">
      <c r="A1162" s="160">
        <v>-0.87</v>
      </c>
      <c r="B1162" s="160">
        <v>1000</v>
      </c>
      <c r="C1162" s="160">
        <v>25</v>
      </c>
      <c r="D1162" s="160">
        <v>400</v>
      </c>
      <c r="E1162" s="250">
        <v>3.5652542747017106</v>
      </c>
      <c r="F1162" s="160">
        <v>0.98462935778472727</v>
      </c>
      <c r="G1162" s="160">
        <v>4.1667813334469477</v>
      </c>
      <c r="H1162" s="160">
        <v>2.3165423292633371</v>
      </c>
      <c r="J1162" s="160">
        <v>0.3779347772958741</v>
      </c>
      <c r="K1162" s="160">
        <v>0.18</v>
      </c>
      <c r="L1162" s="160">
        <v>23.705767565618572</v>
      </c>
      <c r="M1162" s="160">
        <v>11.803701692424188</v>
      </c>
      <c r="N1162" s="160">
        <v>0.56069955372805746</v>
      </c>
      <c r="Z1162" s="160">
        <v>0.24204157491322875</v>
      </c>
      <c r="AL1162" s="160">
        <v>583.1312815452884</v>
      </c>
      <c r="AM1162" s="160">
        <v>0.23630454276087434</v>
      </c>
      <c r="AN1162" s="160">
        <v>4.0355185307221327E-2</v>
      </c>
      <c r="AO1162" s="160">
        <v>311.65313087872926</v>
      </c>
      <c r="AP1162" s="160">
        <v>302.78150468125972</v>
      </c>
      <c r="AQ1162" t="s">
        <v>384</v>
      </c>
      <c r="AR1162" s="160">
        <f t="shared" si="68"/>
        <v>9.762677251918257</v>
      </c>
      <c r="AS1162" s="160">
        <f t="shared" si="69"/>
        <v>2.6643645582431001</v>
      </c>
      <c r="AT1162" s="160">
        <v>0.2</v>
      </c>
      <c r="AU1162">
        <v>0</v>
      </c>
      <c r="AV1162" s="160">
        <v>0.3</v>
      </c>
      <c r="AW1162" s="160">
        <v>3</v>
      </c>
      <c r="AX1162" s="160">
        <v>0.26426472199080631</v>
      </c>
      <c r="AY1162" s="160">
        <v>0.18</v>
      </c>
      <c r="AZ1162" s="248">
        <v>302.78150468125972</v>
      </c>
      <c r="BA1162" s="160">
        <v>0.26426472199080631</v>
      </c>
      <c r="BB1162" s="250">
        <v>10.913223499922637</v>
      </c>
      <c r="BC1162" s="246">
        <v>31.06155413747631</v>
      </c>
      <c r="BD1162" s="248">
        <v>12354.902568837826</v>
      </c>
      <c r="BE1162" s="246">
        <v>12.623397803673106</v>
      </c>
      <c r="BF1162" s="160">
        <v>854356.54619827832</v>
      </c>
      <c r="BG1162" s="254" t="s">
        <v>390</v>
      </c>
      <c r="BH1162" s="160">
        <v>1.2539448330624455E-6</v>
      </c>
      <c r="BI1162" s="160">
        <v>1323549.0256883781</v>
      </c>
      <c r="BJ1162">
        <f t="shared" si="70"/>
        <v>0.64550426891359558</v>
      </c>
    </row>
    <row r="1163" spans="1:62" x14ac:dyDescent="0.3">
      <c r="A1163">
        <v>-0.1</v>
      </c>
      <c r="B1163" s="146">
        <v>100</v>
      </c>
      <c r="C1163" s="146">
        <v>25</v>
      </c>
      <c r="D1163" s="146">
        <v>400</v>
      </c>
      <c r="E1163" s="249">
        <v>3.1240233386973619</v>
      </c>
      <c r="F1163">
        <v>0.59359409097215132</v>
      </c>
      <c r="G1163">
        <v>3.6309282175406707</v>
      </c>
      <c r="H1163">
        <v>2.9827609502091748</v>
      </c>
      <c r="J1163">
        <v>0.53406454175503815</v>
      </c>
      <c r="K1163">
        <v>0.27</v>
      </c>
      <c r="L1163">
        <v>20.015518169762263</v>
      </c>
      <c r="M1163">
        <v>8.7204539743777492</v>
      </c>
      <c r="N1163">
        <v>0.91203003457833987</v>
      </c>
      <c r="Z1163">
        <v>0.30576705602719556</v>
      </c>
      <c r="AL1163">
        <v>831.89194985075335</v>
      </c>
      <c r="AM1163">
        <v>0.1634827392358115</v>
      </c>
      <c r="AN1163">
        <v>0.19107897118357592</v>
      </c>
      <c r="AO1163">
        <v>383.65061670917197</v>
      </c>
      <c r="AP1163">
        <v>375.87693256158349</v>
      </c>
      <c r="AQ1163" t="s">
        <v>385</v>
      </c>
      <c r="AR1163">
        <f t="shared" ref="AR1163:AR1202" si="71">0.45*Jsat_t</f>
        <v>14.644015877877388</v>
      </c>
      <c r="AS1163">
        <f t="shared" ref="AS1163:AS1202" si="72">0.15*Jatp</f>
        <v>3.9965468373646496</v>
      </c>
      <c r="AT1163">
        <v>0.3</v>
      </c>
      <c r="AU1163">
        <v>0</v>
      </c>
      <c r="AV1163">
        <v>0.4</v>
      </c>
      <c r="AW1163">
        <v>3</v>
      </c>
      <c r="AX1163">
        <v>0.40620115512034721</v>
      </c>
      <c r="AY1163">
        <v>0.27</v>
      </c>
      <c r="AZ1163" s="209">
        <v>375.87693256158349</v>
      </c>
      <c r="BA1163">
        <v>0.40620115512034721</v>
      </c>
      <c r="BB1163" s="249">
        <v>7.6583035828965125</v>
      </c>
      <c r="BC1163" s="243">
        <v>70.157515212294129</v>
      </c>
      <c r="BD1163" s="209">
        <v>24888.572479810737</v>
      </c>
      <c r="BE1163" s="243">
        <v>13.885618130599125</v>
      </c>
      <c r="BF1163">
        <v>17208.988192235571</v>
      </c>
      <c r="BG1163" t="s">
        <v>387</v>
      </c>
      <c r="BH1163">
        <v>1.9253691524372271E-6</v>
      </c>
      <c r="BI1163">
        <v>1448885.7247981073</v>
      </c>
      <c r="BJ1163">
        <f t="shared" si="70"/>
        <v>1.1877395088997465E-2</v>
      </c>
    </row>
    <row r="1164" spans="1:62" x14ac:dyDescent="0.3">
      <c r="A1164">
        <v>-0.1</v>
      </c>
      <c r="B1164" s="146">
        <v>200</v>
      </c>
      <c r="C1164" s="146">
        <v>25</v>
      </c>
      <c r="D1164" s="146">
        <v>400</v>
      </c>
      <c r="E1164" s="252">
        <v>5.8608162395557315</v>
      </c>
      <c r="F1164" s="146">
        <v>1.0120089560381609</v>
      </c>
      <c r="G1164" s="146">
        <v>6.6749311503473621</v>
      </c>
      <c r="H1164" s="146">
        <v>5.512476415699604</v>
      </c>
      <c r="I1164" s="146"/>
      <c r="J1164" s="146">
        <v>0.54549376483520051</v>
      </c>
      <c r="K1164" s="146">
        <v>0.27</v>
      </c>
      <c r="L1164" s="146">
        <v>37.070204646784902</v>
      </c>
      <c r="M1164" s="146">
        <v>16.150919036980973</v>
      </c>
      <c r="N1164" s="146">
        <v>1.4068126959299878</v>
      </c>
      <c r="O1164" s="146"/>
      <c r="P1164" s="146"/>
      <c r="Q1164" s="146"/>
      <c r="R1164" s="146"/>
      <c r="S1164" s="146"/>
      <c r="T1164" s="146"/>
      <c r="U1164" s="146"/>
      <c r="V1164" s="146"/>
      <c r="W1164" s="146"/>
      <c r="X1164" s="146"/>
      <c r="Y1164" s="146"/>
      <c r="Z1164" s="146">
        <v>0.25520520902790023</v>
      </c>
      <c r="AA1164" s="146"/>
      <c r="AB1164" s="146"/>
      <c r="AC1164" s="146"/>
      <c r="AD1164" s="146"/>
      <c r="AE1164" s="146"/>
      <c r="AF1164" s="146"/>
      <c r="AG1164" s="146"/>
      <c r="AH1164" s="146"/>
      <c r="AI1164" s="146"/>
      <c r="AJ1164" s="146"/>
      <c r="AK1164" s="146"/>
      <c r="AL1164" s="146">
        <v>1061.5941027269753</v>
      </c>
      <c r="AM1164" s="146">
        <v>0.15161339244457916</v>
      </c>
      <c r="AN1164" s="146">
        <v>0.21524837266755098</v>
      </c>
      <c r="AO1164" s="146">
        <v>372.77184414022167</v>
      </c>
      <c r="AP1164" s="146">
        <v>358.18775476198169</v>
      </c>
      <c r="AQ1164" t="s">
        <v>385</v>
      </c>
      <c r="AR1164">
        <f t="shared" si="71"/>
        <v>14.644015877877388</v>
      </c>
      <c r="AS1164">
        <f t="shared" si="72"/>
        <v>3.9965468373646496</v>
      </c>
      <c r="AT1164">
        <v>0.3</v>
      </c>
      <c r="AU1164">
        <v>0</v>
      </c>
      <c r="AV1164">
        <v>0.4</v>
      </c>
      <c r="AW1164" s="146">
        <v>3</v>
      </c>
      <c r="AX1164" s="146">
        <v>0.43455792867780862</v>
      </c>
      <c r="AY1164">
        <v>0.27</v>
      </c>
      <c r="AZ1164" s="209">
        <v>358.18775476198169</v>
      </c>
      <c r="BA1164">
        <v>0.43455792867780862</v>
      </c>
      <c r="BB1164" s="249">
        <v>13.402765198316942</v>
      </c>
      <c r="BC1164" s="243">
        <v>102.16991801294506</v>
      </c>
      <c r="BD1164" s="209">
        <v>39547.397812987059</v>
      </c>
      <c r="BE1164" s="243">
        <v>21.07425509607511</v>
      </c>
      <c r="BF1164">
        <v>48315.324094751224</v>
      </c>
      <c r="BG1164" t="s">
        <v>387</v>
      </c>
      <c r="BH1164">
        <v>3.3517137630779652E-6</v>
      </c>
      <c r="BI1164">
        <v>1595473.9781298707</v>
      </c>
      <c r="BJ1164">
        <f t="shared" si="70"/>
        <v>3.0282740274701229E-2</v>
      </c>
    </row>
    <row r="1165" spans="1:62" x14ac:dyDescent="0.3">
      <c r="A1165">
        <v>-0.1</v>
      </c>
      <c r="B1165" s="146">
        <v>300</v>
      </c>
      <c r="C1165" s="146">
        <v>25</v>
      </c>
      <c r="D1165" s="146">
        <v>400</v>
      </c>
      <c r="E1165" s="252">
        <v>8.2412627698234733</v>
      </c>
      <c r="F1165" s="146">
        <v>1.3649657186337865</v>
      </c>
      <c r="G1165" s="146">
        <v>9.3032762677341125</v>
      </c>
      <c r="H1165" s="146">
        <v>7.7400242676661479</v>
      </c>
      <c r="I1165" s="146"/>
      <c r="J1165" s="146">
        <v>0.55628912360690053</v>
      </c>
      <c r="K1165" s="146">
        <v>0.27</v>
      </c>
      <c r="L1165" s="146">
        <v>52.134003278784959</v>
      </c>
      <c r="M1165" s="146">
        <v>22.713984831005895</v>
      </c>
      <c r="N1165" s="146">
        <v>1.7629101078763991</v>
      </c>
      <c r="O1165" s="146"/>
      <c r="P1165" s="146"/>
      <c r="Q1165" s="146"/>
      <c r="R1165" s="146"/>
      <c r="S1165" s="146"/>
      <c r="T1165" s="146"/>
      <c r="U1165" s="146"/>
      <c r="V1165" s="146"/>
      <c r="W1165" s="146"/>
      <c r="X1165" s="146"/>
      <c r="Y1165" s="146"/>
      <c r="Z1165" s="146">
        <v>0.22776544968223594</v>
      </c>
      <c r="AA1165" s="146"/>
      <c r="AB1165" s="146"/>
      <c r="AC1165" s="146"/>
      <c r="AD1165" s="146"/>
      <c r="AE1165" s="146"/>
      <c r="AF1165" s="146"/>
      <c r="AG1165" s="146"/>
      <c r="AH1165" s="146"/>
      <c r="AI1165" s="146"/>
      <c r="AJ1165" s="146"/>
      <c r="AK1165" s="146"/>
      <c r="AL1165" s="146">
        <v>1224.908696121189</v>
      </c>
      <c r="AM1165" s="146">
        <v>0.14671882026848965</v>
      </c>
      <c r="AN1165" s="146">
        <v>0.22867523656422087</v>
      </c>
      <c r="AO1165" s="146">
        <v>363.96084292446329</v>
      </c>
      <c r="AP1165" s="146">
        <v>343.45364218298982</v>
      </c>
      <c r="AQ1165" t="s">
        <v>385</v>
      </c>
      <c r="AR1165">
        <f t="shared" si="71"/>
        <v>14.644015877877388</v>
      </c>
      <c r="AS1165">
        <f t="shared" si="72"/>
        <v>3.9965468373646496</v>
      </c>
      <c r="AT1165">
        <v>0.3</v>
      </c>
      <c r="AU1165">
        <v>0</v>
      </c>
      <c r="AV1165">
        <v>0.4</v>
      </c>
      <c r="AW1165" s="146">
        <v>3</v>
      </c>
      <c r="AX1165" s="146">
        <v>0.45405240877763536</v>
      </c>
      <c r="AY1165">
        <v>0.27</v>
      </c>
      <c r="AZ1165" s="209">
        <v>343.45364218298982</v>
      </c>
      <c r="BA1165">
        <v>0.45405240877763536</v>
      </c>
      <c r="BB1165" s="249">
        <v>18.227249010072335</v>
      </c>
      <c r="BC1165" s="243">
        <v>125.20190498400476</v>
      </c>
      <c r="BD1165" s="209">
        <v>51152.037142500994</v>
      </c>
      <c r="BE1165" s="243">
        <v>26.610350453493236</v>
      </c>
      <c r="BF1165">
        <v>84078.70364172291</v>
      </c>
      <c r="BG1165" t="s">
        <v>387</v>
      </c>
      <c r="BH1165">
        <v>4.3678493352713003E-6</v>
      </c>
      <c r="BI1165">
        <v>1711520.3714250098</v>
      </c>
      <c r="BJ1165">
        <f t="shared" si="70"/>
        <v>4.912515506416034E-2</v>
      </c>
    </row>
    <row r="1166" spans="1:62" x14ac:dyDescent="0.3">
      <c r="A1166">
        <v>-0.1</v>
      </c>
      <c r="B1166" s="146">
        <v>400</v>
      </c>
      <c r="C1166" s="146">
        <v>25</v>
      </c>
      <c r="D1166" s="146">
        <v>400</v>
      </c>
      <c r="E1166" s="252">
        <v>10.334502954349139</v>
      </c>
      <c r="F1166" s="146">
        <v>1.6754773564025851</v>
      </c>
      <c r="G1166" s="146">
        <v>11.609017109197861</v>
      </c>
      <c r="H1166" s="146">
        <v>9.731662659758392</v>
      </c>
      <c r="I1166" s="146"/>
      <c r="J1166" s="146">
        <v>0.56663914751275657</v>
      </c>
      <c r="K1166" s="146">
        <v>0.27</v>
      </c>
      <c r="L1166" s="146">
        <v>65.635541251092192</v>
      </c>
      <c r="M1166" s="146">
        <v>28.596397640517345</v>
      </c>
      <c r="N1166" s="146">
        <v>2.0379544380652792</v>
      </c>
      <c r="O1166" s="146"/>
      <c r="P1166" s="146"/>
      <c r="Q1166" s="146"/>
      <c r="R1166" s="146"/>
      <c r="S1166" s="146"/>
      <c r="T1166" s="146"/>
      <c r="U1166" s="146"/>
      <c r="V1166" s="146"/>
      <c r="W1166" s="146"/>
      <c r="X1166" s="146"/>
      <c r="Y1166" s="146"/>
      <c r="Z1166" s="146">
        <v>0.20941482553566806</v>
      </c>
      <c r="AA1166" s="146"/>
      <c r="AB1166" s="146"/>
      <c r="AC1166" s="146"/>
      <c r="AD1166" s="146"/>
      <c r="AE1166" s="146"/>
      <c r="AF1166" s="146"/>
      <c r="AG1166" s="146"/>
      <c r="AH1166" s="146"/>
      <c r="AI1166" s="146"/>
      <c r="AJ1166" s="146"/>
      <c r="AK1166" s="146"/>
      <c r="AL1166" s="146">
        <v>1349.7675570289186</v>
      </c>
      <c r="AM1166" s="146">
        <v>0.14432551357643353</v>
      </c>
      <c r="AN1166" s="146">
        <v>0.23760900276681901</v>
      </c>
      <c r="AO1166" s="146">
        <v>356.50626519193361</v>
      </c>
      <c r="AP1166" s="146">
        <v>330.79033799627882</v>
      </c>
      <c r="AQ1166" t="s">
        <v>385</v>
      </c>
      <c r="AR1166">
        <f t="shared" si="71"/>
        <v>14.644015877877388</v>
      </c>
      <c r="AS1166">
        <f t="shared" si="72"/>
        <v>3.9965468373646496</v>
      </c>
      <c r="AT1166">
        <v>0.3</v>
      </c>
      <c r="AU1166">
        <v>0</v>
      </c>
      <c r="AV1166">
        <v>0.4</v>
      </c>
      <c r="AW1166" s="146">
        <v>3</v>
      </c>
      <c r="AX1166" s="146">
        <v>0.46964930550713346</v>
      </c>
      <c r="AY1166">
        <v>0.27</v>
      </c>
      <c r="AZ1166" s="209">
        <v>330.79033799627882</v>
      </c>
      <c r="BA1166">
        <v>0.46964930550713346</v>
      </c>
      <c r="BB1166" s="249">
        <v>22.406994499931976</v>
      </c>
      <c r="BC1166" s="243">
        <v>143.54667953878712</v>
      </c>
      <c r="BD1166" s="209">
        <v>60911.378720005501</v>
      </c>
      <c r="BE1166" s="243">
        <v>31.16351112018485</v>
      </c>
      <c r="BF1166">
        <v>121644.97106142135</v>
      </c>
      <c r="BG1166" t="s">
        <v>387</v>
      </c>
      <c r="BH1166">
        <v>5.1231587101236709E-6</v>
      </c>
      <c r="BI1166">
        <v>1809113.7872000551</v>
      </c>
      <c r="BJ1166">
        <f t="shared" si="70"/>
        <v>6.7240088446669732E-2</v>
      </c>
    </row>
    <row r="1167" spans="1:62" x14ac:dyDescent="0.3">
      <c r="A1167">
        <v>-0.1</v>
      </c>
      <c r="B1167" s="146">
        <v>600</v>
      </c>
      <c r="C1167" s="146">
        <v>25</v>
      </c>
      <c r="D1167" s="146">
        <v>400</v>
      </c>
      <c r="E1167" s="252">
        <v>13.830627900841437</v>
      </c>
      <c r="F1167" s="146">
        <v>2.201927205131847</v>
      </c>
      <c r="G1167" s="146">
        <v>15.456079415329153</v>
      </c>
      <c r="H1167" s="146">
        <v>13.14539994301327</v>
      </c>
      <c r="I1167" s="146"/>
      <c r="J1167" s="146">
        <v>0.58677651502795536</v>
      </c>
      <c r="K1167" s="146">
        <v>0.27</v>
      </c>
      <c r="L1167" s="146">
        <v>88.848894667266421</v>
      </c>
      <c r="M1167" s="146">
        <v>38.710099336360891</v>
      </c>
      <c r="N1167" s="146">
        <v>2.4325318797247082</v>
      </c>
      <c r="O1167" s="146"/>
      <c r="P1167" s="146"/>
      <c r="Q1167" s="146"/>
      <c r="R1167" s="146"/>
      <c r="S1167" s="146"/>
      <c r="T1167" s="146"/>
      <c r="U1167" s="146"/>
      <c r="V1167" s="146"/>
      <c r="W1167" s="146"/>
      <c r="X1167" s="146"/>
      <c r="Y1167" s="146"/>
      <c r="Z1167" s="146">
        <v>0.185048145379372</v>
      </c>
      <c r="AA1167" s="146"/>
      <c r="AB1167" s="146"/>
      <c r="AC1167" s="146"/>
      <c r="AD1167" s="146"/>
      <c r="AE1167" s="146"/>
      <c r="AF1167" s="146"/>
      <c r="AG1167" s="146"/>
      <c r="AH1167" s="146"/>
      <c r="AI1167" s="146"/>
      <c r="AJ1167" s="146"/>
      <c r="AK1167" s="146"/>
      <c r="AL1167" s="146">
        <v>1526.365369016266</v>
      </c>
      <c r="AM1167" s="146">
        <v>0.14246350228687374</v>
      </c>
      <c r="AN1167" s="146">
        <v>0.24926818858488106</v>
      </c>
      <c r="AO1167" s="146">
        <v>344.51507037717403</v>
      </c>
      <c r="AP1167" s="146">
        <v>310.09942915391275</v>
      </c>
      <c r="AQ1167" t="s">
        <v>385</v>
      </c>
      <c r="AR1167">
        <f t="shared" si="71"/>
        <v>14.644015877877388</v>
      </c>
      <c r="AS1167">
        <f t="shared" si="72"/>
        <v>3.9965468373646496</v>
      </c>
      <c r="AT1167">
        <v>0.3</v>
      </c>
      <c r="AU1167">
        <v>0</v>
      </c>
      <c r="AV1167">
        <v>0.4</v>
      </c>
      <c r="AW1167" s="146">
        <v>3</v>
      </c>
      <c r="AX1167" s="146">
        <v>0.49559148378672013</v>
      </c>
      <c r="AY1167">
        <v>0.27</v>
      </c>
      <c r="AZ1167" s="209">
        <v>310.09942915391275</v>
      </c>
      <c r="BA1167">
        <v>0.49559148378672013</v>
      </c>
      <c r="BB1167" s="249">
        <v>29.305964663773857</v>
      </c>
      <c r="BC1167" s="243">
        <v>171.57219710245076</v>
      </c>
      <c r="BD1167" s="209">
        <v>76500.361038485993</v>
      </c>
      <c r="BE1167" s="243">
        <v>38.222967666267074</v>
      </c>
      <c r="BF1167">
        <v>196693.1600075312</v>
      </c>
      <c r="BG1167" t="s">
        <v>387</v>
      </c>
      <c r="BH1167">
        <v>6.1555804623840537E-6</v>
      </c>
      <c r="BI1167">
        <v>1965003.6103848601</v>
      </c>
      <c r="BJ1167">
        <f t="shared" si="70"/>
        <v>0.10009811634341345</v>
      </c>
    </row>
    <row r="1168" spans="1:62" x14ac:dyDescent="0.3">
      <c r="A1168">
        <v>-0.1</v>
      </c>
      <c r="B1168" s="146">
        <v>800</v>
      </c>
      <c r="C1168" s="146">
        <v>25</v>
      </c>
      <c r="D1168" s="146">
        <v>400</v>
      </c>
      <c r="E1168" s="252">
        <v>16.588170152739398</v>
      </c>
      <c r="F1168" s="146">
        <v>2.6264780087964956</v>
      </c>
      <c r="G1168" s="146">
        <v>18.489160664446011</v>
      </c>
      <c r="H1168" s="146">
        <v>15.935606303460437</v>
      </c>
      <c r="I1168" s="146"/>
      <c r="J1168" s="146">
        <v>0.60692906351269649</v>
      </c>
      <c r="K1168" s="146">
        <v>0.27</v>
      </c>
      <c r="L1168" s="146">
        <v>107.89328216542762</v>
      </c>
      <c r="M1168" s="146">
        <v>47.007446586597091</v>
      </c>
      <c r="N1168" s="146">
        <v>2.6878731744031921</v>
      </c>
      <c r="O1168" s="146"/>
      <c r="P1168" s="146"/>
      <c r="Q1168" s="146"/>
      <c r="R1168" s="146"/>
      <c r="S1168" s="146"/>
      <c r="T1168" s="146"/>
      <c r="U1168" s="146"/>
      <c r="V1168" s="146"/>
      <c r="W1168" s="146"/>
      <c r="X1168" s="146"/>
      <c r="Y1168" s="146"/>
      <c r="Z1168" s="146">
        <v>0.16867090735164039</v>
      </c>
      <c r="AA1168" s="146"/>
      <c r="AB1168" s="146"/>
      <c r="AC1168" s="146"/>
      <c r="AD1168" s="146"/>
      <c r="AE1168" s="146"/>
      <c r="AF1168" s="146"/>
      <c r="AG1168" s="146"/>
      <c r="AH1168" s="146"/>
      <c r="AI1168" s="146"/>
      <c r="AJ1168" s="146"/>
      <c r="AK1168" s="146"/>
      <c r="AL1168" s="146">
        <v>1638.0766550891349</v>
      </c>
      <c r="AM1168" s="146">
        <v>0.14205501571778312</v>
      </c>
      <c r="AN1168" s="146">
        <v>0.25685181182682393</v>
      </c>
      <c r="AO1168" s="146">
        <v>335.41735199468411</v>
      </c>
      <c r="AP1168" s="146">
        <v>294.14006788753915</v>
      </c>
      <c r="AQ1168" t="s">
        <v>385</v>
      </c>
      <c r="AR1168">
        <f t="shared" si="71"/>
        <v>14.644015877877388</v>
      </c>
      <c r="AS1168">
        <f t="shared" si="72"/>
        <v>3.9965468373646496</v>
      </c>
      <c r="AT1168">
        <v>0.3</v>
      </c>
      <c r="AU1168">
        <v>0</v>
      </c>
      <c r="AV1168">
        <v>0.4</v>
      </c>
      <c r="AW1168" s="146">
        <v>3</v>
      </c>
      <c r="AX1168" s="146">
        <v>0.51865222739903516</v>
      </c>
      <c r="AY1168">
        <v>0.27</v>
      </c>
      <c r="AZ1168" s="209">
        <v>294.14006788753915</v>
      </c>
      <c r="BA1168">
        <v>0.51865222739903516</v>
      </c>
      <c r="BB1168" s="249">
        <v>34.668881270543437</v>
      </c>
      <c r="BC1168" s="243">
        <v>191.84586904706478</v>
      </c>
      <c r="BD1168" s="209">
        <v>88110.526862547413</v>
      </c>
      <c r="BE1168" s="243">
        <v>43.254733876281229</v>
      </c>
      <c r="BF1168">
        <v>266582.29869939765</v>
      </c>
      <c r="BG1168" t="s">
        <v>387</v>
      </c>
      <c r="BH1168">
        <v>6.8127581323664116E-6</v>
      </c>
      <c r="BI1168">
        <v>2081105.2686254741</v>
      </c>
      <c r="BJ1168">
        <f t="shared" si="70"/>
        <v>0.12809649887411492</v>
      </c>
    </row>
    <row r="1169" spans="1:62" x14ac:dyDescent="0.3">
      <c r="A1169">
        <v>-0.1</v>
      </c>
      <c r="B1169" s="146">
        <v>1000</v>
      </c>
      <c r="C1169" s="146">
        <v>25</v>
      </c>
      <c r="D1169" s="146">
        <v>400</v>
      </c>
      <c r="E1169" s="252">
        <v>18.763887514800441</v>
      </c>
      <c r="F1169" s="146">
        <v>2.9684490376165305</v>
      </c>
      <c r="G1169" s="146">
        <v>20.882148818759511</v>
      </c>
      <c r="H1169" s="146">
        <v>18.221276445725263</v>
      </c>
      <c r="I1169" s="146"/>
      <c r="J1169" s="146">
        <v>0.62866116211196343</v>
      </c>
      <c r="K1169" s="146">
        <v>0.27</v>
      </c>
      <c r="L1169" s="146">
        <v>123.54703250407921</v>
      </c>
      <c r="M1169" s="146">
        <v>53.827545281860232</v>
      </c>
      <c r="N1169" s="146">
        <v>2.8398995497502959</v>
      </c>
      <c r="O1169" s="146"/>
      <c r="P1169" s="146"/>
      <c r="Q1169" s="146"/>
      <c r="R1169" s="146"/>
      <c r="S1169" s="146"/>
      <c r="T1169" s="146"/>
      <c r="U1169" s="146"/>
      <c r="V1169" s="146"/>
      <c r="W1169" s="146"/>
      <c r="X1169" s="146"/>
      <c r="Y1169" s="146"/>
      <c r="Z1169" s="146">
        <v>0.15585623533067797</v>
      </c>
      <c r="AA1169" s="146"/>
      <c r="AB1169" s="146"/>
      <c r="AC1169" s="146"/>
      <c r="AD1169" s="146"/>
      <c r="AE1169" s="146"/>
      <c r="AF1169" s="146"/>
      <c r="AG1169" s="146"/>
      <c r="AH1169" s="146"/>
      <c r="AI1169" s="146"/>
      <c r="AJ1169" s="146"/>
      <c r="AK1169" s="146"/>
      <c r="AL1169" s="146">
        <v>1701.7148085622948</v>
      </c>
      <c r="AM1169" s="146">
        <v>0.14215247019740707</v>
      </c>
      <c r="AN1169" s="146">
        <v>0.26227159869070443</v>
      </c>
      <c r="AO1169" s="146">
        <v>328.45627354058797</v>
      </c>
      <c r="AP1169" s="146">
        <v>281.76503368714765</v>
      </c>
      <c r="AQ1169" t="s">
        <v>385</v>
      </c>
      <c r="AR1169">
        <f t="shared" si="71"/>
        <v>14.644015877877388</v>
      </c>
      <c r="AS1169">
        <f t="shared" si="72"/>
        <v>3.9965468373646496</v>
      </c>
      <c r="AT1169">
        <v>0.3</v>
      </c>
      <c r="AU1169">
        <v>0</v>
      </c>
      <c r="AV1169">
        <v>0.4</v>
      </c>
      <c r="AW1169" s="146">
        <v>3</v>
      </c>
      <c r="AX1169" s="146">
        <v>0.54186461709510081</v>
      </c>
      <c r="AY1169">
        <v>0.27</v>
      </c>
      <c r="AZ1169" s="209">
        <v>281.76503368714765</v>
      </c>
      <c r="BA1169">
        <v>0.54186461709510081</v>
      </c>
      <c r="BB1169" s="249">
        <v>38.816120185360468</v>
      </c>
      <c r="BC1169" s="243">
        <v>206.88458119899809</v>
      </c>
      <c r="BD1169" s="209">
        <v>96720.043971623483</v>
      </c>
      <c r="BE1169" s="243">
        <v>46.730132861324122</v>
      </c>
      <c r="BF1169">
        <v>328264.28536175372</v>
      </c>
      <c r="BG1169" t="s">
        <v>387</v>
      </c>
      <c r="BH1169">
        <v>7.2578082903509406E-6</v>
      </c>
      <c r="BI1169">
        <v>2167200.4397162348</v>
      </c>
      <c r="BJ1169">
        <f t="shared" si="70"/>
        <v>0.15146927775851476</v>
      </c>
    </row>
    <row r="1170" spans="1:62" x14ac:dyDescent="0.3">
      <c r="A1170">
        <v>-0.1</v>
      </c>
      <c r="B1170" s="146">
        <v>1300</v>
      </c>
      <c r="C1170" s="146">
        <v>25</v>
      </c>
      <c r="D1170" s="146">
        <v>400</v>
      </c>
      <c r="E1170" s="252">
        <v>21.361943364966226</v>
      </c>
      <c r="F1170" s="146">
        <v>3.4310392730162382</v>
      </c>
      <c r="G1170" s="146">
        <v>23.764083722225742</v>
      </c>
      <c r="H1170" s="146">
        <v>20.821679245135993</v>
      </c>
      <c r="I1170" s="146"/>
      <c r="J1170" s="146">
        <v>0.63304021979141711</v>
      </c>
      <c r="K1170" s="146">
        <v>0.27</v>
      </c>
      <c r="L1170" s="146">
        <v>141.44449051634254</v>
      </c>
      <c r="M1170" s="146">
        <v>61.625192963551733</v>
      </c>
      <c r="N1170" s="146">
        <v>3.0665737873473802</v>
      </c>
      <c r="O1170" s="146"/>
      <c r="P1170" s="146"/>
      <c r="Q1170" s="146"/>
      <c r="R1170" s="146"/>
      <c r="S1170" s="146"/>
      <c r="T1170" s="146"/>
      <c r="U1170" s="146"/>
      <c r="V1170" s="146"/>
      <c r="W1170" s="146"/>
      <c r="X1170" s="146"/>
      <c r="Y1170" s="146"/>
      <c r="Z1170" s="146">
        <v>0.14727792851115701</v>
      </c>
      <c r="AA1170" s="146"/>
      <c r="AB1170" s="146"/>
      <c r="AC1170" s="146"/>
      <c r="AD1170" s="146"/>
      <c r="AE1170" s="146"/>
      <c r="AF1170" s="146"/>
      <c r="AG1170" s="146"/>
      <c r="AH1170" s="146"/>
      <c r="AI1170" s="146"/>
      <c r="AJ1170" s="146"/>
      <c r="AK1170" s="146"/>
      <c r="AL1170" s="146">
        <v>1798.9673958592655</v>
      </c>
      <c r="AM1170" s="146">
        <v>0.14437919480174627</v>
      </c>
      <c r="AN1170" s="146">
        <v>0.26319694123526061</v>
      </c>
      <c r="AO1170" s="146">
        <v>318.83665796149319</v>
      </c>
      <c r="AP1170" s="146">
        <v>265.68050218557448</v>
      </c>
      <c r="AQ1170" t="s">
        <v>385</v>
      </c>
      <c r="AR1170">
        <f t="shared" si="71"/>
        <v>14.644015877877388</v>
      </c>
      <c r="AS1170">
        <f t="shared" si="72"/>
        <v>3.9965468373646496</v>
      </c>
      <c r="AT1170">
        <v>0.3</v>
      </c>
      <c r="AU1170">
        <v>0</v>
      </c>
      <c r="AV1170">
        <v>0.4</v>
      </c>
      <c r="AW1170" s="146">
        <v>3</v>
      </c>
      <c r="AX1170" s="146">
        <v>0.54838227778859805</v>
      </c>
      <c r="AY1170">
        <v>0.27</v>
      </c>
      <c r="AZ1170" s="209">
        <v>265.68050218557448</v>
      </c>
      <c r="BA1170">
        <v>0.54838227778859805</v>
      </c>
      <c r="BB1170" s="249">
        <v>44.208869895866165</v>
      </c>
      <c r="BC1170" s="243">
        <v>221.5459281989076</v>
      </c>
      <c r="BD1170" s="209">
        <v>107282.68066516992</v>
      </c>
      <c r="BE1170" s="243">
        <v>53.102360101650369</v>
      </c>
      <c r="BF1170">
        <v>412055.4587679283</v>
      </c>
      <c r="BG1170" t="s">
        <v>387</v>
      </c>
      <c r="BH1170">
        <v>7.6847594511681615E-6</v>
      </c>
      <c r="BI1170">
        <v>2272826.8066516994</v>
      </c>
      <c r="BJ1170">
        <f t="shared" si="70"/>
        <v>0.18129646199261587</v>
      </c>
    </row>
    <row r="1171" spans="1:62" x14ac:dyDescent="0.3">
      <c r="A1171">
        <v>-0.1</v>
      </c>
      <c r="B1171" s="227">
        <v>1600</v>
      </c>
      <c r="C1171" s="146">
        <v>25</v>
      </c>
      <c r="D1171" s="146">
        <v>400</v>
      </c>
      <c r="E1171" s="252">
        <v>23.203608852053023</v>
      </c>
      <c r="F1171" s="146">
        <v>3.7800266657494728</v>
      </c>
      <c r="G1171" s="146">
        <v>25.813644137775903</v>
      </c>
      <c r="H1171" s="146">
        <v>22.660745477533645</v>
      </c>
      <c r="I1171" s="146"/>
      <c r="J1171" s="146">
        <v>0.63303660801609185</v>
      </c>
      <c r="K1171" s="146">
        <v>0.27</v>
      </c>
      <c r="L1171" s="146">
        <v>154.17614355168524</v>
      </c>
      <c r="M1171" s="146">
        <v>67.172178725837966</v>
      </c>
      <c r="N1171" s="146">
        <v>3.2300289358783445</v>
      </c>
      <c r="O1171" s="146"/>
      <c r="P1171" s="146"/>
      <c r="Q1171" s="146"/>
      <c r="R1171" s="146"/>
      <c r="S1171" s="146"/>
      <c r="T1171" s="146"/>
      <c r="U1171" s="146"/>
      <c r="V1171" s="146"/>
      <c r="W1171" s="146"/>
      <c r="X1171" s="146"/>
      <c r="Y1171" s="146"/>
      <c r="Z1171" s="146">
        <v>0.14253851176611401</v>
      </c>
      <c r="AA1171" s="146"/>
      <c r="AB1171" s="146"/>
      <c r="AC1171" s="146"/>
      <c r="AD1171" s="146"/>
      <c r="AE1171" s="146"/>
      <c r="AF1171" s="146"/>
      <c r="AG1171" s="146"/>
      <c r="AH1171" s="146"/>
      <c r="AI1171" s="146"/>
      <c r="AJ1171" s="146"/>
      <c r="AK1171" s="146"/>
      <c r="AL1171" s="146">
        <v>1869.2159558850915</v>
      </c>
      <c r="AM1171" s="146">
        <v>0.14643522028793099</v>
      </c>
      <c r="AN1171" s="146">
        <v>0.26349872256708595</v>
      </c>
      <c r="AO1171" s="146">
        <v>311.94033646161051</v>
      </c>
      <c r="AP1171" s="146">
        <v>254.20148794591935</v>
      </c>
      <c r="AQ1171" t="s">
        <v>385</v>
      </c>
      <c r="AR1171">
        <f t="shared" si="71"/>
        <v>14.644015877877388</v>
      </c>
      <c r="AS1171">
        <f t="shared" si="72"/>
        <v>3.9965468373646496</v>
      </c>
      <c r="AT1171">
        <v>0.3</v>
      </c>
      <c r="AU1171">
        <v>0</v>
      </c>
      <c r="AV1171">
        <v>0.4</v>
      </c>
      <c r="AW1171" s="146">
        <v>3</v>
      </c>
      <c r="AX1171" s="146">
        <v>0.54983077164764904</v>
      </c>
      <c r="AY1171">
        <v>0.27</v>
      </c>
      <c r="AZ1171" s="209">
        <v>254.20148794591935</v>
      </c>
      <c r="BA1171">
        <v>0.54983077164764904</v>
      </c>
      <c r="BB1171" s="249">
        <v>48.164163683318208</v>
      </c>
      <c r="BC1171" s="243">
        <v>230.05768111224768</v>
      </c>
      <c r="BD1171" s="209">
        <v>114257.98719229072</v>
      </c>
      <c r="BE1171" s="243">
        <v>57.951100027009581</v>
      </c>
      <c r="BF1171">
        <v>476829.39860303246</v>
      </c>
      <c r="BG1171" t="s">
        <v>387</v>
      </c>
      <c r="BH1171">
        <v>7.9510296168357738E-6</v>
      </c>
      <c r="BI1171">
        <v>2342579.8719229074</v>
      </c>
      <c r="BJ1171">
        <f t="shared" si="70"/>
        <v>0.20354883277112207</v>
      </c>
    </row>
    <row r="1172" spans="1:62" s="140" customFormat="1" x14ac:dyDescent="0.3">
      <c r="A1172" s="140">
        <v>-0.1</v>
      </c>
      <c r="B1172" s="140">
        <v>1900</v>
      </c>
      <c r="C1172" s="140">
        <v>25</v>
      </c>
      <c r="D1172" s="140">
        <v>400</v>
      </c>
      <c r="E1172" s="253">
        <v>24.546653349764441</v>
      </c>
      <c r="F1172" s="140">
        <v>4.0440662767632531</v>
      </c>
      <c r="G1172" s="140">
        <v>27.311348864288913</v>
      </c>
      <c r="H1172" s="140">
        <v>24.014593019421138</v>
      </c>
      <c r="J1172" s="140">
        <v>0.63326603340303667</v>
      </c>
      <c r="K1172" s="140">
        <v>0.27</v>
      </c>
      <c r="L1172" s="140">
        <v>163.59186495086772</v>
      </c>
      <c r="M1172" s="140">
        <v>71.274463982743214</v>
      </c>
      <c r="N1172" s="140">
        <v>3.3438827737025143</v>
      </c>
      <c r="Z1172" s="140">
        <v>0.13924378276984506</v>
      </c>
      <c r="AL1172" s="140">
        <v>1917.8309124948917</v>
      </c>
      <c r="AM1172" s="140">
        <v>0.14807274063461184</v>
      </c>
      <c r="AN1172" s="140">
        <v>0.26385869242270715</v>
      </c>
      <c r="AO1172" s="140">
        <v>306.97045784476114</v>
      </c>
      <c r="AP1172" s="140">
        <v>245.8895256436351</v>
      </c>
      <c r="AQ1172" t="s">
        <v>385</v>
      </c>
      <c r="AR1172">
        <f t="shared" si="71"/>
        <v>14.644015877877388</v>
      </c>
      <c r="AS1172">
        <f t="shared" si="72"/>
        <v>3.9965468373646496</v>
      </c>
      <c r="AT1172">
        <v>0.3</v>
      </c>
      <c r="AU1172">
        <v>0</v>
      </c>
      <c r="AV1172">
        <v>0.4</v>
      </c>
      <c r="AW1172" s="140">
        <v>3</v>
      </c>
      <c r="AX1172" s="140">
        <v>0.55103158647436412</v>
      </c>
      <c r="AY1172">
        <v>0.27</v>
      </c>
      <c r="AZ1172" s="209">
        <v>245.8895256436351</v>
      </c>
      <c r="BA1172" s="140">
        <v>0.55103158647436412</v>
      </c>
      <c r="BB1172" s="253">
        <v>51.092313507514135</v>
      </c>
      <c r="BC1172" s="245">
        <v>235.57716863032061</v>
      </c>
      <c r="BD1172" s="210">
        <v>119135.48824030446</v>
      </c>
      <c r="BE1172" s="245">
        <v>61.487781826817134</v>
      </c>
      <c r="BF1172" s="140">
        <v>527113.49058858829</v>
      </c>
      <c r="BG1172" t="s">
        <v>387</v>
      </c>
      <c r="BH1172" s="140">
        <v>8.1265137559968003E-6</v>
      </c>
      <c r="BI1172" s="140">
        <v>2391354.8824030445</v>
      </c>
      <c r="BJ1172">
        <f t="shared" si="70"/>
        <v>0.22042461972808408</v>
      </c>
    </row>
    <row r="1173" spans="1:62" x14ac:dyDescent="0.3">
      <c r="A1173">
        <v>-0.1</v>
      </c>
      <c r="B1173" s="146">
        <v>1000</v>
      </c>
      <c r="C1173" s="146">
        <v>25</v>
      </c>
      <c r="D1173" s="146">
        <v>200</v>
      </c>
      <c r="E1173" s="252">
        <v>17.263759548741607</v>
      </c>
      <c r="F1173" s="146">
        <v>5.6501170092283735</v>
      </c>
      <c r="G1173" s="146">
        <v>20.780112797217754</v>
      </c>
      <c r="H1173" s="146">
        <v>18.780384582116202</v>
      </c>
      <c r="I1173" s="146"/>
      <c r="J1173" s="146">
        <v>0.99973507332295641</v>
      </c>
      <c r="K1173" s="146">
        <v>0.27</v>
      </c>
      <c r="L1173" s="146">
        <v>129.22453715167867</v>
      </c>
      <c r="M1173" s="146">
        <v>56.301146891810212</v>
      </c>
      <c r="N1173" s="146">
        <v>1.102414078262079</v>
      </c>
      <c r="O1173" s="146"/>
      <c r="P1173" s="146"/>
      <c r="Q1173" s="146"/>
      <c r="R1173" s="146"/>
      <c r="S1173" s="146"/>
      <c r="T1173" s="146"/>
      <c r="U1173" s="146"/>
      <c r="V1173" s="146"/>
      <c r="W1173" s="146"/>
      <c r="X1173" s="146"/>
      <c r="Y1173" s="146"/>
      <c r="Z1173" s="146">
        <v>5.87002930340342E-2</v>
      </c>
      <c r="AA1173" s="146"/>
      <c r="AB1173" s="146"/>
      <c r="AC1173" s="146"/>
      <c r="AD1173" s="146"/>
      <c r="AE1173" s="146"/>
      <c r="AF1173" s="146"/>
      <c r="AG1173" s="146"/>
      <c r="AH1173" s="146"/>
      <c r="AI1173" s="146"/>
      <c r="AJ1173" s="146"/>
      <c r="AK1173" s="146"/>
      <c r="AL1173" s="146">
        <v>626.48117343167507</v>
      </c>
      <c r="AM1173" s="146">
        <v>0.27190020883740662</v>
      </c>
      <c r="AN1173" s="146">
        <v>0.21113234457836616</v>
      </c>
      <c r="AO1173" s="146">
        <v>118.23252101321783</v>
      </c>
      <c r="AP1173" s="146">
        <v>75.274134300636106</v>
      </c>
      <c r="AQ1173" t="s">
        <v>385</v>
      </c>
      <c r="AR1173">
        <f t="shared" si="71"/>
        <v>14.644015877877388</v>
      </c>
      <c r="AS1173">
        <f t="shared" si="72"/>
        <v>3.9965468373646496</v>
      </c>
      <c r="AT1173">
        <v>0.3</v>
      </c>
      <c r="AU1173">
        <v>0</v>
      </c>
      <c r="AV1173">
        <v>0.4</v>
      </c>
      <c r="AW1173" s="146">
        <v>3</v>
      </c>
      <c r="AX1173" s="146">
        <v>0.99951147276444829</v>
      </c>
      <c r="AY1173">
        <v>0.27</v>
      </c>
      <c r="AZ1173" s="209">
        <v>75.274134300636106</v>
      </c>
      <c r="BA1173">
        <v>0.99951147276444829</v>
      </c>
      <c r="BB1173" s="249">
        <v>49.313795882053029</v>
      </c>
      <c r="BC1173" s="243">
        <v>222.76456004173824</v>
      </c>
      <c r="BD1173" s="209">
        <v>108213.55819876227</v>
      </c>
      <c r="BE1173" s="243">
        <v>53.753337503046133</v>
      </c>
      <c r="BF1173">
        <v>319865.31606683705</v>
      </c>
      <c r="BG1173" t="s">
        <v>388</v>
      </c>
      <c r="BH1173">
        <v>6.3774339588841337E-6</v>
      </c>
      <c r="BI1173">
        <v>2282135.5819876227</v>
      </c>
      <c r="BJ1173">
        <f t="shared" si="70"/>
        <v>0.14016052271015852</v>
      </c>
    </row>
    <row r="1174" spans="1:62" x14ac:dyDescent="0.3">
      <c r="A1174">
        <v>-0.1</v>
      </c>
      <c r="B1174" s="146">
        <v>1000</v>
      </c>
      <c r="C1174" s="146">
        <v>25</v>
      </c>
      <c r="D1174" s="146">
        <v>300</v>
      </c>
      <c r="E1174" s="252">
        <v>18.103188286768059</v>
      </c>
      <c r="F1174" s="146">
        <v>3.6993142506431065</v>
      </c>
      <c r="G1174" s="146">
        <v>20.605634307358194</v>
      </c>
      <c r="H1174" s="146">
        <v>18.381690514454384</v>
      </c>
      <c r="I1174" s="146"/>
      <c r="J1174" s="146">
        <v>0.66989872263511119</v>
      </c>
      <c r="K1174" s="146">
        <v>0.27</v>
      </c>
      <c r="L1174" s="146">
        <v>124.94909167860112</v>
      </c>
      <c r="M1174" s="146">
        <v>54.438400938809622</v>
      </c>
      <c r="N1174" s="146">
        <v>2.2866936019216837</v>
      </c>
      <c r="O1174" s="146"/>
      <c r="P1174" s="146"/>
      <c r="Q1174" s="146"/>
      <c r="R1174" s="146"/>
      <c r="S1174" s="146"/>
      <c r="T1174" s="146"/>
      <c r="U1174" s="146"/>
      <c r="V1174" s="146"/>
      <c r="W1174" s="146"/>
      <c r="X1174" s="146"/>
      <c r="Y1174" s="146"/>
      <c r="Z1174" s="146">
        <v>0.12440061484679821</v>
      </c>
      <c r="AA1174" s="146"/>
      <c r="AB1174" s="146"/>
      <c r="AC1174" s="146"/>
      <c r="AD1174" s="146"/>
      <c r="AE1174" s="146"/>
      <c r="AF1174" s="146"/>
      <c r="AG1174" s="146"/>
      <c r="AH1174" s="146"/>
      <c r="AI1174" s="146"/>
      <c r="AJ1174" s="146"/>
      <c r="AK1174" s="146"/>
      <c r="AL1174" s="146">
        <v>1326.748482373257</v>
      </c>
      <c r="AM1174" s="146">
        <v>0.17952925862234173</v>
      </c>
      <c r="AN1174" s="146">
        <v>0.25301080469534054</v>
      </c>
      <c r="AO1174" s="146">
        <v>228.44895178066895</v>
      </c>
      <c r="AP1174" s="146">
        <v>183.40168141241665</v>
      </c>
      <c r="AQ1174" t="s">
        <v>385</v>
      </c>
      <c r="AR1174">
        <f t="shared" si="71"/>
        <v>14.644015877877388</v>
      </c>
      <c r="AS1174">
        <f t="shared" si="72"/>
        <v>3.9965468373646496</v>
      </c>
      <c r="AT1174">
        <v>0.3</v>
      </c>
      <c r="AU1174">
        <v>0</v>
      </c>
      <c r="AV1174">
        <v>0.4</v>
      </c>
      <c r="AW1174" s="146">
        <v>3</v>
      </c>
      <c r="AX1174" s="146">
        <v>0.56635708751586522</v>
      </c>
      <c r="AY1174">
        <v>0.27</v>
      </c>
      <c r="AZ1174" s="209">
        <v>183.40168141241665</v>
      </c>
      <c r="BA1174">
        <v>0.56635708751586522</v>
      </c>
      <c r="BB1174" s="249">
        <v>42.464806323379726</v>
      </c>
      <c r="BC1174" s="243">
        <v>210.69784815520848</v>
      </c>
      <c r="BD1174" s="209">
        <v>100872.23945559861</v>
      </c>
      <c r="BE1174" s="243">
        <v>50.417709952224811</v>
      </c>
      <c r="BF1174">
        <v>323427.5796946357</v>
      </c>
      <c r="BG1174" t="s">
        <v>388</v>
      </c>
      <c r="BH1174">
        <v>6.8897283331556157E-6</v>
      </c>
      <c r="BI1174">
        <v>2208722.3945559859</v>
      </c>
      <c r="BJ1174">
        <f t="shared" si="70"/>
        <v>0.14643197374727282</v>
      </c>
    </row>
    <row r="1175" spans="1:62" x14ac:dyDescent="0.3">
      <c r="A1175">
        <v>-0.1</v>
      </c>
      <c r="B1175" s="146">
        <v>1000</v>
      </c>
      <c r="C1175" s="146">
        <v>25</v>
      </c>
      <c r="D1175" s="146">
        <v>400</v>
      </c>
      <c r="E1175" s="252">
        <v>18.762893139243278</v>
      </c>
      <c r="F1175" s="146">
        <v>2.9672595889417024</v>
      </c>
      <c r="G1175" s="146">
        <v>20.880462210432523</v>
      </c>
      <c r="H1175" s="146">
        <v>18.21759972944945</v>
      </c>
      <c r="I1175" s="146"/>
      <c r="J1175" s="146">
        <v>0.62775910401110924</v>
      </c>
      <c r="K1175" s="146">
        <v>0.27</v>
      </c>
      <c r="L1175" s="146">
        <v>123.52240917072714</v>
      </c>
      <c r="M1175" s="146">
        <v>53.816817273553319</v>
      </c>
      <c r="N1175" s="146">
        <v>2.846473918576411</v>
      </c>
      <c r="O1175" s="146"/>
      <c r="P1175" s="146"/>
      <c r="Q1175" s="146"/>
      <c r="R1175" s="146"/>
      <c r="S1175" s="146"/>
      <c r="T1175" s="146"/>
      <c r="U1175" s="146"/>
      <c r="V1175" s="146"/>
      <c r="W1175" s="146"/>
      <c r="X1175" s="146"/>
      <c r="Y1175" s="146"/>
      <c r="Z1175" s="146">
        <v>0.15624857065966691</v>
      </c>
      <c r="AA1175" s="146"/>
      <c r="AB1175" s="146"/>
      <c r="AC1175" s="146"/>
      <c r="AD1175" s="146"/>
      <c r="AE1175" s="146"/>
      <c r="AF1175" s="146"/>
      <c r="AG1175" s="146"/>
      <c r="AH1175" s="146"/>
      <c r="AI1175" s="146"/>
      <c r="AJ1175" s="146"/>
      <c r="AK1175" s="146"/>
      <c r="AL1175" s="146">
        <v>1705.0132513480555</v>
      </c>
      <c r="AM1175" s="146">
        <v>0.1421069878165421</v>
      </c>
      <c r="AN1175" s="146">
        <v>0.26229049048395381</v>
      </c>
      <c r="AO1175" s="146">
        <v>328.46521768812988</v>
      </c>
      <c r="AP1175" s="146">
        <v>281.77629205984937</v>
      </c>
      <c r="AQ1175" t="s">
        <v>385</v>
      </c>
      <c r="AR1175">
        <f t="shared" si="71"/>
        <v>14.644015877877388</v>
      </c>
      <c r="AS1175">
        <f t="shared" si="72"/>
        <v>3.9965468373646496</v>
      </c>
      <c r="AT1175">
        <v>0.3</v>
      </c>
      <c r="AU1175">
        <v>0</v>
      </c>
      <c r="AV1175">
        <v>0.4</v>
      </c>
      <c r="AW1175" s="146">
        <v>3</v>
      </c>
      <c r="AX1175" s="146">
        <v>0.54107401504488428</v>
      </c>
      <c r="AY1175">
        <v>0.27</v>
      </c>
      <c r="AZ1175" s="209">
        <v>281.77629205984937</v>
      </c>
      <c r="BA1175">
        <v>0.54107401504488428</v>
      </c>
      <c r="BB1175" s="249">
        <v>38.815346127852692</v>
      </c>
      <c r="BC1175" s="243">
        <v>206.81821533967008</v>
      </c>
      <c r="BD1175" s="209">
        <v>96710.314970163759</v>
      </c>
      <c r="BE1175" s="243">
        <v>46.757495347687914</v>
      </c>
      <c r="BF1175">
        <v>328221.2796008985</v>
      </c>
      <c r="BG1175" t="s">
        <v>388</v>
      </c>
      <c r="BH1175">
        <v>7.2578371414271106E-6</v>
      </c>
      <c r="BI1175">
        <v>2167103.1497016377</v>
      </c>
      <c r="BJ1175">
        <f t="shared" si="70"/>
        <v>0.1514562330113762</v>
      </c>
    </row>
    <row r="1176" spans="1:62" x14ac:dyDescent="0.3">
      <c r="A1176">
        <v>-0.1</v>
      </c>
      <c r="B1176" s="146">
        <v>1000</v>
      </c>
      <c r="C1176" s="146">
        <v>25</v>
      </c>
      <c r="D1176" s="146">
        <v>500</v>
      </c>
      <c r="E1176" s="252">
        <v>19.427557435575483</v>
      </c>
      <c r="F1176" s="146">
        <v>2.5672547408350859</v>
      </c>
      <c r="G1176" s="146">
        <v>21.338117476842459</v>
      </c>
      <c r="H1176" s="146">
        <v>18.051986587285878</v>
      </c>
      <c r="I1176" s="146"/>
      <c r="J1176" s="146">
        <v>0.58516052077579828</v>
      </c>
      <c r="K1176" s="146">
        <v>0.27</v>
      </c>
      <c r="L1176" s="146">
        <v>122.26681476966557</v>
      </c>
      <c r="M1176" s="146">
        <v>53.269774069771309</v>
      </c>
      <c r="N1176" s="146">
        <v>3.3550182281950356</v>
      </c>
      <c r="O1176" s="146"/>
      <c r="P1176" s="146"/>
      <c r="Q1176" s="146"/>
      <c r="R1176" s="146"/>
      <c r="S1176" s="146"/>
      <c r="T1176" s="146"/>
      <c r="U1176" s="146"/>
      <c r="V1176" s="146"/>
      <c r="W1176" s="146"/>
      <c r="X1176" s="146"/>
      <c r="Y1176" s="146"/>
      <c r="Z1176" s="146">
        <v>0.18585313100985767</v>
      </c>
      <c r="AA1176" s="146"/>
      <c r="AB1176" s="146"/>
      <c r="AC1176" s="146"/>
      <c r="AD1176" s="146"/>
      <c r="AE1176" s="146"/>
      <c r="AF1176" s="146"/>
      <c r="AG1176" s="146"/>
      <c r="AH1176" s="146"/>
      <c r="AI1176" s="146"/>
      <c r="AJ1176" s="146"/>
      <c r="AK1176" s="146"/>
      <c r="AL1176" s="146">
        <v>2054.4916800221695</v>
      </c>
      <c r="AM1176" s="146">
        <v>0.12031308495799786</v>
      </c>
      <c r="AN1176" s="146">
        <v>0.26016243919056514</v>
      </c>
      <c r="AO1176" s="146">
        <v>425.32527948300378</v>
      </c>
      <c r="AP1176" s="146">
        <v>376.98256592465123</v>
      </c>
      <c r="AQ1176" t="s">
        <v>385</v>
      </c>
      <c r="AR1176">
        <f t="shared" si="71"/>
        <v>14.644015877877388</v>
      </c>
      <c r="AS1176">
        <f t="shared" si="72"/>
        <v>3.9965468373646496</v>
      </c>
      <c r="AT1176">
        <v>0.3</v>
      </c>
      <c r="AU1176">
        <v>0</v>
      </c>
      <c r="AV1176">
        <v>0.4</v>
      </c>
      <c r="AW1176" s="146">
        <v>3</v>
      </c>
      <c r="AX1176" s="146">
        <v>0.51072850507978229</v>
      </c>
      <c r="AY1176">
        <v>0.27</v>
      </c>
      <c r="AZ1176" s="209">
        <v>376.98256592465123</v>
      </c>
      <c r="BA1176">
        <v>0.51072850507978229</v>
      </c>
      <c r="BB1176" s="249">
        <v>37.162782995222209</v>
      </c>
      <c r="BC1176" s="243">
        <v>203.46108334425685</v>
      </c>
      <c r="BD1176" s="209">
        <v>95664.555523342846</v>
      </c>
      <c r="BE1176" s="243">
        <v>47.311984995514969</v>
      </c>
      <c r="BF1176">
        <v>339693.18808847945</v>
      </c>
      <c r="BG1176" t="s">
        <v>388</v>
      </c>
      <c r="BH1176">
        <v>7.518917955084623E-6</v>
      </c>
      <c r="BI1176">
        <v>2156645.5552334283</v>
      </c>
      <c r="BJ1176">
        <f t="shared" si="70"/>
        <v>0.15750997527811758</v>
      </c>
    </row>
    <row r="1177" spans="1:62" s="146" customFormat="1" x14ac:dyDescent="0.3">
      <c r="A1177">
        <v>-0.1</v>
      </c>
      <c r="B1177" s="146">
        <v>1000</v>
      </c>
      <c r="C1177" s="146">
        <v>25</v>
      </c>
      <c r="D1177" s="146">
        <v>600</v>
      </c>
      <c r="E1177" s="252">
        <v>19.890532146888706</v>
      </c>
      <c r="F1177" s="146">
        <v>2.2561662196991232</v>
      </c>
      <c r="G1177" s="146">
        <v>21.638608794088327</v>
      </c>
      <c r="H1177" s="146">
        <v>17.932784622377831</v>
      </c>
      <c r="J1177" s="146">
        <v>0.5639631254159907</v>
      </c>
      <c r="K1177" s="146">
        <v>0.27</v>
      </c>
      <c r="L1177" s="146">
        <v>121.38226877507776</v>
      </c>
      <c r="M1177" s="146">
        <v>52.88439096009612</v>
      </c>
      <c r="N1177" s="146">
        <v>3.7385465316682289</v>
      </c>
      <c r="Z1177" s="146">
        <v>0.2084755162342718</v>
      </c>
      <c r="AL1177" s="146">
        <v>2342.9146238226276</v>
      </c>
      <c r="AM1177" s="146">
        <v>0.10426577055709368</v>
      </c>
      <c r="AN1177" s="146">
        <v>0.25877637566660994</v>
      </c>
      <c r="AO1177" s="146">
        <v>523.13621328202566</v>
      </c>
      <c r="AP1177" s="146">
        <v>473.64135798851447</v>
      </c>
      <c r="AQ1177" t="s">
        <v>385</v>
      </c>
      <c r="AR1177">
        <f t="shared" si="71"/>
        <v>14.644015877877388</v>
      </c>
      <c r="AS1177">
        <f t="shared" si="72"/>
        <v>3.9965468373646496</v>
      </c>
      <c r="AT1177">
        <v>0.3</v>
      </c>
      <c r="AU1177">
        <v>0</v>
      </c>
      <c r="AV1177">
        <v>0.4</v>
      </c>
      <c r="AW1177" s="146">
        <v>3</v>
      </c>
      <c r="AX1177" s="146">
        <v>0.49799288522927754</v>
      </c>
      <c r="AY1177">
        <v>0.27</v>
      </c>
      <c r="AZ1177" s="209">
        <v>473.64135798851447</v>
      </c>
      <c r="BA1177" s="146">
        <v>0.49799288522927754</v>
      </c>
      <c r="BB1177" s="252">
        <v>35.678725586685637</v>
      </c>
      <c r="BC1177" s="244">
        <v>201.12725805344917</v>
      </c>
      <c r="BD1177" s="229">
        <v>94387.484821902704</v>
      </c>
      <c r="BE1177" s="244">
        <v>46.870156886574826</v>
      </c>
      <c r="BF1177" s="146">
        <v>346253.73931472958</v>
      </c>
      <c r="BG1177" t="s">
        <v>388</v>
      </c>
      <c r="BH1177" s="146">
        <v>7.7228627659270959E-6</v>
      </c>
      <c r="BI1177" s="146">
        <v>2143874.8482190268</v>
      </c>
      <c r="BJ1177">
        <f t="shared" si="70"/>
        <v>0.16150837330937096</v>
      </c>
    </row>
    <row r="1178" spans="1:62" s="140" customFormat="1" x14ac:dyDescent="0.3">
      <c r="A1178">
        <v>-0.1</v>
      </c>
      <c r="B1178" s="146">
        <v>1000</v>
      </c>
      <c r="C1178" s="146">
        <v>25</v>
      </c>
      <c r="D1178" s="146">
        <v>700</v>
      </c>
      <c r="E1178" s="252">
        <v>20.2420816354016</v>
      </c>
      <c r="F1178" s="146">
        <v>2.0150089663349737</v>
      </c>
      <c r="G1178" s="146">
        <v>21.864069976102588</v>
      </c>
      <c r="H1178" s="146">
        <v>17.850022703580482</v>
      </c>
      <c r="I1178" s="146"/>
      <c r="J1178" s="146">
        <v>0.55148939623825932</v>
      </c>
      <c r="K1178" s="146">
        <v>0.27</v>
      </c>
      <c r="L1178" s="146">
        <v>120.77151727306011</v>
      </c>
      <c r="M1178" s="146">
        <v>52.61829590734984</v>
      </c>
      <c r="N1178" s="146">
        <v>4.0372156717201797</v>
      </c>
      <c r="O1178" s="146"/>
      <c r="P1178" s="146"/>
      <c r="Q1178" s="146"/>
      <c r="R1178" s="146"/>
      <c r="S1178" s="146"/>
      <c r="T1178" s="146"/>
      <c r="U1178" s="146"/>
      <c r="V1178" s="146"/>
      <c r="W1178" s="146"/>
      <c r="X1178" s="146"/>
      <c r="Y1178" s="146"/>
      <c r="Z1178" s="146">
        <v>0.2261742597621664</v>
      </c>
      <c r="AA1178" s="146"/>
      <c r="AB1178" s="146"/>
      <c r="AC1178" s="146"/>
      <c r="AD1178" s="146"/>
      <c r="AE1178" s="146"/>
      <c r="AF1178" s="146"/>
      <c r="AG1178" s="146"/>
      <c r="AH1178" s="146"/>
      <c r="AI1178" s="146"/>
      <c r="AJ1178" s="146"/>
      <c r="AK1178" s="146"/>
      <c r="AL1178" s="146">
        <v>2589.6732886169784</v>
      </c>
      <c r="AM1178" s="146">
        <v>9.2160744478835682E-2</v>
      </c>
      <c r="AN1178" s="146">
        <v>0.25764905161942553</v>
      </c>
      <c r="AO1178" s="146">
        <v>621.43545063266424</v>
      </c>
      <c r="AP1178" s="146">
        <v>571.06545275688984</v>
      </c>
      <c r="AQ1178" t="s">
        <v>385</v>
      </c>
      <c r="AR1178">
        <f t="shared" si="71"/>
        <v>14.644015877877388</v>
      </c>
      <c r="AS1178">
        <f t="shared" si="72"/>
        <v>3.9965468373646496</v>
      </c>
      <c r="AT1178">
        <v>0.3</v>
      </c>
      <c r="AU1178">
        <v>0</v>
      </c>
      <c r="AV1178">
        <v>0.4</v>
      </c>
      <c r="AW1178" s="146">
        <v>3</v>
      </c>
      <c r="AX1178" s="146">
        <v>0.49159057252063049</v>
      </c>
      <c r="AY1178">
        <v>0.27</v>
      </c>
      <c r="AZ1178" s="209">
        <v>571.06545275688984</v>
      </c>
      <c r="BA1178" s="140">
        <v>0.49159057252063049</v>
      </c>
      <c r="BB1178" s="253">
        <v>34.46874349424747</v>
      </c>
      <c r="BC1178" s="245">
        <v>199.53053999675805</v>
      </c>
      <c r="BD1178" s="210">
        <v>93312.627797050314</v>
      </c>
      <c r="BE1178" s="245">
        <v>46.263003016642379</v>
      </c>
      <c r="BF1178" s="140">
        <v>350859.6116371862</v>
      </c>
      <c r="BG1178" t="s">
        <v>388</v>
      </c>
      <c r="BH1178" s="140">
        <v>7.8831164275019326E-6</v>
      </c>
      <c r="BI1178" s="140">
        <v>2133126.2779705031</v>
      </c>
      <c r="BJ1178">
        <f t="shared" si="70"/>
        <v>0.16448140705997055</v>
      </c>
    </row>
    <row r="1179" spans="1:62" x14ac:dyDescent="0.3">
      <c r="A1179">
        <v>-0.1</v>
      </c>
      <c r="B1179" s="146">
        <v>1000</v>
      </c>
      <c r="C1179" s="146">
        <v>25</v>
      </c>
      <c r="D1179" s="146">
        <v>800</v>
      </c>
      <c r="E1179" s="252">
        <v>20.514322308763859</v>
      </c>
      <c r="F1179" s="146">
        <v>1.822042019110262</v>
      </c>
      <c r="G1179" s="146">
        <v>22.035226033221225</v>
      </c>
      <c r="H1179" s="146">
        <v>17.785070391390132</v>
      </c>
      <c r="I1179" s="146"/>
      <c r="J1179" s="146">
        <v>0.54243175615939887</v>
      </c>
      <c r="K1179" s="146">
        <v>0.27</v>
      </c>
      <c r="L1179" s="146">
        <v>120.29674881509378</v>
      </c>
      <c r="M1179" s="146">
        <v>52.411446579190233</v>
      </c>
      <c r="N1179" s="146">
        <v>4.2891640624046321</v>
      </c>
      <c r="O1179" s="146"/>
      <c r="P1179" s="146"/>
      <c r="Q1179" s="146"/>
      <c r="R1179" s="146"/>
      <c r="S1179" s="146"/>
      <c r="T1179" s="146"/>
      <c r="U1179" s="146"/>
      <c r="V1179" s="146"/>
      <c r="W1179" s="146"/>
      <c r="X1179" s="146"/>
      <c r="Y1179" s="146"/>
      <c r="Z1179" s="146">
        <v>0.24116654969670764</v>
      </c>
      <c r="AA1179" s="146"/>
      <c r="AB1179" s="146"/>
      <c r="AC1179" s="146"/>
      <c r="AD1179" s="146"/>
      <c r="AE1179" s="146"/>
      <c r="AF1179" s="146"/>
      <c r="AG1179" s="146"/>
      <c r="AH1179" s="146"/>
      <c r="AI1179" s="146"/>
      <c r="AJ1179" s="146"/>
      <c r="AK1179" s="146"/>
      <c r="AL1179" s="146">
        <v>2813.6448219360382</v>
      </c>
      <c r="AM1179" s="146">
        <v>8.2687693621262409E-2</v>
      </c>
      <c r="AN1179" s="146">
        <v>0.25678128178140858</v>
      </c>
      <c r="AO1179" s="146">
        <v>720.10974411200584</v>
      </c>
      <c r="AP1179" s="146">
        <v>669.06279073372184</v>
      </c>
      <c r="AQ1179" t="s">
        <v>385</v>
      </c>
      <c r="AR1179">
        <f t="shared" si="71"/>
        <v>14.644015877877388</v>
      </c>
      <c r="AS1179">
        <f t="shared" si="72"/>
        <v>3.9965468373646496</v>
      </c>
      <c r="AT1179">
        <v>0.3</v>
      </c>
      <c r="AU1179">
        <v>0</v>
      </c>
      <c r="AV1179">
        <v>0.4</v>
      </c>
      <c r="AW1179" s="146">
        <v>3</v>
      </c>
      <c r="AX1179" s="146">
        <v>0.48726729588895767</v>
      </c>
      <c r="AY1179">
        <v>0.27</v>
      </c>
      <c r="AZ1179" s="209">
        <v>669.06279073372184</v>
      </c>
      <c r="BA1179">
        <v>0.48726729588895767</v>
      </c>
      <c r="BB1179" s="249">
        <v>33.472231480983403</v>
      </c>
      <c r="BC1179" s="243">
        <v>198.29749768172979</v>
      </c>
      <c r="BD1179" s="209">
        <v>92391.957058146974</v>
      </c>
      <c r="BE1179" s="243">
        <v>45.655588279163368</v>
      </c>
      <c r="BF1179">
        <v>354117.47606129071</v>
      </c>
      <c r="BG1179" t="s">
        <v>388</v>
      </c>
      <c r="BH1179">
        <v>8.0117688733389997E-6</v>
      </c>
      <c r="BI1179">
        <v>2123919.5705814697</v>
      </c>
      <c r="BJ1179">
        <f t="shared" si="70"/>
        <v>0.16672828903984499</v>
      </c>
    </row>
    <row r="1180" spans="1:62" x14ac:dyDescent="0.3">
      <c r="A1180">
        <v>-0.1</v>
      </c>
      <c r="B1180" s="146">
        <v>1000</v>
      </c>
      <c r="C1180" s="146">
        <v>25</v>
      </c>
      <c r="D1180" s="146">
        <v>900</v>
      </c>
      <c r="E1180" s="252">
        <v>20.733840227746189</v>
      </c>
      <c r="F1180" s="146">
        <v>1.6647536456307421</v>
      </c>
      <c r="G1180" s="146">
        <v>22.172328651452982</v>
      </c>
      <c r="H1180" s="146">
        <v>17.733861353927797</v>
      </c>
      <c r="I1180" s="146"/>
      <c r="J1180" s="146">
        <v>0.53525998749958736</v>
      </c>
      <c r="K1180" s="146">
        <v>0.27</v>
      </c>
      <c r="L1180" s="146">
        <v>119.92432366972734</v>
      </c>
      <c r="M1180" s="146">
        <v>52.249186661084529</v>
      </c>
      <c r="N1180" s="146">
        <v>4.5066059792184578</v>
      </c>
      <c r="O1180" s="146"/>
      <c r="P1180" s="146"/>
      <c r="Q1180" s="146"/>
      <c r="R1180" s="146"/>
      <c r="S1180" s="146"/>
      <c r="T1180" s="146"/>
      <c r="U1180" s="146"/>
      <c r="V1180" s="146"/>
      <c r="W1180" s="146"/>
      <c r="X1180" s="146"/>
      <c r="Y1180" s="146"/>
      <c r="Z1180" s="146">
        <v>0.25412434941701567</v>
      </c>
      <c r="AA1180" s="146"/>
      <c r="AB1180" s="146"/>
      <c r="AC1180" s="146"/>
      <c r="AD1180" s="146"/>
      <c r="AE1180" s="146"/>
      <c r="AF1180" s="146"/>
      <c r="AG1180" s="146"/>
      <c r="AH1180" s="146"/>
      <c r="AI1180" s="146"/>
      <c r="AJ1180" s="146"/>
      <c r="AK1180" s="146"/>
      <c r="AL1180" s="146">
        <v>3020.7365761948176</v>
      </c>
      <c r="AM1180" s="146">
        <v>7.5082490062298834E-2</v>
      </c>
      <c r="AN1180" s="146">
        <v>0.2560579899632684</v>
      </c>
      <c r="AO1180" s="146">
        <v>819.02677893113014</v>
      </c>
      <c r="AP1180" s="146">
        <v>767.43358658559123</v>
      </c>
      <c r="AQ1180" t="s">
        <v>385</v>
      </c>
      <c r="AR1180">
        <f t="shared" si="71"/>
        <v>14.644015877877388</v>
      </c>
      <c r="AS1180">
        <f t="shared" si="72"/>
        <v>3.9965468373646496</v>
      </c>
      <c r="AT1180">
        <v>0.3</v>
      </c>
      <c r="AU1180">
        <v>0</v>
      </c>
      <c r="AV1180">
        <v>0.4</v>
      </c>
      <c r="AW1180" s="146">
        <v>3</v>
      </c>
      <c r="AX1180" s="146">
        <v>0.48392676981630717</v>
      </c>
      <c r="AY1180">
        <v>0.27</v>
      </c>
      <c r="AZ1180" s="209">
        <v>767.43358658559123</v>
      </c>
      <c r="BA1180">
        <v>0.48392676981630717</v>
      </c>
      <c r="BB1180" s="249">
        <v>32.647730706388643</v>
      </c>
      <c r="BC1180" s="243">
        <v>197.33519621272217</v>
      </c>
      <c r="BD1180" s="209">
        <v>91626.657461832772</v>
      </c>
      <c r="BE1180" s="243">
        <v>45.109444143846765</v>
      </c>
      <c r="BF1180">
        <v>356625.70939712139</v>
      </c>
      <c r="BG1180" t="s">
        <v>388</v>
      </c>
      <c r="BH1180">
        <v>8.1171495295772091E-6</v>
      </c>
      <c r="BI1180">
        <v>2116266.5746183274</v>
      </c>
      <c r="BJ1180">
        <f t="shared" si="70"/>
        <v>0.16851644007156305</v>
      </c>
    </row>
    <row r="1181" spans="1:62" x14ac:dyDescent="0.3">
      <c r="A1181">
        <v>-0.1</v>
      </c>
      <c r="B1181" s="146">
        <v>1000</v>
      </c>
      <c r="C1181" s="146">
        <v>25</v>
      </c>
      <c r="D1181" s="146">
        <v>1000</v>
      </c>
      <c r="E1181" s="252">
        <v>20.914421297545083</v>
      </c>
      <c r="F1181" s="146">
        <v>1.5339371692626764</v>
      </c>
      <c r="G1181" s="146">
        <v>22.284343480780279</v>
      </c>
      <c r="H1181" s="146">
        <v>17.692023944302999</v>
      </c>
      <c r="I1181" s="146"/>
      <c r="J1181" s="146">
        <v>0.52916162573900649</v>
      </c>
      <c r="K1181" s="146">
        <v>0.27</v>
      </c>
      <c r="L1181" s="146">
        <v>119.62144153051956</v>
      </c>
      <c r="M1181" s="146">
        <v>52.117225563089441</v>
      </c>
      <c r="N1181" s="146">
        <v>4.6990656288689099</v>
      </c>
      <c r="O1181" s="146"/>
      <c r="P1181" s="146"/>
      <c r="Q1181" s="146"/>
      <c r="R1181" s="146"/>
      <c r="S1181" s="146"/>
      <c r="T1181" s="146"/>
      <c r="U1181" s="146"/>
      <c r="V1181" s="146"/>
      <c r="W1181" s="146"/>
      <c r="X1181" s="146"/>
      <c r="Y1181" s="146"/>
      <c r="Z1181" s="146">
        <v>0.26560362136419413</v>
      </c>
      <c r="AA1181" s="146"/>
      <c r="AB1181" s="146"/>
      <c r="AC1181" s="146"/>
      <c r="AD1181" s="146"/>
      <c r="AE1181" s="146"/>
      <c r="AF1181" s="146"/>
      <c r="AG1181" s="146"/>
      <c r="AH1181" s="146"/>
      <c r="AI1181" s="146"/>
      <c r="AJ1181" s="146"/>
      <c r="AK1181" s="146"/>
      <c r="AL1181" s="146">
        <v>3215.6185007536756</v>
      </c>
      <c r="AM1181" s="146">
        <v>6.8834748063619694E-2</v>
      </c>
      <c r="AN1181" s="146">
        <v>0.2554538074305629</v>
      </c>
      <c r="AO1181" s="146">
        <v>918.12836337062618</v>
      </c>
      <c r="AP1181" s="146">
        <v>866.08568631922094</v>
      </c>
      <c r="AQ1181" t="s">
        <v>385</v>
      </c>
      <c r="AR1181">
        <f t="shared" si="71"/>
        <v>14.644015877877388</v>
      </c>
      <c r="AS1181">
        <f t="shared" si="72"/>
        <v>3.9965468373646496</v>
      </c>
      <c r="AT1181">
        <v>0.3</v>
      </c>
      <c r="AU1181">
        <v>0</v>
      </c>
      <c r="AV1181">
        <v>0.4</v>
      </c>
      <c r="AW1181" s="146">
        <v>3</v>
      </c>
      <c r="AX1181" s="146">
        <v>0.48103173660944448</v>
      </c>
      <c r="AY1181">
        <v>0.27</v>
      </c>
      <c r="AZ1181" s="209">
        <v>866.08568631922094</v>
      </c>
      <c r="BA1181">
        <v>0.48103173660944448</v>
      </c>
      <c r="BB1181" s="249">
        <v>31.954807387156812</v>
      </c>
      <c r="BC1181" s="243">
        <v>196.55575775755156</v>
      </c>
      <c r="BD1181" s="209">
        <v>90980.121533143814</v>
      </c>
      <c r="BE1181" s="243">
        <v>44.625681683991075</v>
      </c>
      <c r="BF1181">
        <v>358601.97906209389</v>
      </c>
      <c r="BG1181" t="s">
        <v>388</v>
      </c>
      <c r="BH1181">
        <v>8.2050586850798129E-6</v>
      </c>
      <c r="BI1181">
        <v>2109801.215331438</v>
      </c>
      <c r="BJ1181">
        <f t="shared" si="70"/>
        <v>0.16996955753756143</v>
      </c>
    </row>
    <row r="1182" spans="1:62" s="140" customFormat="1" x14ac:dyDescent="0.3">
      <c r="A1182" s="140">
        <v>-0.1</v>
      </c>
      <c r="B1182" s="140">
        <v>1000</v>
      </c>
      <c r="C1182" s="140">
        <v>25</v>
      </c>
      <c r="D1182" s="140">
        <v>1100</v>
      </c>
      <c r="E1182" s="253">
        <v>21.064634800449308</v>
      </c>
      <c r="F1182" s="140">
        <v>1.4231846648295159</v>
      </c>
      <c r="G1182" s="140">
        <v>22.376457898162876</v>
      </c>
      <c r="H1182" s="140">
        <v>17.656522171599303</v>
      </c>
      <c r="J1182" s="140">
        <v>0.52370013689799289</v>
      </c>
      <c r="K1182" s="140">
        <v>0.27</v>
      </c>
      <c r="L1182" s="140">
        <v>119.36568263037283</v>
      </c>
      <c r="M1182" s="140">
        <v>52.005795336884425</v>
      </c>
      <c r="N1182" s="140">
        <v>4.8732093602740907</v>
      </c>
      <c r="Z1182" s="140">
        <v>0.27600052337105763</v>
      </c>
      <c r="AL1182" s="140">
        <v>3401.5698207199803</v>
      </c>
      <c r="AM1182" s="140">
        <v>6.3601874403292416E-2</v>
      </c>
      <c r="AN1182" s="140">
        <v>0.25496256284874802</v>
      </c>
      <c r="AO1182" s="140">
        <v>1017.3814595951268</v>
      </c>
      <c r="AP1182" s="140">
        <v>964.96514058293633</v>
      </c>
      <c r="AQ1182" t="s">
        <v>385</v>
      </c>
      <c r="AR1182">
        <f t="shared" si="71"/>
        <v>14.644015877877388</v>
      </c>
      <c r="AS1182">
        <f t="shared" si="72"/>
        <v>3.9965468373646496</v>
      </c>
      <c r="AT1182">
        <v>0.3</v>
      </c>
      <c r="AU1182">
        <v>0</v>
      </c>
      <c r="AV1182">
        <v>0.4</v>
      </c>
      <c r="AW1182" s="140">
        <v>3</v>
      </c>
      <c r="AX1182" s="140">
        <v>0.47831798454280056</v>
      </c>
      <c r="AY1182">
        <v>0.27</v>
      </c>
      <c r="AZ1182" s="209">
        <v>964.96514058293633</v>
      </c>
      <c r="BA1182" s="140">
        <v>0.47831798454280056</v>
      </c>
      <c r="BB1182" s="253">
        <v>31.362661003858719</v>
      </c>
      <c r="BC1182" s="245">
        <v>195.8997854489202</v>
      </c>
      <c r="BD1182" s="210">
        <v>90419.354291375392</v>
      </c>
      <c r="BE1182" s="245">
        <v>44.192520670603486</v>
      </c>
      <c r="BF1182" s="140">
        <v>360152.65072027734</v>
      </c>
      <c r="BG1182" t="s">
        <v>388</v>
      </c>
      <c r="BH1182" s="140">
        <v>8.2795568160947122E-6</v>
      </c>
      <c r="BI1182" s="140">
        <v>2104193.542913754</v>
      </c>
      <c r="BJ1182">
        <f t="shared" si="70"/>
        <v>0.17115946959021686</v>
      </c>
    </row>
    <row r="1183" spans="1:62" x14ac:dyDescent="0.3">
      <c r="A1183">
        <v>-0.1</v>
      </c>
      <c r="B1183" s="146">
        <v>1000</v>
      </c>
      <c r="C1183" s="146">
        <v>25</v>
      </c>
      <c r="D1183" s="146">
        <v>400</v>
      </c>
      <c r="E1183" s="252">
        <v>18.763278715152953</v>
      </c>
      <c r="F1183" s="146">
        <v>2.9677048413153893</v>
      </c>
      <c r="G1183" s="146">
        <v>20.881107342312937</v>
      </c>
      <c r="H1183" s="146">
        <v>18.218976875339113</v>
      </c>
      <c r="I1183" s="146"/>
      <c r="J1183" s="146">
        <v>0.62809434773735418</v>
      </c>
      <c r="K1183" s="146">
        <v>0.27</v>
      </c>
      <c r="L1183" s="146">
        <v>123.53163225592374</v>
      </c>
      <c r="M1183" s="146">
        <v>53.820835630174237</v>
      </c>
      <c r="N1183" s="146">
        <v>2.8440270249559703</v>
      </c>
      <c r="O1183" s="146"/>
      <c r="P1183" s="146"/>
      <c r="Q1183" s="146"/>
      <c r="R1183" s="146"/>
      <c r="S1183" s="146"/>
      <c r="T1183" s="146"/>
      <c r="U1183" s="146"/>
      <c r="V1183" s="146"/>
      <c r="W1183" s="146"/>
      <c r="X1183" s="146"/>
      <c r="Y1183" s="146"/>
      <c r="Z1183" s="146">
        <v>0.15610245539120229</v>
      </c>
      <c r="AA1183" s="146"/>
      <c r="AB1183" s="146"/>
      <c r="AC1183" s="146"/>
      <c r="AD1183" s="146"/>
      <c r="AE1183" s="146"/>
      <c r="AF1183" s="146"/>
      <c r="AG1183" s="146"/>
      <c r="AH1183" s="146"/>
      <c r="AI1183" s="146"/>
      <c r="AJ1183" s="146"/>
      <c r="AK1183" s="146"/>
      <c r="AL1183" s="146">
        <v>1703.7855003782304</v>
      </c>
      <c r="AM1183" s="146">
        <v>0.14212392056917925</v>
      </c>
      <c r="AN1183" s="146">
        <v>0.26228330334795347</v>
      </c>
      <c r="AO1183" s="146">
        <v>328.46178740451126</v>
      </c>
      <c r="AP1183" s="146">
        <v>281.77198790024499</v>
      </c>
      <c r="AQ1183" t="s">
        <v>385</v>
      </c>
      <c r="AR1183">
        <f t="shared" si="71"/>
        <v>14.644015877877388</v>
      </c>
      <c r="AS1183">
        <f t="shared" si="72"/>
        <v>3.9965468373646496</v>
      </c>
      <c r="AT1183">
        <v>0.3</v>
      </c>
      <c r="AU1183">
        <v>0</v>
      </c>
      <c r="AV1183">
        <v>0.4</v>
      </c>
      <c r="AW1183" s="146">
        <v>3</v>
      </c>
      <c r="AX1183" s="146">
        <v>0.54136770666998613</v>
      </c>
      <c r="AY1183">
        <v>0.27</v>
      </c>
      <c r="AZ1183" s="209">
        <v>281.77198790024499</v>
      </c>
      <c r="BA1183">
        <v>0.54136770666998613</v>
      </c>
      <c r="BB1183" s="249">
        <v>38.81567074671527</v>
      </c>
      <c r="BC1183" s="243">
        <v>206.84307138113255</v>
      </c>
      <c r="BD1183" s="209">
        <v>96714.068341504069</v>
      </c>
      <c r="BE1183" s="243">
        <v>46.747411219783707</v>
      </c>
      <c r="BF1183">
        <v>328237.91147214849</v>
      </c>
      <c r="BG1183" t="s">
        <v>389</v>
      </c>
      <c r="BH1183">
        <v>7.2578266645642742E-6</v>
      </c>
      <c r="BI1183">
        <v>2167140.6834150408</v>
      </c>
      <c r="BJ1183">
        <f t="shared" si="70"/>
        <v>0.15146128443996631</v>
      </c>
    </row>
    <row r="1184" spans="1:62" x14ac:dyDescent="0.3">
      <c r="A1184">
        <v>-0.1</v>
      </c>
      <c r="B1184" s="146">
        <v>1000</v>
      </c>
      <c r="C1184" s="146">
        <v>25</v>
      </c>
      <c r="D1184" s="146">
        <v>400</v>
      </c>
      <c r="E1184" s="252">
        <v>18.144084025396012</v>
      </c>
      <c r="F1184" s="146">
        <v>2.8573504619933803</v>
      </c>
      <c r="G1184" s="146">
        <v>20.175271195922186</v>
      </c>
      <c r="H1184" s="146">
        <v>17.613620095574433</v>
      </c>
      <c r="I1184" s="146"/>
      <c r="J1184" s="146">
        <v>0.63074472192105646</v>
      </c>
      <c r="K1184" s="146">
        <v>0.27</v>
      </c>
      <c r="L1184" s="146">
        <v>119.47064906686255</v>
      </c>
      <c r="M1184" s="146">
        <v>52.051527601745093</v>
      </c>
      <c r="N1184" s="146">
        <v>2.7666891410882517</v>
      </c>
      <c r="O1184" s="146"/>
      <c r="P1184" s="146"/>
      <c r="Q1184" s="146"/>
      <c r="R1184" s="146"/>
      <c r="S1184" s="146"/>
      <c r="T1184" s="146"/>
      <c r="U1184" s="146"/>
      <c r="V1184" s="146"/>
      <c r="W1184" s="146"/>
      <c r="X1184" s="146"/>
      <c r="Y1184" s="146"/>
      <c r="Z1184" s="146">
        <v>0.15707668986135367</v>
      </c>
      <c r="AA1184" s="146"/>
      <c r="AB1184" s="146"/>
      <c r="AC1184" s="146"/>
      <c r="AD1184" s="146"/>
      <c r="AE1184" s="146"/>
      <c r="AF1184" s="146"/>
      <c r="AG1184" s="146"/>
      <c r="AH1184" s="146"/>
      <c r="AI1184" s="146"/>
      <c r="AJ1184" s="146"/>
      <c r="AK1184" s="146"/>
      <c r="AL1184" s="146">
        <v>1669.2381873696602</v>
      </c>
      <c r="AM1184" s="146">
        <v>0.14162637192063651</v>
      </c>
      <c r="AN1184" s="146">
        <v>0.26312048913517699</v>
      </c>
      <c r="AO1184" s="146">
        <v>331.04267902118954</v>
      </c>
      <c r="AP1184" s="146">
        <v>285.89361682553482</v>
      </c>
      <c r="AQ1184" t="s">
        <v>385</v>
      </c>
      <c r="AR1184">
        <f t="shared" si="71"/>
        <v>14.644015877877388</v>
      </c>
      <c r="AS1184">
        <f t="shared" si="72"/>
        <v>3.9965468373646496</v>
      </c>
      <c r="AT1184">
        <v>0.3</v>
      </c>
      <c r="AU1184">
        <v>0</v>
      </c>
      <c r="AV1184">
        <v>0.4</v>
      </c>
      <c r="AW1184" s="146">
        <v>2.5</v>
      </c>
      <c r="AX1184" s="146">
        <v>0.5436020732541067</v>
      </c>
      <c r="AY1184">
        <v>0.27</v>
      </c>
      <c r="AZ1184" s="209">
        <v>285.89361682553482</v>
      </c>
      <c r="BA1184">
        <v>0.5436020732541067</v>
      </c>
      <c r="BB1184" s="249">
        <v>37.472963336254374</v>
      </c>
      <c r="BC1184" s="243">
        <v>196.16876144559612</v>
      </c>
      <c r="BD1184" s="209">
        <v>90967.279102229135</v>
      </c>
      <c r="BE1184" s="243">
        <v>44.836014366198093</v>
      </c>
      <c r="BF1184">
        <v>374709.56708041811</v>
      </c>
      <c r="BG1184" t="s">
        <v>389</v>
      </c>
      <c r="BH1184">
        <v>7.0328719861307275E-6</v>
      </c>
      <c r="BI1184">
        <v>2109672.7910222914</v>
      </c>
      <c r="BJ1184">
        <f t="shared" si="70"/>
        <v>0.17761501625986456</v>
      </c>
    </row>
    <row r="1185" spans="1:62" x14ac:dyDescent="0.3">
      <c r="A1185">
        <v>-0.1</v>
      </c>
      <c r="B1185" s="146">
        <v>1000</v>
      </c>
      <c r="C1185" s="146">
        <v>25</v>
      </c>
      <c r="D1185" s="146">
        <v>400</v>
      </c>
      <c r="E1185" s="252">
        <v>15.932146127139314</v>
      </c>
      <c r="F1185" s="146">
        <v>2.4853057138538794</v>
      </c>
      <c r="G1185" s="146">
        <v>17.674904367806075</v>
      </c>
      <c r="H1185" s="146">
        <v>15.386462078779015</v>
      </c>
      <c r="I1185" s="146"/>
      <c r="J1185" s="146">
        <v>0.62649852950943463</v>
      </c>
      <c r="K1185" s="146">
        <v>0.27</v>
      </c>
      <c r="L1185" s="146">
        <v>104.49807659489959</v>
      </c>
      <c r="M1185" s="146">
        <v>45.528207645080727</v>
      </c>
      <c r="N1185" s="146">
        <v>2.5429813431257546</v>
      </c>
      <c r="O1185" s="146"/>
      <c r="P1185" s="146"/>
      <c r="Q1185" s="146"/>
      <c r="R1185" s="146"/>
      <c r="S1185" s="146"/>
      <c r="T1185" s="146"/>
      <c r="U1185" s="146"/>
      <c r="V1185" s="146"/>
      <c r="W1185" s="146"/>
      <c r="X1185" s="146"/>
      <c r="Y1185" s="146"/>
      <c r="Z1185" s="146">
        <v>0.1652739486248129</v>
      </c>
      <c r="AA1185" s="146"/>
      <c r="AB1185" s="146"/>
      <c r="AC1185" s="146"/>
      <c r="AD1185" s="146"/>
      <c r="AE1185" s="146"/>
      <c r="AF1185" s="146"/>
      <c r="AG1185" s="146"/>
      <c r="AH1185" s="146"/>
      <c r="AI1185" s="146"/>
      <c r="AJ1185" s="146"/>
      <c r="AK1185" s="146"/>
      <c r="AL1185" s="146">
        <v>1571.5099505850096</v>
      </c>
      <c r="AM1185" s="146">
        <v>0.14061211659966519</v>
      </c>
      <c r="AN1185" s="146">
        <v>0.26405776063556968</v>
      </c>
      <c r="AO1185" s="146">
        <v>339.66416253477388</v>
      </c>
      <c r="AP1185" s="146">
        <v>300.01927902213288</v>
      </c>
      <c r="AQ1185" t="s">
        <v>385</v>
      </c>
      <c r="AR1185">
        <f t="shared" si="71"/>
        <v>14.644015877877388</v>
      </c>
      <c r="AS1185">
        <f t="shared" si="72"/>
        <v>3.9965468373646496</v>
      </c>
      <c r="AT1185">
        <v>0.3</v>
      </c>
      <c r="AU1185">
        <v>0</v>
      </c>
      <c r="AV1185">
        <v>0.4</v>
      </c>
      <c r="AW1185" s="146">
        <v>1.5</v>
      </c>
      <c r="AX1185" s="146">
        <v>0.53846738265224936</v>
      </c>
      <c r="AY1185">
        <v>0.27</v>
      </c>
      <c r="AZ1185" s="209">
        <v>300.01927902213288</v>
      </c>
      <c r="BA1185">
        <v>0.53846738265224936</v>
      </c>
      <c r="BB1185" s="249">
        <v>32.915995415634193</v>
      </c>
      <c r="BC1185" s="243">
        <v>160.83572857297543</v>
      </c>
      <c r="BD1185" s="209">
        <v>72813.915169390762</v>
      </c>
      <c r="BE1185" s="243">
        <v>39.20642492295238</v>
      </c>
      <c r="BF1185">
        <v>500901.38074808527</v>
      </c>
      <c r="BG1185" t="s">
        <v>389</v>
      </c>
      <c r="BH1185">
        <v>6.2627954699770999E-6</v>
      </c>
      <c r="BI1185">
        <v>1928139.1516939076</v>
      </c>
      <c r="BJ1185">
        <f t="shared" si="70"/>
        <v>0.25978487097678282</v>
      </c>
    </row>
    <row r="1186" spans="1:62" x14ac:dyDescent="0.3">
      <c r="A1186">
        <v>-0.1</v>
      </c>
      <c r="B1186" s="146">
        <v>1000</v>
      </c>
      <c r="C1186" s="146">
        <v>25</v>
      </c>
      <c r="D1186" s="146">
        <v>400</v>
      </c>
      <c r="E1186" s="252">
        <v>13.826553546704501</v>
      </c>
      <c r="F1186" s="146">
        <v>2.1496003474623584</v>
      </c>
      <c r="G1186" s="146">
        <v>15.316612802672733</v>
      </c>
      <c r="H1186" s="146">
        <v>13.297779050983207</v>
      </c>
      <c r="I1186" s="146"/>
      <c r="J1186" s="146">
        <v>0.62351867698140262</v>
      </c>
      <c r="K1186" s="146">
        <v>0.27</v>
      </c>
      <c r="L1186" s="146">
        <v>90.41209307437363</v>
      </c>
      <c r="M1186" s="146">
        <v>39.391160883025854</v>
      </c>
      <c r="N1186" s="146">
        <v>2.3075205194533179</v>
      </c>
      <c r="O1186" s="146"/>
      <c r="P1186" s="146"/>
      <c r="Q1186" s="146"/>
      <c r="R1186" s="146"/>
      <c r="S1186" s="146"/>
      <c r="T1186" s="146"/>
      <c r="U1186" s="146"/>
      <c r="V1186" s="146"/>
      <c r="W1186" s="146"/>
      <c r="X1186" s="146"/>
      <c r="Y1186" s="146"/>
      <c r="Z1186" s="146">
        <v>0.17352676041663553</v>
      </c>
      <c r="AA1186" s="146"/>
      <c r="AB1186" s="146"/>
      <c r="AC1186" s="146"/>
      <c r="AD1186" s="146"/>
      <c r="AE1186" s="146"/>
      <c r="AF1186" s="146"/>
      <c r="AG1186" s="146"/>
      <c r="AH1186" s="146"/>
      <c r="AI1186" s="146"/>
      <c r="AJ1186" s="146"/>
      <c r="AK1186" s="146"/>
      <c r="AL1186" s="146">
        <v>1467.0888238851226</v>
      </c>
      <c r="AM1186" s="146">
        <v>0.14034436824617355</v>
      </c>
      <c r="AN1186" s="146">
        <v>0.26454293553999608</v>
      </c>
      <c r="AO1186" s="146">
        <v>347.73417963900204</v>
      </c>
      <c r="AP1186" s="146">
        <v>313.32856415846334</v>
      </c>
      <c r="AQ1186" t="s">
        <v>385</v>
      </c>
      <c r="AR1186">
        <f t="shared" si="71"/>
        <v>14.644015877877388</v>
      </c>
      <c r="AS1186">
        <f t="shared" si="72"/>
        <v>3.9965468373646496</v>
      </c>
      <c r="AT1186">
        <v>0.3</v>
      </c>
      <c r="AU1186">
        <v>0</v>
      </c>
      <c r="AV1186">
        <v>0.4</v>
      </c>
      <c r="AW1186" s="146">
        <v>1</v>
      </c>
      <c r="AX1186" s="146">
        <v>0.53403752618664579</v>
      </c>
      <c r="AY1186">
        <v>0.27</v>
      </c>
      <c r="AZ1186" s="209">
        <v>313.32856415846334</v>
      </c>
      <c r="BA1186">
        <v>0.53403752618664579</v>
      </c>
      <c r="BB1186" s="249">
        <v>28.664967064680127</v>
      </c>
      <c r="BC1186" s="243">
        <v>132.09882170566266</v>
      </c>
      <c r="BD1186" s="209">
        <v>58229.591765749239</v>
      </c>
      <c r="BE1186" s="243">
        <v>34.004811189158708</v>
      </c>
      <c r="BF1186">
        <v>576033.61369101855</v>
      </c>
      <c r="BG1186" t="s">
        <v>389</v>
      </c>
      <c r="BH1186">
        <v>5.548873378421776E-6</v>
      </c>
      <c r="BI1186">
        <v>1782295.9176574924</v>
      </c>
      <c r="BJ1186">
        <f t="shared" si="70"/>
        <v>0.32319751618357023</v>
      </c>
    </row>
    <row r="1187" spans="1:62" x14ac:dyDescent="0.3">
      <c r="A1187">
        <v>-0.1</v>
      </c>
      <c r="B1187" s="146">
        <v>1000</v>
      </c>
      <c r="C1187" s="146">
        <v>25</v>
      </c>
      <c r="D1187" s="146">
        <v>400</v>
      </c>
      <c r="E1187" s="252">
        <v>12.633069459741902</v>
      </c>
      <c r="F1187" s="146">
        <v>1.9654167121488491</v>
      </c>
      <c r="G1187" s="146">
        <v>13.987082038729888</v>
      </c>
      <c r="H1187" s="146">
        <v>12.127650364439546</v>
      </c>
      <c r="I1187" s="146"/>
      <c r="J1187" s="146">
        <v>0.62246473584641138</v>
      </c>
      <c r="K1187" s="146">
        <v>0.27</v>
      </c>
      <c r="L1187" s="146">
        <v>82.503899472254417</v>
      </c>
      <c r="M1187" s="146">
        <v>35.945682342683455</v>
      </c>
      <c r="N1187" s="146">
        <v>2.1647650463833745</v>
      </c>
      <c r="O1187" s="146"/>
      <c r="P1187" s="146"/>
      <c r="Q1187" s="146"/>
      <c r="R1187" s="146"/>
      <c r="S1187" s="146"/>
      <c r="T1187" s="146"/>
      <c r="U1187" s="146"/>
      <c r="V1187" s="146"/>
      <c r="W1187" s="146"/>
      <c r="X1187" s="146"/>
      <c r="Y1187" s="146"/>
      <c r="Z1187" s="146">
        <v>0.17849830604705222</v>
      </c>
      <c r="AA1187" s="146"/>
      <c r="AB1187" s="146"/>
      <c r="AC1187" s="146"/>
      <c r="AD1187" s="146"/>
      <c r="AE1187" s="146"/>
      <c r="AF1187" s="146"/>
      <c r="AG1187" s="146"/>
      <c r="AH1187" s="146"/>
      <c r="AI1187" s="146"/>
      <c r="AJ1187" s="146"/>
      <c r="AK1187" s="146"/>
      <c r="AL1187" s="146">
        <v>1403.2264648038865</v>
      </c>
      <c r="AM1187" s="146">
        <v>0.14051656426312925</v>
      </c>
      <c r="AN1187" s="146">
        <v>0.26473149617981206</v>
      </c>
      <c r="AO1187" s="146">
        <v>352.27968850687409</v>
      </c>
      <c r="AP1187" s="146">
        <v>320.84394161220081</v>
      </c>
      <c r="AQ1187" t="s">
        <v>385</v>
      </c>
      <c r="AR1187">
        <f t="shared" si="71"/>
        <v>14.644015877877388</v>
      </c>
      <c r="AS1187">
        <f t="shared" si="72"/>
        <v>3.9965468373646496</v>
      </c>
      <c r="AT1187">
        <v>0.3</v>
      </c>
      <c r="AU1187">
        <v>0</v>
      </c>
      <c r="AV1187">
        <v>0.4</v>
      </c>
      <c r="AW1187" s="146">
        <v>0.8</v>
      </c>
      <c r="AX1187" s="146">
        <v>0.53188309000279899</v>
      </c>
      <c r="AY1187">
        <v>0.27</v>
      </c>
      <c r="AZ1187" s="209">
        <v>320.84394161220081</v>
      </c>
      <c r="BA1187">
        <v>0.53188309000279899</v>
      </c>
      <c r="BB1187" s="249">
        <v>26.280399674386892</v>
      </c>
      <c r="BC1187" s="243">
        <v>117.43180581498801</v>
      </c>
      <c r="BD1187" s="209">
        <v>50903.594725506249</v>
      </c>
      <c r="BE1187" s="243">
        <v>31.089883350436949</v>
      </c>
      <c r="BF1187">
        <v>604494.37839952204</v>
      </c>
      <c r="BG1187" t="s">
        <v>389</v>
      </c>
      <c r="BH1187">
        <v>5.1385823156050074E-6</v>
      </c>
      <c r="BI1187">
        <v>1709035.9472550624</v>
      </c>
      <c r="BJ1187">
        <f t="shared" si="70"/>
        <v>0.35370489390256532</v>
      </c>
    </row>
    <row r="1188" spans="1:62" x14ac:dyDescent="0.3">
      <c r="A1188">
        <v>-0.1</v>
      </c>
      <c r="B1188" s="146">
        <v>1000</v>
      </c>
      <c r="C1188" s="146">
        <v>25</v>
      </c>
      <c r="D1188" s="146">
        <v>400</v>
      </c>
      <c r="E1188" s="252">
        <v>11.157997817482523</v>
      </c>
      <c r="F1188" s="146">
        <v>1.7410491287621119</v>
      </c>
      <c r="G1188" s="146">
        <v>12.348807627827284</v>
      </c>
      <c r="H1188" s="146">
        <v>10.693129293002642</v>
      </c>
      <c r="I1188" s="146"/>
      <c r="J1188" s="146">
        <v>0.62025684175124629</v>
      </c>
      <c r="K1188" s="146">
        <v>0.27</v>
      </c>
      <c r="L1188" s="146">
        <v>72.793696115564799</v>
      </c>
      <c r="M1188" s="146">
        <v>31.715095817984661</v>
      </c>
      <c r="N1188" s="146">
        <v>1.9889514002294622</v>
      </c>
      <c r="O1188" s="146"/>
      <c r="P1188" s="146"/>
      <c r="Q1188" s="146"/>
      <c r="R1188" s="146"/>
      <c r="S1188" s="146"/>
      <c r="T1188" s="146"/>
      <c r="U1188" s="146"/>
      <c r="V1188" s="146"/>
      <c r="W1188" s="146"/>
      <c r="X1188" s="146"/>
      <c r="Y1188" s="146"/>
      <c r="Z1188" s="146">
        <v>0.18600274491499791</v>
      </c>
      <c r="AA1188" s="146"/>
      <c r="AB1188" s="146"/>
      <c r="AC1188" s="146"/>
      <c r="AD1188" s="146"/>
      <c r="AE1188" s="146"/>
      <c r="AF1188" s="146"/>
      <c r="AG1188" s="146"/>
      <c r="AH1188" s="146"/>
      <c r="AI1188" s="146"/>
      <c r="AJ1188" s="146"/>
      <c r="AK1188" s="146"/>
      <c r="AL1188" s="146">
        <v>1324.6123948387669</v>
      </c>
      <c r="AM1188" s="146">
        <v>0.14098925023649764</v>
      </c>
      <c r="AN1188" s="146">
        <v>0.26504671933511809</v>
      </c>
      <c r="AO1188" s="146">
        <v>357.90176975035621</v>
      </c>
      <c r="AP1188" s="146">
        <v>330.13669472403529</v>
      </c>
      <c r="AQ1188" t="s">
        <v>385</v>
      </c>
      <c r="AR1188">
        <f t="shared" si="71"/>
        <v>14.644015877877388</v>
      </c>
      <c r="AS1188">
        <f t="shared" si="72"/>
        <v>3.9965468373646496</v>
      </c>
      <c r="AT1188">
        <v>0.3</v>
      </c>
      <c r="AU1188">
        <v>0</v>
      </c>
      <c r="AV1188">
        <v>0.4</v>
      </c>
      <c r="AW1188" s="146">
        <v>0.6</v>
      </c>
      <c r="AX1188" s="146">
        <v>0.52824344027838688</v>
      </c>
      <c r="AY1188">
        <v>0.27</v>
      </c>
      <c r="AZ1188" s="209">
        <v>330.13669472403529</v>
      </c>
      <c r="BA1188">
        <v>0.52824344027838688</v>
      </c>
      <c r="BB1188" s="249">
        <v>23.345479792452966</v>
      </c>
      <c r="BC1188" s="243">
        <v>100.59270587076485</v>
      </c>
      <c r="BD1188" s="209">
        <v>42633.466288312338</v>
      </c>
      <c r="BE1188" s="243">
        <v>27.521392514717665</v>
      </c>
      <c r="BF1188">
        <v>632422.15863587777</v>
      </c>
      <c r="BG1188" t="s">
        <v>389</v>
      </c>
      <c r="BH1188">
        <v>4.6092239825447716E-6</v>
      </c>
      <c r="BI1188">
        <v>1626334.6628831234</v>
      </c>
      <c r="BJ1188">
        <f t="shared" si="70"/>
        <v>0.38886348121901082</v>
      </c>
    </row>
    <row r="1189" spans="1:62" x14ac:dyDescent="0.3">
      <c r="A1189">
        <v>-0.1</v>
      </c>
      <c r="B1189" s="146">
        <v>1000</v>
      </c>
      <c r="C1189" s="146">
        <v>25</v>
      </c>
      <c r="D1189" s="146">
        <v>400</v>
      </c>
      <c r="E1189" s="252">
        <v>9.2308721940927754</v>
      </c>
      <c r="F1189" s="146">
        <v>1.4567579457497648</v>
      </c>
      <c r="G1189" s="146">
        <v>10.217403122486047</v>
      </c>
      <c r="H1189" s="146">
        <v>8.8351926189212744</v>
      </c>
      <c r="I1189" s="146"/>
      <c r="J1189" s="146">
        <v>0.61918313462165087</v>
      </c>
      <c r="K1189" s="146">
        <v>0.27</v>
      </c>
      <c r="L1189" s="146">
        <v>60.194757875628213</v>
      </c>
      <c r="M1189" s="146">
        <v>26.225931854526813</v>
      </c>
      <c r="N1189" s="146">
        <v>1.7353676437347163</v>
      </c>
      <c r="O1189" s="146"/>
      <c r="P1189" s="146"/>
      <c r="Q1189" s="146"/>
      <c r="R1189" s="146"/>
      <c r="S1189" s="146"/>
      <c r="T1189" s="146"/>
      <c r="U1189" s="146"/>
      <c r="V1189" s="146"/>
      <c r="W1189" s="146"/>
      <c r="X1189" s="146"/>
      <c r="Y1189" s="146"/>
      <c r="Z1189" s="146">
        <v>0.19641537186391242</v>
      </c>
      <c r="AA1189" s="146"/>
      <c r="AB1189" s="146"/>
      <c r="AC1189" s="146"/>
      <c r="AD1189" s="146"/>
      <c r="AE1189" s="146"/>
      <c r="AF1189" s="146"/>
      <c r="AG1189" s="146"/>
      <c r="AH1189" s="146"/>
      <c r="AI1189" s="146"/>
      <c r="AJ1189" s="146"/>
      <c r="AK1189" s="146"/>
      <c r="AL1189" s="146">
        <v>1209.8928432867829</v>
      </c>
      <c r="AM1189" s="146">
        <v>0.14257614467063465</v>
      </c>
      <c r="AN1189" s="146">
        <v>0.26509335593138172</v>
      </c>
      <c r="AO1189" s="146">
        <v>365.17878706668853</v>
      </c>
      <c r="AP1189" s="146">
        <v>342.20902141942486</v>
      </c>
      <c r="AQ1189" t="s">
        <v>385</v>
      </c>
      <c r="AR1189">
        <f t="shared" si="71"/>
        <v>14.644015877877388</v>
      </c>
      <c r="AS1189">
        <f t="shared" si="72"/>
        <v>3.9965468373646496</v>
      </c>
      <c r="AT1189">
        <v>0.3</v>
      </c>
      <c r="AU1189">
        <v>0</v>
      </c>
      <c r="AV1189">
        <v>0.4</v>
      </c>
      <c r="AW1189" s="146">
        <v>0.4</v>
      </c>
      <c r="AX1189" s="146">
        <v>0.52459188697812775</v>
      </c>
      <c r="AY1189">
        <v>0.27</v>
      </c>
      <c r="AZ1189" s="209">
        <v>342.20902141942486</v>
      </c>
      <c r="BA1189">
        <v>0.52459188697812775</v>
      </c>
      <c r="BB1189" s="249">
        <v>19.538934592573483</v>
      </c>
      <c r="BC1189" s="243">
        <v>80.344490220239507</v>
      </c>
      <c r="BD1189" s="209">
        <v>32975.731897380116</v>
      </c>
      <c r="BE1189" s="243">
        <v>22.9162919871162</v>
      </c>
      <c r="BF1189">
        <v>653516.44120180223</v>
      </c>
      <c r="BG1189" t="s">
        <v>389</v>
      </c>
      <c r="BH1189">
        <v>3.888309041989928E-6</v>
      </c>
      <c r="BI1189">
        <v>1529757.3189738011</v>
      </c>
      <c r="BJ1189">
        <f t="shared" si="70"/>
        <v>0.42720268966596425</v>
      </c>
    </row>
    <row r="1190" spans="1:62" x14ac:dyDescent="0.3">
      <c r="A1190">
        <v>-0.1</v>
      </c>
      <c r="B1190" s="146">
        <v>1000</v>
      </c>
      <c r="C1190" s="146">
        <v>25</v>
      </c>
      <c r="D1190" s="146">
        <v>400</v>
      </c>
      <c r="E1190" s="252">
        <v>8.0049855412401048</v>
      </c>
      <c r="F1190" s="146">
        <v>1.2779751621939726</v>
      </c>
      <c r="G1190" s="146">
        <v>8.8647969198487075</v>
      </c>
      <c r="H1190" s="146">
        <v>7.6630141434048662</v>
      </c>
      <c r="I1190" s="146"/>
      <c r="J1190" s="146">
        <v>0.61836075198615226</v>
      </c>
      <c r="K1190" s="146">
        <v>0.27</v>
      </c>
      <c r="L1190" s="146">
        <v>52.233906079234096</v>
      </c>
      <c r="M1190" s="146">
        <v>22.757510947384148</v>
      </c>
      <c r="N1190" s="146">
        <v>1.5679755870192684</v>
      </c>
      <c r="O1190" s="146"/>
      <c r="P1190" s="146"/>
      <c r="Q1190" s="146"/>
      <c r="R1190" s="146"/>
      <c r="S1190" s="146"/>
      <c r="T1190" s="146"/>
      <c r="U1190" s="146"/>
      <c r="V1190" s="146"/>
      <c r="W1190" s="146"/>
      <c r="X1190" s="146"/>
      <c r="Y1190" s="146"/>
      <c r="Z1190" s="146">
        <v>0.20461603719846172</v>
      </c>
      <c r="AA1190" s="146"/>
      <c r="AB1190" s="146"/>
      <c r="AC1190" s="146"/>
      <c r="AD1190" s="146"/>
      <c r="AE1190" s="146"/>
      <c r="AF1190" s="146"/>
      <c r="AG1190" s="146"/>
      <c r="AH1190" s="146"/>
      <c r="AI1190" s="146"/>
      <c r="AJ1190" s="146"/>
      <c r="AK1190" s="146"/>
      <c r="AL1190" s="146">
        <v>1133.8809412664277</v>
      </c>
      <c r="AM1190" s="146">
        <v>0.14416293726171261</v>
      </c>
      <c r="AN1190" s="146">
        <v>0.26517493018317762</v>
      </c>
      <c r="AO1190" s="146">
        <v>369.81243462302257</v>
      </c>
      <c r="AP1190" s="146">
        <v>349.8931477567935</v>
      </c>
      <c r="AQ1190" t="s">
        <v>385</v>
      </c>
      <c r="AR1190">
        <f t="shared" si="71"/>
        <v>14.644015877877388</v>
      </c>
      <c r="AS1190">
        <f t="shared" si="72"/>
        <v>3.9965468373646496</v>
      </c>
      <c r="AT1190">
        <v>0.3</v>
      </c>
      <c r="AU1190">
        <v>0</v>
      </c>
      <c r="AV1190">
        <v>0.4</v>
      </c>
      <c r="AW1190" s="146">
        <v>0.3</v>
      </c>
      <c r="AX1190" s="146">
        <v>0.52191351139326414</v>
      </c>
      <c r="AY1190">
        <v>0.27</v>
      </c>
      <c r="AZ1190" s="209">
        <v>349.8931477567935</v>
      </c>
      <c r="BA1190">
        <v>0.52191351139326414</v>
      </c>
      <c r="BB1190" s="249">
        <v>17.115962287104896</v>
      </c>
      <c r="BC1190" s="243">
        <v>68.332560452854409</v>
      </c>
      <c r="BD1190" s="209">
        <v>27426.113967889774</v>
      </c>
      <c r="BE1190" s="243">
        <v>19.996958551792126</v>
      </c>
      <c r="BF1190">
        <v>658772.89467613411</v>
      </c>
      <c r="BG1190" t="s">
        <v>389</v>
      </c>
      <c r="BH1190">
        <v>3.4087366944985301E-6</v>
      </c>
      <c r="BI1190">
        <v>1474261.1396788978</v>
      </c>
      <c r="BJ1190">
        <f t="shared" si="70"/>
        <v>0.4468495281776324</v>
      </c>
    </row>
    <row r="1191" spans="1:62" x14ac:dyDescent="0.3">
      <c r="A1191">
        <v>-0.1</v>
      </c>
      <c r="B1191" s="146">
        <v>1000</v>
      </c>
      <c r="C1191" s="146">
        <v>25</v>
      </c>
      <c r="D1191" s="146">
        <v>400</v>
      </c>
      <c r="E1191" s="252">
        <v>6.4787585725225165</v>
      </c>
      <c r="F1191" s="146">
        <v>1.0592850189149847</v>
      </c>
      <c r="G1191" s="146">
        <v>7.1847064931077114</v>
      </c>
      <c r="H1191" s="146">
        <v>6.2108285461075186</v>
      </c>
      <c r="I1191" s="146"/>
      <c r="J1191" s="146">
        <v>0.62104820696671081</v>
      </c>
      <c r="K1191" s="146">
        <v>0.27</v>
      </c>
      <c r="L1191" s="146">
        <v>42.359468995867218</v>
      </c>
      <c r="M1191" s="146">
        <v>18.455370309402731</v>
      </c>
      <c r="N1191" s="146">
        <v>1.3325435799501877</v>
      </c>
      <c r="O1191" s="146"/>
      <c r="P1191" s="146"/>
      <c r="Q1191" s="146"/>
      <c r="R1191" s="146"/>
      <c r="S1191" s="146"/>
      <c r="T1191" s="146"/>
      <c r="U1191" s="146"/>
      <c r="V1191" s="146"/>
      <c r="W1191" s="146"/>
      <c r="X1191" s="146"/>
      <c r="Y1191" s="146"/>
      <c r="Z1191" s="146">
        <v>0.214551660870646</v>
      </c>
      <c r="AA1191" s="146"/>
      <c r="AB1191" s="146"/>
      <c r="AC1191" s="146"/>
      <c r="AD1191" s="146"/>
      <c r="AE1191" s="146"/>
      <c r="AF1191" s="146"/>
      <c r="AG1191" s="146"/>
      <c r="AH1191" s="146"/>
      <c r="AI1191" s="146"/>
      <c r="AJ1191" s="146"/>
      <c r="AK1191" s="146"/>
      <c r="AL1191" s="146">
        <v>1025.6830219745198</v>
      </c>
      <c r="AM1191" s="146">
        <v>0.14743608801990127</v>
      </c>
      <c r="AN1191" s="146">
        <v>0.26479454590356122</v>
      </c>
      <c r="AO1191" s="146">
        <v>375.53288512641006</v>
      </c>
      <c r="AP1191" s="146">
        <v>359.41123199942655</v>
      </c>
      <c r="AQ1191" t="s">
        <v>385</v>
      </c>
      <c r="AR1191">
        <f t="shared" si="71"/>
        <v>14.644015877877388</v>
      </c>
      <c r="AS1191">
        <f t="shared" si="72"/>
        <v>3.9965468373646496</v>
      </c>
      <c r="AT1191">
        <v>0.3</v>
      </c>
      <c r="AU1191">
        <v>0</v>
      </c>
      <c r="AV1191">
        <v>0.4</v>
      </c>
      <c r="AW1191" s="146">
        <v>0.2</v>
      </c>
      <c r="AX1191" s="146">
        <v>0.52153721020274102</v>
      </c>
      <c r="AY1191">
        <v>0.27</v>
      </c>
      <c r="AZ1191" s="209">
        <v>359.41123199942655</v>
      </c>
      <c r="BA1191">
        <v>0.52153721020274102</v>
      </c>
      <c r="BB1191" s="249">
        <v>14.10054021450167</v>
      </c>
      <c r="BC1191" s="243">
        <v>54.14579306702278</v>
      </c>
      <c r="BD1191" s="209">
        <v>21096.951340679312</v>
      </c>
      <c r="BE1191" s="243">
        <v>16.376371384058448</v>
      </c>
      <c r="BF1191">
        <v>653434.7567899304</v>
      </c>
      <c r="BG1191" t="s">
        <v>389</v>
      </c>
      <c r="BH1191">
        <v>2.7906072380381641E-6</v>
      </c>
      <c r="BI1191">
        <v>1410969.5134067931</v>
      </c>
      <c r="BJ1191">
        <f t="shared" si="70"/>
        <v>0.46311047161622143</v>
      </c>
    </row>
    <row r="1192" spans="1:62" s="140" customFormat="1" x14ac:dyDescent="0.3">
      <c r="A1192" s="140">
        <v>-0.1</v>
      </c>
      <c r="B1192" s="140">
        <v>1000</v>
      </c>
      <c r="C1192" s="140">
        <v>25</v>
      </c>
      <c r="D1192" s="140">
        <v>400</v>
      </c>
      <c r="E1192" s="253">
        <v>4.4077394230466043</v>
      </c>
      <c r="F1192" s="140">
        <v>0.75789982020204938</v>
      </c>
      <c r="G1192" s="140">
        <v>4.905399630617632</v>
      </c>
      <c r="H1192" s="140">
        <v>4.2506932010017398</v>
      </c>
      <c r="J1192" s="140">
        <v>0.62360245795021363</v>
      </c>
      <c r="K1192" s="140">
        <v>0.27</v>
      </c>
      <c r="L1192" s="140">
        <v>29.011801226043062</v>
      </c>
      <c r="M1192" s="140">
        <v>12.639996384790548</v>
      </c>
      <c r="N1192" s="140">
        <v>0.99959650138212197</v>
      </c>
      <c r="Z1192" s="140">
        <v>0.23516082062722193</v>
      </c>
      <c r="AL1192" s="140">
        <v>872.17066030352612</v>
      </c>
      <c r="AM1192" s="140">
        <v>0.15450317553569501</v>
      </c>
      <c r="AN1192" s="140">
        <v>0.26457713325835597</v>
      </c>
      <c r="AO1192" s="140">
        <v>383.34043698802003</v>
      </c>
      <c r="AP1192" s="140">
        <v>372.37240961246528</v>
      </c>
      <c r="AQ1192" t="s">
        <v>385</v>
      </c>
      <c r="AR1192">
        <f t="shared" si="71"/>
        <v>14.644015877877388</v>
      </c>
      <c r="AS1192">
        <f t="shared" si="72"/>
        <v>3.9965468373646496</v>
      </c>
      <c r="AT1192">
        <v>0.3</v>
      </c>
      <c r="AU1192">
        <v>0</v>
      </c>
      <c r="AV1192">
        <v>0.4</v>
      </c>
      <c r="AW1192" s="140">
        <v>0.1</v>
      </c>
      <c r="AX1192" s="140">
        <v>0.52011299537908573</v>
      </c>
      <c r="AY1192">
        <v>0.27</v>
      </c>
      <c r="AZ1192" s="209">
        <v>372.37240961246528</v>
      </c>
      <c r="BA1192" s="140">
        <v>0.52011299537908573</v>
      </c>
      <c r="BB1192" s="253">
        <v>9.9407446997365732</v>
      </c>
      <c r="BC1192" s="245">
        <v>36.038262802477973</v>
      </c>
      <c r="BD1192" s="210">
        <v>13443.476426800673</v>
      </c>
      <c r="BE1192" s="245">
        <v>11.445856185523324</v>
      </c>
      <c r="BF1192" s="140">
        <v>620708.19212704105</v>
      </c>
      <c r="BG1192" t="s">
        <v>389</v>
      </c>
      <c r="BH1192" s="140">
        <v>1.9062785135911591E-6</v>
      </c>
      <c r="BI1192" s="140">
        <v>1334434.7642680067</v>
      </c>
      <c r="BJ1192">
        <f t="shared" si="70"/>
        <v>0.46514689870772774</v>
      </c>
    </row>
    <row r="1193" spans="1:62" x14ac:dyDescent="0.3">
      <c r="A1193">
        <v>-0.1</v>
      </c>
      <c r="B1193" s="146">
        <v>1000</v>
      </c>
      <c r="C1193" s="146">
        <v>25</v>
      </c>
      <c r="D1193" s="146">
        <v>400</v>
      </c>
      <c r="E1193" s="252">
        <v>18.763419076845956</v>
      </c>
      <c r="F1193" s="146">
        <v>2.9678789705822592</v>
      </c>
      <c r="G1193" s="146">
        <v>20.881348842421414</v>
      </c>
      <c r="H1193" s="146">
        <v>18.219515184846216</v>
      </c>
      <c r="I1193" s="146"/>
      <c r="J1193" s="146">
        <v>0.62822793604135574</v>
      </c>
      <c r="K1193" s="146">
        <v>0.27</v>
      </c>
      <c r="L1193" s="146">
        <v>123.53523722904484</v>
      </c>
      <c r="M1193" s="146">
        <v>53.822406261617047</v>
      </c>
      <c r="N1193" s="146">
        <v>2.8430534406989416</v>
      </c>
      <c r="O1193" s="146"/>
      <c r="P1193" s="146"/>
      <c r="Q1193" s="146"/>
      <c r="R1193" s="146"/>
      <c r="S1193" s="146"/>
      <c r="T1193" s="146"/>
      <c r="U1193" s="146"/>
      <c r="V1193" s="146"/>
      <c r="W1193" s="146"/>
      <c r="X1193" s="146"/>
      <c r="Y1193" s="146"/>
      <c r="Z1193" s="146">
        <v>0.15604440688211094</v>
      </c>
      <c r="AA1193" s="146"/>
      <c r="AB1193" s="146"/>
      <c r="AC1193" s="146"/>
      <c r="AD1193" s="146"/>
      <c r="AE1193" s="146"/>
      <c r="AF1193" s="146"/>
      <c r="AG1193" s="146"/>
      <c r="AH1193" s="146"/>
      <c r="AI1193" s="146"/>
      <c r="AJ1193" s="146"/>
      <c r="AK1193" s="146"/>
      <c r="AL1193" s="146">
        <v>1703.2971265540536</v>
      </c>
      <c r="AM1193" s="146">
        <v>0.14213061584186926</v>
      </c>
      <c r="AN1193" s="146">
        <v>0.26228056003437589</v>
      </c>
      <c r="AO1193" s="146">
        <v>328.46050399470425</v>
      </c>
      <c r="AP1193" s="146">
        <v>281.77040620458371</v>
      </c>
      <c r="AQ1193" t="s">
        <v>385</v>
      </c>
      <c r="AR1193">
        <f t="shared" si="71"/>
        <v>14.644015877877388</v>
      </c>
      <c r="AS1193">
        <f t="shared" si="72"/>
        <v>3.9965468373646496</v>
      </c>
      <c r="AT1193">
        <v>0.3</v>
      </c>
      <c r="AU1193">
        <v>0</v>
      </c>
      <c r="AV1193">
        <v>0.4</v>
      </c>
      <c r="AW1193" s="146">
        <v>3</v>
      </c>
      <c r="AX1193" s="146">
        <v>0.54148480150973199</v>
      </c>
      <c r="AY1193">
        <v>0.27</v>
      </c>
      <c r="AZ1193" s="209">
        <v>281.77040620458371</v>
      </c>
      <c r="BA1193">
        <v>0.54148480150973199</v>
      </c>
      <c r="BB1193" s="249">
        <v>38.81576577206777</v>
      </c>
      <c r="BC1193" s="243">
        <v>206.85278750108907</v>
      </c>
      <c r="BD1193" s="209">
        <v>96715.438771795787</v>
      </c>
      <c r="BE1193" s="243">
        <v>46.743324612641203</v>
      </c>
      <c r="BF1193">
        <v>328243.97540521313</v>
      </c>
      <c r="BG1193" t="s">
        <v>390</v>
      </c>
      <c r="BH1193">
        <v>7.2578226987766938E-6</v>
      </c>
      <c r="BI1193">
        <v>2167154.3877179576</v>
      </c>
      <c r="BJ1193">
        <f t="shared" si="70"/>
        <v>0.15146312476189497</v>
      </c>
    </row>
    <row r="1194" spans="1:62" s="140" customFormat="1" x14ac:dyDescent="0.3">
      <c r="A1194">
        <v>-0.2</v>
      </c>
      <c r="B1194" s="146">
        <v>1000</v>
      </c>
      <c r="C1194" s="146">
        <v>25</v>
      </c>
      <c r="D1194" s="146">
        <v>400</v>
      </c>
      <c r="E1194" s="252">
        <v>18.694295156014377</v>
      </c>
      <c r="F1194" s="146">
        <v>3.0132695953641355</v>
      </c>
      <c r="G1194" s="146">
        <v>20.835545085632582</v>
      </c>
      <c r="H1194" s="146">
        <v>18.232780526101166</v>
      </c>
      <c r="I1194" s="146"/>
      <c r="J1194" s="146">
        <v>0.63395025214875578</v>
      </c>
      <c r="K1194" s="146">
        <v>0.27</v>
      </c>
      <c r="L1194" s="146">
        <v>123.64250248420929</v>
      </c>
      <c r="M1194" s="146">
        <v>53.869140086481224</v>
      </c>
      <c r="N1194" s="146">
        <v>2.7842217794693305</v>
      </c>
      <c r="O1194" s="146"/>
      <c r="P1194" s="146"/>
      <c r="Q1194" s="146"/>
      <c r="R1194" s="146"/>
      <c r="S1194" s="146"/>
      <c r="T1194" s="146"/>
      <c r="U1194" s="146"/>
      <c r="V1194" s="146"/>
      <c r="W1194" s="146"/>
      <c r="X1194" s="146"/>
      <c r="Y1194" s="146"/>
      <c r="Z1194" s="146">
        <v>0.1527041789091671</v>
      </c>
      <c r="AA1194" s="146"/>
      <c r="AB1194" s="146"/>
      <c r="AC1194" s="146"/>
      <c r="AD1194" s="146"/>
      <c r="AE1194" s="146"/>
      <c r="AF1194" s="146"/>
      <c r="AG1194" s="146"/>
      <c r="AH1194" s="146"/>
      <c r="AI1194" s="146"/>
      <c r="AJ1194" s="146"/>
      <c r="AK1194" s="146"/>
      <c r="AL1194" s="146">
        <v>1665.3669800678501</v>
      </c>
      <c r="AM1194" s="146">
        <v>0.14462158695535998</v>
      </c>
      <c r="AN1194" s="146">
        <v>0.23302086888919904</v>
      </c>
      <c r="AO1194" s="146">
        <v>319.77415909086034</v>
      </c>
      <c r="AP1194" s="146">
        <v>273.25609033318386</v>
      </c>
      <c r="AQ1194" t="s">
        <v>385</v>
      </c>
      <c r="AR1194">
        <f t="shared" si="71"/>
        <v>14.644015877877388</v>
      </c>
      <c r="AS1194">
        <f t="shared" si="72"/>
        <v>3.9965468373646496</v>
      </c>
      <c r="AT1194">
        <v>0.3</v>
      </c>
      <c r="AU1194">
        <v>0</v>
      </c>
      <c r="AV1194">
        <v>0.4</v>
      </c>
      <c r="AW1194" s="146">
        <v>3</v>
      </c>
      <c r="AX1194" s="146">
        <v>0.54577576916100989</v>
      </c>
      <c r="AY1194">
        <v>0.27</v>
      </c>
      <c r="AZ1194" s="209">
        <v>273.25609033318386</v>
      </c>
      <c r="BA1194" s="140">
        <v>0.54577576916100989</v>
      </c>
      <c r="BB1194" s="253">
        <v>38.994344091803761</v>
      </c>
      <c r="BC1194" s="245">
        <v>207.14209080910527</v>
      </c>
      <c r="BD1194" s="210">
        <v>96811.26837365306</v>
      </c>
      <c r="BE1194" s="245">
        <v>46.70396196534908</v>
      </c>
      <c r="BF1194" s="140">
        <v>327016.48819449963</v>
      </c>
      <c r="BG1194" t="s">
        <v>390</v>
      </c>
      <c r="BH1194" s="140">
        <v>7.2311533327045459E-6</v>
      </c>
      <c r="BI1194" s="140">
        <v>2168112.6837365306</v>
      </c>
      <c r="BJ1194">
        <f t="shared" si="70"/>
        <v>0.15083002403312296</v>
      </c>
    </row>
    <row r="1195" spans="1:62" x14ac:dyDescent="0.3">
      <c r="A1195">
        <v>-0.3</v>
      </c>
      <c r="B1195" s="146">
        <v>1000</v>
      </c>
      <c r="C1195" s="146">
        <v>25</v>
      </c>
      <c r="D1195" s="146">
        <v>400</v>
      </c>
      <c r="E1195" s="252">
        <v>18.626143587257793</v>
      </c>
      <c r="F1195" s="146">
        <v>3.0767728167047492</v>
      </c>
      <c r="G1195" s="146">
        <v>20.800795414859266</v>
      </c>
      <c r="H1195" s="146">
        <v>18.247047484770992</v>
      </c>
      <c r="I1195" s="146"/>
      <c r="J1195" s="146">
        <v>0.63590382355287567</v>
      </c>
      <c r="K1195" s="146">
        <v>0.27</v>
      </c>
      <c r="L1195" s="146">
        <v>123.76412546006577</v>
      </c>
      <c r="M1195" s="146">
        <v>53.922129349821176</v>
      </c>
      <c r="N1195" s="146">
        <v>2.7425691344567724</v>
      </c>
      <c r="O1195" s="146"/>
      <c r="P1195" s="146"/>
      <c r="Q1195" s="146"/>
      <c r="R1195" s="146"/>
      <c r="S1195" s="146"/>
      <c r="T1195" s="146"/>
      <c r="U1195" s="146"/>
      <c r="V1195" s="146"/>
      <c r="W1195" s="146"/>
      <c r="X1195" s="146"/>
      <c r="Y1195" s="146"/>
      <c r="Z1195" s="146">
        <v>0.15030207691111255</v>
      </c>
      <c r="AA1195" s="146"/>
      <c r="AB1195" s="146"/>
      <c r="AC1195" s="146"/>
      <c r="AD1195" s="146"/>
      <c r="AE1195" s="146"/>
      <c r="AF1195" s="146"/>
      <c r="AG1195" s="146"/>
      <c r="AH1195" s="146"/>
      <c r="AI1195" s="146"/>
      <c r="AJ1195" s="146"/>
      <c r="AK1195" s="146"/>
      <c r="AL1195" s="146">
        <v>1633.3963214114845</v>
      </c>
      <c r="AM1195" s="146">
        <v>0.14791611355913939</v>
      </c>
      <c r="AN1195" s="146">
        <v>0.20347602417852406</v>
      </c>
      <c r="AO1195" s="146">
        <v>308.4602539171114</v>
      </c>
      <c r="AP1195" s="146">
        <v>262.11175418309665</v>
      </c>
      <c r="AQ1195" t="s">
        <v>385</v>
      </c>
      <c r="AR1195">
        <f t="shared" si="71"/>
        <v>14.644015877877388</v>
      </c>
      <c r="AS1195">
        <f t="shared" si="72"/>
        <v>3.9965468373646496</v>
      </c>
      <c r="AT1195">
        <v>0.3</v>
      </c>
      <c r="AU1195">
        <v>0</v>
      </c>
      <c r="AV1195">
        <v>0.4</v>
      </c>
      <c r="AW1195" s="146">
        <v>3</v>
      </c>
      <c r="AX1195" s="146">
        <v>0.54636077562337426</v>
      </c>
      <c r="AY1195">
        <v>0.27</v>
      </c>
      <c r="AZ1195" s="209">
        <v>262.11175418309665</v>
      </c>
      <c r="BA1195">
        <v>0.54636077562337426</v>
      </c>
      <c r="BB1195" s="249">
        <v>39.322616152888841</v>
      </c>
      <c r="BC1195" s="243">
        <v>207.47059209908392</v>
      </c>
      <c r="BD1195" s="209">
        <v>97219.313949911913</v>
      </c>
      <c r="BE1195" s="243">
        <v>47.035575600555653</v>
      </c>
      <c r="BF1195">
        <v>326512.60382350464</v>
      </c>
      <c r="BG1195" t="s">
        <v>390</v>
      </c>
      <c r="BH1195">
        <v>7.1933359652991993E-6</v>
      </c>
      <c r="BI1195">
        <v>2172193.139499119</v>
      </c>
      <c r="BJ1195">
        <f t="shared" si="70"/>
        <v>0.15031472012603558</v>
      </c>
    </row>
    <row r="1196" spans="1:62" x14ac:dyDescent="0.3">
      <c r="A1196">
        <v>-0.4</v>
      </c>
      <c r="B1196" s="146">
        <v>1000</v>
      </c>
      <c r="C1196" s="146">
        <v>25</v>
      </c>
      <c r="D1196" s="146">
        <v>400</v>
      </c>
      <c r="E1196" s="252">
        <v>18.546232158837373</v>
      </c>
      <c r="F1196" s="146">
        <v>3.1806253083765776</v>
      </c>
      <c r="G1196" s="146">
        <v>20.775937479090818</v>
      </c>
      <c r="H1196" s="146">
        <v>18.273884961798402</v>
      </c>
      <c r="I1196" s="146"/>
      <c r="J1196" s="146">
        <v>0.64048216760069066</v>
      </c>
      <c r="K1196" s="146">
        <v>0.27</v>
      </c>
      <c r="L1196" s="146">
        <v>123.98349695869119</v>
      </c>
      <c r="M1196" s="146">
        <v>54.017706143828114</v>
      </c>
      <c r="N1196" s="146">
        <v>2.6628970153945133</v>
      </c>
      <c r="O1196" s="146"/>
      <c r="P1196" s="146"/>
      <c r="Q1196" s="146"/>
      <c r="R1196" s="146"/>
      <c r="S1196" s="146"/>
      <c r="T1196" s="146"/>
      <c r="U1196" s="146"/>
      <c r="V1196" s="146"/>
      <c r="W1196" s="146"/>
      <c r="X1196" s="146"/>
      <c r="Y1196" s="146"/>
      <c r="Z1196" s="146">
        <v>0.14572145008909193</v>
      </c>
      <c r="AA1196" s="146"/>
      <c r="AB1196" s="146"/>
      <c r="AC1196" s="146"/>
      <c r="AD1196" s="146"/>
      <c r="AE1196" s="146"/>
      <c r="AF1196" s="146"/>
      <c r="AG1196" s="146"/>
      <c r="AH1196" s="146"/>
      <c r="AI1196" s="146"/>
      <c r="AJ1196" s="146"/>
      <c r="AK1196" s="146"/>
      <c r="AL1196" s="146">
        <v>1578.343358502731</v>
      </c>
      <c r="AM1196" s="146">
        <v>0.15309178281738678</v>
      </c>
      <c r="AN1196" s="146">
        <v>0.17340138713684902</v>
      </c>
      <c r="AO1196" s="146">
        <v>293.0444994410534</v>
      </c>
      <c r="AP1196" s="146">
        <v>246.89485080547368</v>
      </c>
      <c r="AQ1196" t="s">
        <v>385</v>
      </c>
      <c r="AR1196">
        <f t="shared" si="71"/>
        <v>14.644015877877388</v>
      </c>
      <c r="AS1196">
        <f t="shared" si="72"/>
        <v>3.9965468373646496</v>
      </c>
      <c r="AT1196">
        <v>0.3</v>
      </c>
      <c r="AU1196">
        <v>0</v>
      </c>
      <c r="AV1196">
        <v>0.4</v>
      </c>
      <c r="AW1196" s="146">
        <v>3</v>
      </c>
      <c r="AX1196" s="146">
        <v>0.54854905692016087</v>
      </c>
      <c r="AY1196">
        <v>0.27</v>
      </c>
      <c r="AZ1196" s="209">
        <v>246.89485080547368</v>
      </c>
      <c r="BA1196">
        <v>0.54854905692016087</v>
      </c>
      <c r="BB1196" s="249">
        <v>39.87244570534984</v>
      </c>
      <c r="BC1196" s="243">
        <v>208.06438888143649</v>
      </c>
      <c r="BD1196" s="209">
        <v>97872.809364499088</v>
      </c>
      <c r="BE1196" s="243">
        <v>47.692677544625241</v>
      </c>
      <c r="BF1196">
        <v>326299.70143845916</v>
      </c>
      <c r="BG1196" t="s">
        <v>390</v>
      </c>
      <c r="BH1196">
        <v>7.1428163156249541E-6</v>
      </c>
      <c r="BI1196">
        <v>2178728.0936449906</v>
      </c>
      <c r="BJ1196">
        <f t="shared" si="70"/>
        <v>0.14976614217727507</v>
      </c>
    </row>
    <row r="1197" spans="1:62" x14ac:dyDescent="0.3">
      <c r="A1197">
        <v>-0.5</v>
      </c>
      <c r="B1197" s="146">
        <v>1000</v>
      </c>
      <c r="C1197" s="146">
        <v>25</v>
      </c>
      <c r="D1197" s="146">
        <v>400</v>
      </c>
      <c r="E1197" s="252">
        <v>18.418954005902428</v>
      </c>
      <c r="F1197" s="146">
        <v>3.3384348394320913</v>
      </c>
      <c r="G1197" s="146">
        <v>20.732048450622958</v>
      </c>
      <c r="H1197" s="146">
        <v>18.311532998308689</v>
      </c>
      <c r="I1197" s="146"/>
      <c r="J1197" s="146">
        <v>0.64829428371984288</v>
      </c>
      <c r="K1197" s="146">
        <v>0.27</v>
      </c>
      <c r="L1197" s="146">
        <v>124.30083649534104</v>
      </c>
      <c r="M1197" s="146">
        <v>54.155966107928677</v>
      </c>
      <c r="N1197" s="146">
        <v>2.5441958019786739</v>
      </c>
      <c r="O1197" s="146"/>
      <c r="P1197" s="146"/>
      <c r="Q1197" s="146"/>
      <c r="R1197" s="146"/>
      <c r="S1197" s="146"/>
      <c r="T1197" s="146"/>
      <c r="U1197" s="146"/>
      <c r="V1197" s="146"/>
      <c r="W1197" s="146"/>
      <c r="X1197" s="146"/>
      <c r="Y1197" s="146"/>
      <c r="Z1197" s="146">
        <v>0.13893953074347537</v>
      </c>
      <c r="AA1197" s="146"/>
      <c r="AB1197" s="146"/>
      <c r="AC1197" s="146"/>
      <c r="AD1197" s="146"/>
      <c r="AE1197" s="146"/>
      <c r="AF1197" s="146"/>
      <c r="AG1197" s="146"/>
      <c r="AH1197" s="146"/>
      <c r="AI1197" s="146"/>
      <c r="AJ1197" s="146"/>
      <c r="AK1197" s="146"/>
      <c r="AL1197" s="146">
        <v>1497.6907936456466</v>
      </c>
      <c r="AM1197" s="146">
        <v>0.16102773671319381</v>
      </c>
      <c r="AN1197" s="146">
        <v>0.14325546145420054</v>
      </c>
      <c r="AO1197" s="146">
        <v>271.42581637775072</v>
      </c>
      <c r="AP1197" s="146">
        <v>225.59289265631023</v>
      </c>
      <c r="AQ1197" t="s">
        <v>385</v>
      </c>
      <c r="AR1197">
        <f t="shared" si="71"/>
        <v>14.644015877877388</v>
      </c>
      <c r="AS1197">
        <f t="shared" si="72"/>
        <v>3.9965468373646496</v>
      </c>
      <c r="AT1197">
        <v>0.3</v>
      </c>
      <c r="AU1197">
        <v>0</v>
      </c>
      <c r="AV1197">
        <v>0.4</v>
      </c>
      <c r="AW1197" s="146">
        <v>3</v>
      </c>
      <c r="AX1197" s="146">
        <v>0.55273950906528846</v>
      </c>
      <c r="AY1197">
        <v>0.27</v>
      </c>
      <c r="AZ1197" s="209">
        <v>225.59289265631023</v>
      </c>
      <c r="BA1197">
        <v>0.55273950906528846</v>
      </c>
      <c r="BB1197" s="249">
        <v>40.688353687367091</v>
      </c>
      <c r="BC1197" s="243">
        <v>208.92629419701731</v>
      </c>
      <c r="BD1197" s="209">
        <v>98851.582967919705</v>
      </c>
      <c r="BE1197" s="243">
        <v>48.624515804776614</v>
      </c>
      <c r="BF1197">
        <v>325781.32926596131</v>
      </c>
      <c r="BG1197" t="s">
        <v>390</v>
      </c>
      <c r="BH1197">
        <v>7.065220283896474E-6</v>
      </c>
      <c r="BI1197">
        <v>2188515.8296791972</v>
      </c>
      <c r="BJ1197">
        <f t="shared" si="70"/>
        <v>0.14885948040582181</v>
      </c>
    </row>
    <row r="1198" spans="1:62" x14ac:dyDescent="0.3">
      <c r="A1198">
        <v>-0.6</v>
      </c>
      <c r="B1198" s="146">
        <v>1000</v>
      </c>
      <c r="C1198" s="146">
        <v>25</v>
      </c>
      <c r="D1198" s="146">
        <v>400</v>
      </c>
      <c r="E1198" s="252">
        <v>18.18860659798381</v>
      </c>
      <c r="F1198" s="146">
        <v>3.5984396762661497</v>
      </c>
      <c r="G1198" s="146">
        <v>20.638310635871701</v>
      </c>
      <c r="H1198" s="146">
        <v>18.365795937920677</v>
      </c>
      <c r="I1198" s="146"/>
      <c r="J1198" s="146">
        <v>0.66296256672671372</v>
      </c>
      <c r="K1198" s="146">
        <v>0.27</v>
      </c>
      <c r="L1198" s="146">
        <v>124.79006829990404</v>
      </c>
      <c r="M1198" s="146">
        <v>54.369116894149059</v>
      </c>
      <c r="N1198" s="146">
        <v>2.3601545891274327</v>
      </c>
      <c r="O1198" s="146"/>
      <c r="P1198" s="146"/>
      <c r="Q1198" s="146"/>
      <c r="R1198" s="146"/>
      <c r="S1198" s="146"/>
      <c r="T1198" s="146"/>
      <c r="U1198" s="146"/>
      <c r="V1198" s="146"/>
      <c r="W1198" s="146"/>
      <c r="X1198" s="146"/>
      <c r="Y1198" s="146"/>
      <c r="Z1198" s="146">
        <v>0.12850815707117361</v>
      </c>
      <c r="AA1198" s="146"/>
      <c r="AB1198" s="146"/>
      <c r="AC1198" s="146"/>
      <c r="AD1198" s="146"/>
      <c r="AE1198" s="146"/>
      <c r="AF1198" s="146"/>
      <c r="AG1198" s="146"/>
      <c r="AH1198" s="146"/>
      <c r="AI1198" s="146"/>
      <c r="AJ1198" s="146"/>
      <c r="AK1198" s="146"/>
      <c r="AL1198" s="146">
        <v>1374.0274728632471</v>
      </c>
      <c r="AM1198" s="146">
        <v>0.17435727854641636</v>
      </c>
      <c r="AN1198" s="146">
        <v>0.11312019925259351</v>
      </c>
      <c r="AO1198" s="146">
        <v>239.20991371868715</v>
      </c>
      <c r="AP1198" s="146">
        <v>193.9501782995313</v>
      </c>
      <c r="AQ1198" t="s">
        <v>385</v>
      </c>
      <c r="AR1198">
        <f t="shared" si="71"/>
        <v>14.644015877877388</v>
      </c>
      <c r="AS1198">
        <f t="shared" si="72"/>
        <v>3.9965468373646496</v>
      </c>
      <c r="AT1198">
        <v>0.3</v>
      </c>
      <c r="AU1198">
        <v>0</v>
      </c>
      <c r="AV1198">
        <v>0.4</v>
      </c>
      <c r="AW1198" s="146">
        <v>3</v>
      </c>
      <c r="AX1198" s="146">
        <v>0.56163699728568384</v>
      </c>
      <c r="AY1198">
        <v>0.27</v>
      </c>
      <c r="AZ1198" s="209">
        <v>193.9501782995313</v>
      </c>
      <c r="BA1198">
        <v>0.56163699728568384</v>
      </c>
      <c r="BB1198" s="249">
        <v>41.979689539977826</v>
      </c>
      <c r="BC1198" s="243">
        <v>210.26190807862909</v>
      </c>
      <c r="BD1198" s="209">
        <v>100354.11492402326</v>
      </c>
      <c r="BE1198" s="243">
        <v>49.931771823298263</v>
      </c>
      <c r="BF1198">
        <v>324147.34782496514</v>
      </c>
      <c r="BG1198" t="s">
        <v>390</v>
      </c>
      <c r="BH1198">
        <v>6.9359021717304002E-6</v>
      </c>
      <c r="BI1198">
        <v>2203541.1492402325</v>
      </c>
      <c r="BJ1198">
        <f t="shared" si="70"/>
        <v>0.14710292473400333</v>
      </c>
    </row>
    <row r="1199" spans="1:62" x14ac:dyDescent="0.3">
      <c r="A1199">
        <v>-0.7</v>
      </c>
      <c r="B1199" s="146">
        <v>1000</v>
      </c>
      <c r="C1199" s="146">
        <v>25</v>
      </c>
      <c r="D1199" s="146">
        <v>400</v>
      </c>
      <c r="E1199" s="252">
        <v>17.709004367512645</v>
      </c>
      <c r="F1199" s="146">
        <v>4.5251407687514327</v>
      </c>
      <c r="G1199" s="146">
        <v>20.645326820581474</v>
      </c>
      <c r="H1199" s="146">
        <v>18.595524335116874</v>
      </c>
      <c r="I1199" s="146"/>
      <c r="J1199" s="146">
        <v>0.76914084215746215</v>
      </c>
      <c r="K1199" s="146">
        <v>0.27</v>
      </c>
      <c r="L1199" s="146">
        <v>126.80452982912236</v>
      </c>
      <c r="M1199" s="146">
        <v>55.246786855011813</v>
      </c>
      <c r="N1199" s="146">
        <v>1.6694274282608497</v>
      </c>
      <c r="O1199" s="146"/>
      <c r="P1199" s="146"/>
      <c r="Q1199" s="146"/>
      <c r="R1199" s="146"/>
      <c r="S1199" s="146"/>
      <c r="T1199" s="146"/>
      <c r="U1199" s="146"/>
      <c r="V1199" s="146"/>
      <c r="W1199" s="146"/>
      <c r="X1199" s="146"/>
      <c r="Y1199" s="146"/>
      <c r="Z1199" s="146">
        <v>8.9775765295749446E-2</v>
      </c>
      <c r="AA1199" s="146"/>
      <c r="AB1199" s="146"/>
      <c r="AC1199" s="146"/>
      <c r="AD1199" s="146"/>
      <c r="AE1199" s="146"/>
      <c r="AF1199" s="146"/>
      <c r="AG1199" s="146"/>
      <c r="AH1199" s="146"/>
      <c r="AI1199" s="146"/>
      <c r="AJ1199" s="146"/>
      <c r="AK1199" s="146"/>
      <c r="AL1199" s="146">
        <v>963.88946341117003</v>
      </c>
      <c r="AM1199" s="146">
        <v>0.21918474859115755</v>
      </c>
      <c r="AN1199" s="146">
        <v>7.8096514254978516E-2</v>
      </c>
      <c r="AO1199" s="146">
        <v>173.24206417594718</v>
      </c>
      <c r="AP1199" s="146">
        <v>129.17574928074586</v>
      </c>
      <c r="AQ1199" t="s">
        <v>385</v>
      </c>
      <c r="AR1199">
        <f t="shared" si="71"/>
        <v>14.644015877877388</v>
      </c>
      <c r="AS1199">
        <f t="shared" si="72"/>
        <v>3.9965468373646496</v>
      </c>
      <c r="AT1199">
        <v>0.3</v>
      </c>
      <c r="AU1199">
        <v>0</v>
      </c>
      <c r="AV1199">
        <v>0.4</v>
      </c>
      <c r="AW1199" s="146">
        <v>3</v>
      </c>
      <c r="AX1199" s="146">
        <v>0.65593077793238408</v>
      </c>
      <c r="AY1199">
        <v>0.27</v>
      </c>
      <c r="AZ1199" s="209">
        <v>129.17574928074586</v>
      </c>
      <c r="BA1199">
        <v>0.65593077793238408</v>
      </c>
      <c r="BB1199" s="249">
        <v>46.058580682309312</v>
      </c>
      <c r="BC1199" s="243">
        <v>215.85106638367967</v>
      </c>
      <c r="BD1199" s="209">
        <v>105183.00552290035</v>
      </c>
      <c r="BE1199" s="243">
        <v>53.649761093565836</v>
      </c>
      <c r="BF1199">
        <v>323775.62018594053</v>
      </c>
      <c r="BG1199" t="s">
        <v>390</v>
      </c>
      <c r="BH1199">
        <v>6.6170020145897774E-6</v>
      </c>
      <c r="BI1199">
        <v>2251830.0552290035</v>
      </c>
      <c r="BJ1199">
        <f t="shared" si="70"/>
        <v>0.14378332833514545</v>
      </c>
    </row>
    <row r="1200" spans="1:62" x14ac:dyDescent="0.3">
      <c r="A1200">
        <v>-0.8</v>
      </c>
      <c r="B1200" s="146">
        <v>1000</v>
      </c>
      <c r="C1200" s="146">
        <v>25</v>
      </c>
      <c r="D1200" s="146">
        <v>400</v>
      </c>
      <c r="E1200" s="252">
        <v>17.356344456535258</v>
      </c>
      <c r="F1200" s="146">
        <v>5.7110617789789035</v>
      </c>
      <c r="G1200" s="146">
        <v>20.94543217876053</v>
      </c>
      <c r="H1200" s="146">
        <v>18.97199199825107</v>
      </c>
      <c r="I1200" s="146"/>
      <c r="J1200" s="146">
        <v>0.99999999931088202</v>
      </c>
      <c r="K1200" s="146">
        <v>0.27</v>
      </c>
      <c r="L1200" s="146">
        <v>134.19704994747502</v>
      </c>
      <c r="M1200" s="146">
        <v>58.467594375455924</v>
      </c>
      <c r="N1200" s="146">
        <v>1.175513441758671</v>
      </c>
      <c r="O1200" s="146"/>
      <c r="P1200" s="146"/>
      <c r="Q1200" s="146"/>
      <c r="R1200" s="146"/>
      <c r="S1200" s="146"/>
      <c r="T1200" s="146"/>
      <c r="U1200" s="146"/>
      <c r="V1200" s="146"/>
      <c r="W1200" s="146"/>
      <c r="X1200" s="146"/>
      <c r="Y1200" s="146"/>
      <c r="Z1200" s="146">
        <v>6.1960464766537722E-2</v>
      </c>
      <c r="AA1200" s="146"/>
      <c r="AB1200" s="146"/>
      <c r="AC1200" s="146"/>
      <c r="AD1200" s="146"/>
      <c r="AE1200" s="146"/>
      <c r="AF1200" s="146"/>
      <c r="AG1200" s="146"/>
      <c r="AH1200" s="146"/>
      <c r="AI1200" s="146"/>
      <c r="AJ1200" s="146"/>
      <c r="AK1200" s="146"/>
      <c r="AL1200" s="146">
        <v>626.56177241882779</v>
      </c>
      <c r="AM1200" s="146">
        <v>0.27266383096024815</v>
      </c>
      <c r="AN1200" s="146">
        <v>5.4578649012603363E-2</v>
      </c>
      <c r="AO1200" s="146">
        <v>81.993879098632306</v>
      </c>
      <c r="AP1200" s="146">
        <v>38.805051539490798</v>
      </c>
      <c r="AQ1200" t="s">
        <v>385</v>
      </c>
      <c r="AR1200">
        <f t="shared" si="71"/>
        <v>14.644015877877388</v>
      </c>
      <c r="AS1200">
        <f t="shared" si="72"/>
        <v>3.9965468373646496</v>
      </c>
      <c r="AT1200">
        <v>0.3</v>
      </c>
      <c r="AU1200">
        <v>0</v>
      </c>
      <c r="AV1200">
        <v>0.4</v>
      </c>
      <c r="AW1200" s="146">
        <v>3</v>
      </c>
      <c r="AX1200" s="146">
        <v>0.99999999900000003</v>
      </c>
      <c r="AY1200">
        <v>0.27</v>
      </c>
      <c r="AZ1200" s="209">
        <v>38.805051539490798</v>
      </c>
      <c r="BA1200">
        <v>0.99999999900000003</v>
      </c>
      <c r="BB1200" s="249">
        <v>49.745155227928201</v>
      </c>
      <c r="BC1200" s="243">
        <v>237.71247809753638</v>
      </c>
      <c r="BD1200" s="209">
        <v>115991.69260578991</v>
      </c>
      <c r="BE1200" s="243">
        <v>55.710254996792756</v>
      </c>
      <c r="BF1200">
        <v>342554.07507134113</v>
      </c>
      <c r="BG1200" t="s">
        <v>390</v>
      </c>
      <c r="BH1200">
        <v>6.1632452969830187E-6</v>
      </c>
      <c r="BI1200">
        <v>2359916.9260578994</v>
      </c>
      <c r="BJ1200">
        <f t="shared" si="70"/>
        <v>0.1451551413903189</v>
      </c>
    </row>
    <row r="1201" spans="1:62" x14ac:dyDescent="0.3">
      <c r="A1201">
        <v>-0.85</v>
      </c>
      <c r="B1201" s="146">
        <v>1000</v>
      </c>
      <c r="C1201" s="146">
        <v>25</v>
      </c>
      <c r="D1201" s="146">
        <v>400</v>
      </c>
      <c r="E1201" s="252">
        <v>11.692276970329168</v>
      </c>
      <c r="F1201" s="146">
        <v>3.9745746217405706</v>
      </c>
      <c r="G1201" s="146">
        <v>14.104234308204742</v>
      </c>
      <c r="H1201" s="146">
        <v>12.836576385261742</v>
      </c>
      <c r="I1201" s="146"/>
      <c r="J1201" s="146">
        <v>0.9999999993790003</v>
      </c>
      <c r="K1201" s="146">
        <v>0.27</v>
      </c>
      <c r="L1201" s="146">
        <v>89.608191820180565</v>
      </c>
      <c r="M1201" s="146">
        <v>39.040913448626391</v>
      </c>
      <c r="N1201" s="146">
        <v>0.88949739943724104</v>
      </c>
      <c r="O1201" s="146"/>
      <c r="P1201" s="146"/>
      <c r="Q1201" s="146"/>
      <c r="R1201" s="146"/>
      <c r="S1201" s="146"/>
      <c r="T1201" s="146"/>
      <c r="U1201" s="146"/>
      <c r="V1201" s="146"/>
      <c r="W1201" s="146"/>
      <c r="X1201" s="146"/>
      <c r="Y1201" s="146"/>
      <c r="Z1201" s="146">
        <v>6.9293974712643286E-2</v>
      </c>
      <c r="AA1201" s="146"/>
      <c r="AB1201" s="146"/>
      <c r="AC1201" s="146"/>
      <c r="AD1201" s="146"/>
      <c r="AE1201" s="146"/>
      <c r="AF1201" s="146"/>
      <c r="AG1201" s="146"/>
      <c r="AH1201" s="146"/>
      <c r="AI1201" s="146"/>
      <c r="AJ1201" s="146"/>
      <c r="AK1201" s="146"/>
      <c r="AL1201" s="146">
        <v>511.77487935554893</v>
      </c>
      <c r="AM1201" s="146">
        <v>0.28180009881348</v>
      </c>
      <c r="AN1201" s="146">
        <v>3.8476724857797358E-2</v>
      </c>
      <c r="AO1201" s="146">
        <v>96.120784356215495</v>
      </c>
      <c r="AP1201" s="146">
        <v>67.026179636927893</v>
      </c>
      <c r="AQ1201" t="s">
        <v>385</v>
      </c>
      <c r="AR1201">
        <f t="shared" si="71"/>
        <v>14.644015877877388</v>
      </c>
      <c r="AS1201">
        <f t="shared" si="72"/>
        <v>3.9965468373646496</v>
      </c>
      <c r="AT1201">
        <v>0.3</v>
      </c>
      <c r="AU1201">
        <v>0</v>
      </c>
      <c r="AV1201">
        <v>0.4</v>
      </c>
      <c r="AW1201" s="146">
        <v>3</v>
      </c>
      <c r="AX1201" s="146">
        <v>0.99999999900000003</v>
      </c>
      <c r="AY1201">
        <v>0.27</v>
      </c>
      <c r="AZ1201" s="209">
        <v>67.026179636927893</v>
      </c>
      <c r="BA1201">
        <v>0.99999999900000003</v>
      </c>
      <c r="BB1201" s="249">
        <v>35.708898618340591</v>
      </c>
      <c r="BC1201" s="243">
        <v>130.56445026534755</v>
      </c>
      <c r="BD1201" s="209">
        <v>60874.426919917132</v>
      </c>
      <c r="BE1201" s="243">
        <v>39.303560536767243</v>
      </c>
      <c r="BF1201">
        <v>676413.57408974157</v>
      </c>
      <c r="BG1201" t="s">
        <v>390</v>
      </c>
      <c r="BH1201">
        <v>4.3778248384273869E-6</v>
      </c>
      <c r="BI1201">
        <v>1808744.2691991713</v>
      </c>
      <c r="BJ1201">
        <f t="shared" si="70"/>
        <v>0.37396860662299503</v>
      </c>
    </row>
    <row r="1202" spans="1:62" s="287" customFormat="1" ht="15" thickBot="1" x14ac:dyDescent="0.35">
      <c r="A1202" s="285">
        <v>-0.87</v>
      </c>
      <c r="B1202" s="285">
        <v>1000</v>
      </c>
      <c r="C1202" s="285">
        <v>25</v>
      </c>
      <c r="D1202" s="285">
        <v>400</v>
      </c>
      <c r="E1202" s="286">
        <v>3.8840210445023029</v>
      </c>
      <c r="F1202" s="287">
        <v>0.82065540077470822</v>
      </c>
      <c r="G1202" s="287">
        <v>4.4047534893044569</v>
      </c>
      <c r="H1202" s="287">
        <v>3.8825802141192942</v>
      </c>
      <c r="J1202" s="287">
        <v>0.63830938106181978</v>
      </c>
      <c r="K1202" s="287">
        <v>0.27</v>
      </c>
      <c r="L1202" s="287">
        <v>26.551901146997292</v>
      </c>
      <c r="M1202" s="287">
        <v>11.568255686451103</v>
      </c>
      <c r="N1202" s="287">
        <v>0.87716535707972998</v>
      </c>
      <c r="Z1202" s="287">
        <v>0.2259233058186029</v>
      </c>
      <c r="AL1202" s="287">
        <v>724.89704152399588</v>
      </c>
      <c r="AM1202" s="287">
        <v>0.18631131180607699</v>
      </c>
      <c r="AN1202" s="287">
        <v>3.7338886103532899E-2</v>
      </c>
      <c r="AO1202" s="287">
        <v>295.97919354817583</v>
      </c>
      <c r="AP1202" s="287">
        <v>286.31436298413098</v>
      </c>
      <c r="AQ1202" s="288" t="s">
        <v>385</v>
      </c>
      <c r="AR1202" s="288">
        <f t="shared" si="71"/>
        <v>14.644015877877388</v>
      </c>
      <c r="AS1202" s="288">
        <f t="shared" si="72"/>
        <v>3.9965468373646496</v>
      </c>
      <c r="AT1202" s="288">
        <v>0.3</v>
      </c>
      <c r="AU1202" s="288">
        <v>0</v>
      </c>
      <c r="AV1202" s="288">
        <v>0.4</v>
      </c>
      <c r="AW1202" s="285">
        <v>3</v>
      </c>
      <c r="AX1202" s="285">
        <v>0.52344281713179752</v>
      </c>
      <c r="AY1202" s="288">
        <v>0.27</v>
      </c>
      <c r="AZ1202" s="289">
        <v>286.31436298413098</v>
      </c>
      <c r="BA1202" s="287">
        <v>0.52344281713179752</v>
      </c>
      <c r="BB1202" s="286">
        <v>9.8671258958516184</v>
      </c>
      <c r="BC1202" s="290">
        <v>32.819200072459878</v>
      </c>
      <c r="BD1202" s="291">
        <v>12497.496053990379</v>
      </c>
      <c r="BE1202" s="290">
        <v>11.342697693460106</v>
      </c>
      <c r="BF1202" s="287">
        <v>875960.16417033307</v>
      </c>
      <c r="BG1202" s="288" t="s">
        <v>390</v>
      </c>
      <c r="BH1202" s="287">
        <v>1.3789832219673803E-6</v>
      </c>
      <c r="BI1202" s="287">
        <v>1324974.9605399037</v>
      </c>
      <c r="BJ1202">
        <f t="shared" si="70"/>
        <v>0.66111450424194795</v>
      </c>
    </row>
    <row r="1203" spans="1:62" s="239" customFormat="1" x14ac:dyDescent="0.3">
      <c r="A1203" s="239">
        <v>-0.1</v>
      </c>
      <c r="B1203" s="240">
        <v>100</v>
      </c>
      <c r="C1203" s="240">
        <v>25</v>
      </c>
      <c r="D1203" s="240">
        <v>400</v>
      </c>
      <c r="E1203" s="251">
        <v>3.3388501032496345</v>
      </c>
      <c r="F1203" s="239">
        <v>0.96794321322956234</v>
      </c>
      <c r="G1203" s="239">
        <v>4.0511450309480992</v>
      </c>
      <c r="H1203" s="239">
        <v>0</v>
      </c>
      <c r="J1203" s="239">
        <v>4.8346922852349997E-4</v>
      </c>
      <c r="K1203" s="239">
        <v>1E-8</v>
      </c>
      <c r="L1203" s="239">
        <v>17.4533303066254</v>
      </c>
      <c r="M1203" s="239">
        <v>10.471998102526365</v>
      </c>
      <c r="N1203" s="239">
        <v>-1.721556505397592E-3</v>
      </c>
      <c r="Z1203" s="239" t="s">
        <v>35</v>
      </c>
      <c r="AL1203" s="239">
        <v>375.16139817132176</v>
      </c>
      <c r="AM1203" s="239">
        <v>0.23893077286424186</v>
      </c>
      <c r="AN1203" s="239">
        <v>0.21307891901623457</v>
      </c>
      <c r="AO1203" s="239">
        <v>384.33045315479922</v>
      </c>
      <c r="AP1203" s="239">
        <v>376.02217642402064</v>
      </c>
      <c r="AQ1203" s="239" t="s">
        <v>302</v>
      </c>
      <c r="AR1203" s="239">
        <v>0</v>
      </c>
      <c r="AS1203" s="239">
        <v>0</v>
      </c>
      <c r="AT1203" s="239">
        <v>0</v>
      </c>
      <c r="AU1203" s="239">
        <v>0</v>
      </c>
      <c r="AV1203" s="239">
        <v>0</v>
      </c>
      <c r="AW1203" s="239">
        <v>3</v>
      </c>
      <c r="AX1203" s="241">
        <v>4.8416334290239172E-4</v>
      </c>
      <c r="AY1203" s="241">
        <v>1E-8</v>
      </c>
      <c r="AZ1203" s="242">
        <v>376.02217642402064</v>
      </c>
      <c r="BA1203" s="239">
        <v>4.8416334290239172E-4</v>
      </c>
      <c r="BB1203" s="251">
        <v>10.789716616443947</v>
      </c>
      <c r="BC1203" s="247">
        <v>69.919823906065872</v>
      </c>
      <c r="BD1203" s="242">
        <v>26360.507959960618</v>
      </c>
      <c r="BE1203" s="247">
        <v>21.409504527407648</v>
      </c>
      <c r="BF1203" s="242">
        <v>19356.699570239842</v>
      </c>
      <c r="BG1203" t="s">
        <v>387</v>
      </c>
      <c r="BH1203" s="239">
        <v>2.0453828706546547E-6</v>
      </c>
      <c r="BI1203" s="239">
        <v>1463605.0795996061</v>
      </c>
      <c r="BJ1203">
        <f t="shared" si="70"/>
        <v>1.3225356921783296E-2</v>
      </c>
    </row>
    <row r="1204" spans="1:62" x14ac:dyDescent="0.3">
      <c r="A1204">
        <v>-0.1</v>
      </c>
      <c r="B1204" s="146">
        <v>200</v>
      </c>
      <c r="C1204" s="146">
        <v>25</v>
      </c>
      <c r="D1204" s="146">
        <v>400</v>
      </c>
      <c r="E1204" s="249">
        <v>6.0306396778965734</v>
      </c>
      <c r="F1204">
        <v>1.8187912669862998</v>
      </c>
      <c r="G1204">
        <v>7.2787245434308687</v>
      </c>
      <c r="H1204">
        <v>0</v>
      </c>
      <c r="J1204">
        <v>3.4175774318628892E-4</v>
      </c>
      <c r="K1204">
        <v>1E-8</v>
      </c>
      <c r="L1204">
        <v>32.278224427307094</v>
      </c>
      <c r="M1204">
        <v>19.366934505752543</v>
      </c>
      <c r="N1204">
        <v>-2.1715532457909337E-3</v>
      </c>
      <c r="Z1204" t="s">
        <v>35</v>
      </c>
      <c r="AL1204">
        <v>358.46310012049082</v>
      </c>
      <c r="AM1204">
        <v>0.24987774384562739</v>
      </c>
      <c r="AN1204">
        <v>0.23701271635521395</v>
      </c>
      <c r="AO1204">
        <v>374.55562819313718</v>
      </c>
      <c r="AP1204">
        <v>359.5488767433863</v>
      </c>
      <c r="AQ1204" t="s">
        <v>302</v>
      </c>
      <c r="AR1204">
        <v>0</v>
      </c>
      <c r="AS1204">
        <v>0</v>
      </c>
      <c r="AT1204">
        <v>0</v>
      </c>
      <c r="AU1204">
        <v>0</v>
      </c>
      <c r="AV1204">
        <v>0</v>
      </c>
      <c r="AW1204">
        <v>3</v>
      </c>
      <c r="AX1204" s="141">
        <v>3.4223126811859468E-4</v>
      </c>
      <c r="AY1204" s="141">
        <v>1E-8</v>
      </c>
      <c r="AZ1204" s="209">
        <v>359.5488767433863</v>
      </c>
      <c r="BA1204">
        <v>3.4223126811859468E-4</v>
      </c>
      <c r="BB1204" s="249">
        <v>19.940681377947133</v>
      </c>
      <c r="BC1204" s="243">
        <v>101.41547644467504</v>
      </c>
      <c r="BD1204" s="209">
        <v>42948.202129193975</v>
      </c>
      <c r="BE1204" s="243">
        <v>34.060216371783369</v>
      </c>
      <c r="BF1204" s="209">
        <v>52995.471471764889</v>
      </c>
      <c r="BG1204" t="s">
        <v>387</v>
      </c>
      <c r="BH1204">
        <v>3.3696813084916049E-6</v>
      </c>
      <c r="BI1204">
        <v>1629482.0212919398</v>
      </c>
      <c r="BJ1204">
        <f t="shared" si="70"/>
        <v>3.2522894256757293E-2</v>
      </c>
    </row>
    <row r="1205" spans="1:62" x14ac:dyDescent="0.3">
      <c r="A1205">
        <v>-0.1</v>
      </c>
      <c r="B1205" s="146">
        <v>300</v>
      </c>
      <c r="C1205" s="146">
        <v>25</v>
      </c>
      <c r="D1205" s="146">
        <v>400</v>
      </c>
      <c r="E1205" s="249">
        <v>8.2810307871064222</v>
      </c>
      <c r="F1205">
        <v>2.5943675020797778</v>
      </c>
      <c r="G1205">
        <v>9.9993378183883319</v>
      </c>
      <c r="H1205">
        <v>0</v>
      </c>
      <c r="J1205">
        <v>2.7427566293888661E-4</v>
      </c>
      <c r="K1205">
        <v>1E-8</v>
      </c>
      <c r="L1205">
        <v>45.332486731093944</v>
      </c>
      <c r="M1205">
        <v>27.199491827104762</v>
      </c>
      <c r="N1205">
        <v>-2.380160000683165E-3</v>
      </c>
      <c r="Z1205" t="s">
        <v>35</v>
      </c>
      <c r="AL1205">
        <v>345.08817223736986</v>
      </c>
      <c r="AM1205">
        <v>0.25945393077018086</v>
      </c>
      <c r="AN1205">
        <v>0.25006451370517191</v>
      </c>
      <c r="AO1205">
        <v>366.88442248599165</v>
      </c>
      <c r="AP1205">
        <v>346.27825223771146</v>
      </c>
      <c r="AQ1205" t="s">
        <v>302</v>
      </c>
      <c r="AR1205">
        <v>0</v>
      </c>
      <c r="AS1205">
        <v>0</v>
      </c>
      <c r="AT1205">
        <v>0</v>
      </c>
      <c r="AU1205">
        <v>0</v>
      </c>
      <c r="AV1205">
        <v>0</v>
      </c>
      <c r="AW1205">
        <v>3</v>
      </c>
      <c r="AX1205" s="141">
        <v>2.7463785289727385E-4</v>
      </c>
      <c r="AY1205" s="141">
        <v>1E-8</v>
      </c>
      <c r="AZ1205" s="209">
        <v>346.27825223771146</v>
      </c>
      <c r="BA1205">
        <v>2.7463785289727385E-4</v>
      </c>
      <c r="BB1205" s="249">
        <v>28.060656897117198</v>
      </c>
      <c r="BC1205" s="243">
        <v>123.97100408617696</v>
      </c>
      <c r="BD1205" s="209">
        <v>56634.940689594892</v>
      </c>
      <c r="BE1205" s="243">
        <v>44.478308010631849</v>
      </c>
      <c r="BF1205" s="209">
        <v>90903.529730277616</v>
      </c>
      <c r="BG1205" t="s">
        <v>387</v>
      </c>
      <c r="BH1205">
        <v>4.2359112199680872E-6</v>
      </c>
      <c r="BI1205">
        <v>1766349.406895949</v>
      </c>
      <c r="BJ1205">
        <f t="shared" si="70"/>
        <v>5.1464070118507704E-2</v>
      </c>
    </row>
    <row r="1206" spans="1:62" x14ac:dyDescent="0.3">
      <c r="A1206">
        <v>-0.1</v>
      </c>
      <c r="B1206" s="146">
        <v>400</v>
      </c>
      <c r="C1206" s="146">
        <v>25</v>
      </c>
      <c r="D1206" s="146">
        <v>400</v>
      </c>
      <c r="E1206" s="249">
        <v>10.201676922300896</v>
      </c>
      <c r="F1206">
        <v>3.3088701613839016</v>
      </c>
      <c r="G1206">
        <v>12.344535567848251</v>
      </c>
      <c r="H1206">
        <v>0</v>
      </c>
      <c r="J1206">
        <v>2.3391044492464009E-4</v>
      </c>
      <c r="K1206">
        <v>1E-8</v>
      </c>
      <c r="L1206">
        <v>56.992723670642292</v>
      </c>
      <c r="M1206">
        <v>34.195633936419334</v>
      </c>
      <c r="N1206">
        <v>-2.49288996259195E-3</v>
      </c>
      <c r="Z1206" t="s">
        <v>35</v>
      </c>
      <c r="AL1206">
        <v>333.93538503001292</v>
      </c>
      <c r="AM1206">
        <v>0.26804330897648049</v>
      </c>
      <c r="AN1206">
        <v>0.25871071995030254</v>
      </c>
      <c r="AO1206">
        <v>360.56724311903037</v>
      </c>
      <c r="AP1206">
        <v>335.18183001130899</v>
      </c>
      <c r="AQ1206" t="s">
        <v>302</v>
      </c>
      <c r="AR1206">
        <v>0</v>
      </c>
      <c r="AS1206">
        <v>0</v>
      </c>
      <c r="AT1206">
        <v>0</v>
      </c>
      <c r="AU1206">
        <v>0</v>
      </c>
      <c r="AV1206">
        <v>0</v>
      </c>
      <c r="AW1206">
        <v>3</v>
      </c>
      <c r="AX1206" s="141">
        <v>2.342067813368665E-4</v>
      </c>
      <c r="AY1206" s="141">
        <v>1E-8</v>
      </c>
      <c r="AZ1206" s="209">
        <v>335.18183001130899</v>
      </c>
      <c r="BA1206">
        <v>2.342067813368665E-4</v>
      </c>
      <c r="BB1206" s="249">
        <v>35.380038382965296</v>
      </c>
      <c r="BC1206" s="243">
        <v>141.84134865973616</v>
      </c>
      <c r="BD1206" s="209">
        <v>68500.927228136177</v>
      </c>
      <c r="BE1206" s="243">
        <v>53.528077282425208</v>
      </c>
      <c r="BF1206" s="209">
        <v>130082.94129693219</v>
      </c>
      <c r="BG1206" t="s">
        <v>387</v>
      </c>
      <c r="BH1206">
        <v>4.8325099175922372E-6</v>
      </c>
      <c r="BI1206">
        <v>1885009.2722813617</v>
      </c>
      <c r="BJ1206">
        <f t="shared" si="70"/>
        <v>6.9009178474489563E-2</v>
      </c>
    </row>
    <row r="1207" spans="1:62" x14ac:dyDescent="0.3">
      <c r="A1207">
        <v>-0.1</v>
      </c>
      <c r="B1207" s="146">
        <v>600</v>
      </c>
      <c r="C1207" s="146">
        <v>25</v>
      </c>
      <c r="D1207" s="146">
        <v>400</v>
      </c>
      <c r="E1207" s="249">
        <v>13.304238877570093</v>
      </c>
      <c r="F1207">
        <v>4.5793174977649995</v>
      </c>
      <c r="G1207">
        <v>16.188240999590207</v>
      </c>
      <c r="H1207">
        <v>0</v>
      </c>
      <c r="J1207">
        <v>1.8654735586871681E-4</v>
      </c>
      <c r="K1207">
        <v>1E-8</v>
      </c>
      <c r="L1207">
        <v>76.94798326047713</v>
      </c>
      <c r="M1207">
        <v>46.168789597195683</v>
      </c>
      <c r="N1207">
        <v>-2.5838512173008898E-3</v>
      </c>
      <c r="Z1207" t="s">
        <v>35</v>
      </c>
      <c r="AL1207">
        <v>316.31085328787287</v>
      </c>
      <c r="AM1207">
        <v>0.28287925154319865</v>
      </c>
      <c r="AN1207">
        <v>0.26990921100457349</v>
      </c>
      <c r="AO1207">
        <v>350.70846664308669</v>
      </c>
      <c r="AP1207">
        <v>317.60277889652326</v>
      </c>
      <c r="AQ1207" t="s">
        <v>302</v>
      </c>
      <c r="AR1207">
        <v>0</v>
      </c>
      <c r="AS1207">
        <v>0</v>
      </c>
      <c r="AT1207">
        <v>0</v>
      </c>
      <c r="AU1207">
        <v>0</v>
      </c>
      <c r="AV1207">
        <v>0</v>
      </c>
      <c r="AW1207">
        <v>3</v>
      </c>
      <c r="AX1207" s="141">
        <v>1.8676789372107028E-4</v>
      </c>
      <c r="AY1207" s="141">
        <v>1E-8</v>
      </c>
      <c r="AZ1207" s="209">
        <v>317.60277889652326</v>
      </c>
      <c r="BA1207">
        <v>1.8676789372107028E-4</v>
      </c>
      <c r="BB1207" s="249">
        <v>48.068271427063785</v>
      </c>
      <c r="BC1207" s="243">
        <v>169.009026470994</v>
      </c>
      <c r="BD1207" s="209">
        <v>88248.173904517258</v>
      </c>
      <c r="BE1207" s="243">
        <v>68.728322784051272</v>
      </c>
      <c r="BF1207" s="209">
        <v>207009.5624431615</v>
      </c>
      <c r="BG1207" t="s">
        <v>387</v>
      </c>
      <c r="BH1207">
        <v>5.5688074230772158E-6</v>
      </c>
      <c r="BI1207">
        <v>2082481.7390451725</v>
      </c>
      <c r="BJ1207">
        <f t="shared" si="70"/>
        <v>9.9405223374528284E-2</v>
      </c>
    </row>
    <row r="1208" spans="1:62" x14ac:dyDescent="0.3">
      <c r="A1208">
        <v>-0.1</v>
      </c>
      <c r="B1208" s="146">
        <v>800</v>
      </c>
      <c r="C1208" s="146">
        <v>25</v>
      </c>
      <c r="D1208" s="146">
        <v>400</v>
      </c>
      <c r="E1208" s="249">
        <v>15.66822713656383</v>
      </c>
      <c r="F1208">
        <v>5.6566480658127976</v>
      </c>
      <c r="G1208">
        <v>19.170128764720985</v>
      </c>
      <c r="H1208">
        <v>0</v>
      </c>
      <c r="J1208">
        <v>1.5936655826489412E-4</v>
      </c>
      <c r="K1208">
        <v>1E-8</v>
      </c>
      <c r="L1208">
        <v>93.212209767256297</v>
      </c>
      <c r="M1208">
        <v>55.92732542536347</v>
      </c>
      <c r="N1208">
        <v>-2.5947855444444778E-3</v>
      </c>
      <c r="Z1208" t="s">
        <v>35</v>
      </c>
      <c r="AL1208">
        <v>303.17731496198394</v>
      </c>
      <c r="AM1208">
        <v>0.29507616434078388</v>
      </c>
      <c r="AN1208">
        <v>0.27713150240714873</v>
      </c>
      <c r="AO1208">
        <v>343.46284344987674</v>
      </c>
      <c r="AP1208">
        <v>304.47470773420622</v>
      </c>
      <c r="AQ1208" t="s">
        <v>302</v>
      </c>
      <c r="AR1208">
        <v>0</v>
      </c>
      <c r="AS1208">
        <v>0</v>
      </c>
      <c r="AT1208">
        <v>0</v>
      </c>
      <c r="AU1208">
        <v>0</v>
      </c>
      <c r="AV1208">
        <v>0</v>
      </c>
      <c r="AW1208">
        <v>3</v>
      </c>
      <c r="AX1208" s="141">
        <v>1.5954437739521338E-4</v>
      </c>
      <c r="AY1208" s="141">
        <v>1E-8</v>
      </c>
      <c r="AZ1208" s="209">
        <v>304.47470773420622</v>
      </c>
      <c r="BA1208">
        <v>1.5954437739521338E-4</v>
      </c>
      <c r="BB1208" s="249">
        <v>58.550257551996843</v>
      </c>
      <c r="BC1208" s="243">
        <v>188.51184825629684</v>
      </c>
      <c r="BD1208" s="209">
        <v>103770.34434200478</v>
      </c>
      <c r="BE1208" s="243">
        <v>80.919189844005757</v>
      </c>
      <c r="BF1208" s="209">
        <v>277568.38968164404</v>
      </c>
      <c r="BG1208" t="s">
        <v>387</v>
      </c>
      <c r="BH1208">
        <v>5.9777399233297258E-6</v>
      </c>
      <c r="BI1208">
        <v>2237703.4434200479</v>
      </c>
      <c r="BJ1208">
        <f t="shared" si="70"/>
        <v>0.12404163317432972</v>
      </c>
    </row>
    <row r="1209" spans="1:62" x14ac:dyDescent="0.3">
      <c r="A1209">
        <v>-0.1</v>
      </c>
      <c r="B1209" s="146">
        <v>1000</v>
      </c>
      <c r="C1209" s="146">
        <v>25</v>
      </c>
      <c r="D1209" s="146">
        <v>400</v>
      </c>
      <c r="E1209" s="249">
        <v>17.485713322536508</v>
      </c>
      <c r="F1209">
        <v>6.5577005739918706</v>
      </c>
      <c r="G1209">
        <v>21.498079359474175</v>
      </c>
      <c r="H1209">
        <v>0</v>
      </c>
      <c r="J1209">
        <v>1.4152425249051333E-4</v>
      </c>
      <c r="K1209">
        <v>1E-8</v>
      </c>
      <c r="L1209">
        <v>106.43253635571489</v>
      </c>
      <c r="M1209">
        <v>63.859521316743759</v>
      </c>
      <c r="N1209">
        <v>-2.5686275890733209E-3</v>
      </c>
      <c r="Z1209" t="s">
        <v>35</v>
      </c>
      <c r="AL1209">
        <v>293.24830754431451</v>
      </c>
      <c r="AM1209">
        <v>0.30503657858635175</v>
      </c>
      <c r="AN1209">
        <v>0.28222482109290231</v>
      </c>
      <c r="AO1209">
        <v>338.04331860385662</v>
      </c>
      <c r="AP1209">
        <v>294.53262133885119</v>
      </c>
      <c r="AQ1209" t="s">
        <v>302</v>
      </c>
      <c r="AR1209">
        <v>0</v>
      </c>
      <c r="AS1209">
        <v>0</v>
      </c>
      <c r="AT1209">
        <v>0</v>
      </c>
      <c r="AU1209">
        <v>0</v>
      </c>
      <c r="AV1209">
        <v>0</v>
      </c>
      <c r="AW1209">
        <v>3</v>
      </c>
      <c r="AX1209" s="141">
        <v>1.4167426552147078E-4</v>
      </c>
      <c r="AY1209" s="141">
        <v>1E-8</v>
      </c>
      <c r="AZ1209" s="209">
        <v>294.53262133885119</v>
      </c>
      <c r="BA1209">
        <v>1.4167426552147078E-4</v>
      </c>
      <c r="BB1209" s="249">
        <v>67.151104000292719</v>
      </c>
      <c r="BC1209" s="243">
        <v>202.68350675463793</v>
      </c>
      <c r="BD1209" s="209">
        <v>115914.29186746063</v>
      </c>
      <c r="BE1209" s="243">
        <v>90.722793222054435</v>
      </c>
      <c r="BF1209" s="209">
        <v>339328.38709116046</v>
      </c>
      <c r="BG1209" t="s">
        <v>387</v>
      </c>
      <c r="BH1209">
        <v>6.2211763297998751E-6</v>
      </c>
      <c r="BI1209">
        <v>2359142.9186746064</v>
      </c>
      <c r="BJ1209">
        <f t="shared" si="70"/>
        <v>0.14383545159773492</v>
      </c>
    </row>
    <row r="1210" spans="1:62" s="146" customFormat="1" x14ac:dyDescent="0.3">
      <c r="A1210">
        <v>-0.1</v>
      </c>
      <c r="B1210" s="146">
        <v>1300</v>
      </c>
      <c r="C1210" s="146">
        <v>25</v>
      </c>
      <c r="D1210" s="146">
        <v>400</v>
      </c>
      <c r="E1210" s="252">
        <v>19.468654604449664</v>
      </c>
      <c r="F1210" s="146">
        <v>7.6190695498899998</v>
      </c>
      <c r="G1210" s="146">
        <v>24.07550614399684</v>
      </c>
      <c r="H1210" s="146">
        <v>0</v>
      </c>
      <c r="J1210" s="146">
        <v>1.2433492418633207E-4</v>
      </c>
      <c r="K1210" s="146">
        <v>1E-8</v>
      </c>
      <c r="L1210" s="146">
        <v>121.72276207860281</v>
      </c>
      <c r="M1210" s="146">
        <v>73.033656679122117</v>
      </c>
      <c r="N1210" s="146">
        <v>-2.5098486906142544E-3</v>
      </c>
      <c r="Z1210" s="146" t="s">
        <v>35</v>
      </c>
      <c r="AL1210" s="146">
        <v>282.64075393520181</v>
      </c>
      <c r="AM1210" s="146">
        <v>0.31646560219004133</v>
      </c>
      <c r="AN1210" s="146">
        <v>0.28774575968516791</v>
      </c>
      <c r="AO1210" s="146">
        <v>332.34077671291851</v>
      </c>
      <c r="AP1210">
        <v>283.895678280509</v>
      </c>
      <c r="AQ1210" s="146" t="s">
        <v>302</v>
      </c>
      <c r="AR1210" s="146">
        <v>0</v>
      </c>
      <c r="AS1210" s="146">
        <v>0</v>
      </c>
      <c r="AT1210" s="146">
        <v>0</v>
      </c>
      <c r="AU1210" s="146">
        <v>0</v>
      </c>
      <c r="AV1210" s="146">
        <v>0</v>
      </c>
      <c r="AW1210" s="146">
        <v>3</v>
      </c>
      <c r="AX1210" s="141">
        <v>1.2445800407162794E-4</v>
      </c>
      <c r="AY1210" s="228">
        <v>1E-8</v>
      </c>
      <c r="AZ1210" s="209">
        <v>283.895678280509</v>
      </c>
      <c r="BA1210" s="146">
        <v>1.2445800407162794E-4</v>
      </c>
      <c r="BB1210" s="252">
        <v>77.117508672859017</v>
      </c>
      <c r="BC1210" s="244">
        <v>217.14604838672648</v>
      </c>
      <c r="BD1210" s="229">
        <v>129204.08258724173</v>
      </c>
      <c r="BE1210" s="244">
        <v>101.78065745414433</v>
      </c>
      <c r="BF1210" s="229">
        <v>414494.65880893968</v>
      </c>
      <c r="BG1210" t="s">
        <v>387</v>
      </c>
      <c r="BH1210" s="146">
        <v>6.4316836196428867E-6</v>
      </c>
      <c r="BI1210" s="146">
        <v>2492040.8258724175</v>
      </c>
      <c r="BJ1210">
        <f t="shared" si="70"/>
        <v>0.16632739500318289</v>
      </c>
    </row>
    <row r="1211" spans="1:62" s="146" customFormat="1" x14ac:dyDescent="0.3">
      <c r="A1211">
        <v>-0.1</v>
      </c>
      <c r="B1211" s="227">
        <v>1600</v>
      </c>
      <c r="C1211" s="146">
        <v>25</v>
      </c>
      <c r="D1211" s="146">
        <v>400</v>
      </c>
      <c r="E1211" s="252">
        <v>20.841090069284128</v>
      </c>
      <c r="F1211" s="146">
        <v>8.4059265020894625</v>
      </c>
      <c r="G1211" s="146">
        <v>25.884054114617722</v>
      </c>
      <c r="H1211" s="146">
        <v>0</v>
      </c>
      <c r="J1211" s="146">
        <v>1.1328679954015817E-4</v>
      </c>
      <c r="K1211" s="146">
        <v>1E-8</v>
      </c>
      <c r="L1211" s="146">
        <v>132.89308738760931</v>
      </c>
      <c r="M1211" s="146">
        <v>79.73585181239784</v>
      </c>
      <c r="N1211" s="146">
        <v>-2.4463875229330488E-3</v>
      </c>
      <c r="Z1211" s="146" t="s">
        <v>35</v>
      </c>
      <c r="AL1211" s="146">
        <v>275.42763907144791</v>
      </c>
      <c r="AM1211" s="146">
        <v>0.32475308793850466</v>
      </c>
      <c r="AN1211" s="146">
        <v>0.29152838428125155</v>
      </c>
      <c r="AO1211" s="146">
        <v>328.51094029603058</v>
      </c>
      <c r="AP1211">
        <v>276.65083283291443</v>
      </c>
      <c r="AQ1211" s="146" t="s">
        <v>302</v>
      </c>
      <c r="AR1211" s="146">
        <v>0</v>
      </c>
      <c r="AS1211" s="146">
        <v>0</v>
      </c>
      <c r="AT1211" s="146">
        <v>0</v>
      </c>
      <c r="AU1211" s="146">
        <v>0</v>
      </c>
      <c r="AV1211" s="146">
        <v>0</v>
      </c>
      <c r="AW1211" s="146">
        <v>3</v>
      </c>
      <c r="AX1211" s="141">
        <v>1.1339276573870419E-4</v>
      </c>
      <c r="AY1211" s="228">
        <v>1E-8</v>
      </c>
      <c r="AZ1211" s="209">
        <v>276.65083283291443</v>
      </c>
      <c r="BA1211" s="146">
        <v>1.1339276573870419E-4</v>
      </c>
      <c r="BB1211" s="252">
        <v>84.403952419908606</v>
      </c>
      <c r="BC1211" s="244">
        <v>226.28843140900887</v>
      </c>
      <c r="BD1211" s="229">
        <v>138340.97684530207</v>
      </c>
      <c r="BE1211" s="244">
        <v>109.71188630653653</v>
      </c>
      <c r="BF1211" s="229">
        <v>471462.10016873979</v>
      </c>
      <c r="BG1211" t="s">
        <v>387</v>
      </c>
      <c r="BH1211" s="146">
        <v>6.5502256426362463E-6</v>
      </c>
      <c r="BI1211" s="146">
        <v>2583409.7684530206</v>
      </c>
      <c r="BJ1211">
        <f t="shared" si="70"/>
        <v>0.1824960584750972</v>
      </c>
    </row>
    <row r="1212" spans="1:62" s="140" customFormat="1" x14ac:dyDescent="0.3">
      <c r="A1212" s="140">
        <v>-0.1</v>
      </c>
      <c r="B1212" s="140">
        <v>1900</v>
      </c>
      <c r="C1212" s="140">
        <v>25</v>
      </c>
      <c r="D1212" s="140">
        <v>400</v>
      </c>
      <c r="E1212" s="253">
        <v>21.793218601352805</v>
      </c>
      <c r="F1212" s="140">
        <v>8.9775533006334616</v>
      </c>
      <c r="G1212" s="140">
        <v>27.149876806292806</v>
      </c>
      <c r="H1212" s="140">
        <v>0</v>
      </c>
      <c r="J1212" s="140">
        <v>1.0580703423134221E-4</v>
      </c>
      <c r="K1212" s="140">
        <v>1E-8</v>
      </c>
      <c r="L1212" s="140">
        <v>140.97795915015604</v>
      </c>
      <c r="M1212" s="140">
        <v>84.586774832196483</v>
      </c>
      <c r="N1212" s="140">
        <v>-2.3881169648996073E-3</v>
      </c>
      <c r="Z1212" s="140" t="s">
        <v>35</v>
      </c>
      <c r="AL1212" s="140">
        <v>270.50937472102243</v>
      </c>
      <c r="AM1212" s="140">
        <v>0.33066644702242781</v>
      </c>
      <c r="AN1212" s="140">
        <v>0.29423558149329493</v>
      </c>
      <c r="AO1212" s="140">
        <v>325.93275602240703</v>
      </c>
      <c r="AP1212" s="140">
        <v>271.70343320347223</v>
      </c>
      <c r="AQ1212" s="140" t="s">
        <v>302</v>
      </c>
      <c r="AR1212" s="140">
        <v>0</v>
      </c>
      <c r="AS1212" s="140">
        <v>0</v>
      </c>
      <c r="AT1212" s="140">
        <v>0</v>
      </c>
      <c r="AU1212" s="140">
        <v>0</v>
      </c>
      <c r="AV1212" s="140">
        <v>0</v>
      </c>
      <c r="AW1212" s="140">
        <v>3</v>
      </c>
      <c r="AX1212" s="141">
        <v>1.0590143082700995E-4</v>
      </c>
      <c r="AY1212" s="205">
        <v>1E-8</v>
      </c>
      <c r="AZ1212" s="209">
        <v>271.70343320347223</v>
      </c>
      <c r="BA1212" s="140">
        <v>1.0590143082700995E-4</v>
      </c>
      <c r="BB1212" s="253">
        <v>89.64929390587568</v>
      </c>
      <c r="BC1212" s="245">
        <v>231.8419562014208</v>
      </c>
      <c r="BD1212" s="210">
        <v>144467.51984922469</v>
      </c>
      <c r="BE1212" s="245">
        <v>115.31066564788736</v>
      </c>
      <c r="BF1212" s="210">
        <v>513102.50911981298</v>
      </c>
      <c r="BG1212" t="s">
        <v>387</v>
      </c>
      <c r="BH1212" s="140">
        <v>6.6256136940249414E-6</v>
      </c>
      <c r="BI1212" s="140">
        <v>2644675.1984922467</v>
      </c>
      <c r="BJ1212">
        <f t="shared" si="70"/>
        <v>0.19401343099233409</v>
      </c>
    </row>
    <row r="1213" spans="1:62" x14ac:dyDescent="0.3">
      <c r="A1213">
        <v>-0.1</v>
      </c>
      <c r="B1213" s="146">
        <v>1000</v>
      </c>
      <c r="C1213" s="146">
        <v>25</v>
      </c>
      <c r="D1213" s="146">
        <v>200</v>
      </c>
      <c r="E1213" s="249">
        <v>10.787856347106358</v>
      </c>
      <c r="F1213">
        <v>11.509127279604542</v>
      </c>
      <c r="G1213">
        <v>17.407930914805124</v>
      </c>
      <c r="H1213">
        <v>0</v>
      </c>
      <c r="J1213">
        <v>1.0795731914042394E-4</v>
      </c>
      <c r="K1213">
        <v>1E-8</v>
      </c>
      <c r="L1213">
        <v>111.43250838199837</v>
      </c>
      <c r="M1213">
        <v>66.859504509180653</v>
      </c>
      <c r="N1213">
        <v>-1.2503811555146719E-3</v>
      </c>
      <c r="Z1213" t="s">
        <v>35</v>
      </c>
      <c r="AL1213">
        <v>135.26560075793924</v>
      </c>
      <c r="AM1213">
        <v>0.66114274786190941</v>
      </c>
      <c r="AN1213">
        <v>0.28948901022189732</v>
      </c>
      <c r="AO1213">
        <v>162.73483287383755</v>
      </c>
      <c r="AP1213">
        <v>135.89079133569655</v>
      </c>
      <c r="AQ1213" t="s">
        <v>302</v>
      </c>
      <c r="AR1213">
        <v>0</v>
      </c>
      <c r="AS1213">
        <v>0</v>
      </c>
      <c r="AT1213">
        <v>0</v>
      </c>
      <c r="AU1213">
        <v>0</v>
      </c>
      <c r="AV1213">
        <v>0</v>
      </c>
      <c r="AW1213" s="146">
        <v>3</v>
      </c>
      <c r="AX1213" s="141">
        <v>1.080851988796677E-4</v>
      </c>
      <c r="AY1213" s="141">
        <v>1E-8</v>
      </c>
      <c r="AZ1213" s="209">
        <v>135.89079133569655</v>
      </c>
      <c r="BA1213" s="198">
        <v>1.080851988796677E-4</v>
      </c>
      <c r="BB1213" s="249">
        <v>97.531515226739344</v>
      </c>
      <c r="BC1213" s="243">
        <v>218.39240508652043</v>
      </c>
      <c r="BD1213" s="209">
        <v>147886.17288167385</v>
      </c>
      <c r="BE1213" s="244">
        <v>127.81196607207796</v>
      </c>
      <c r="BF1213" s="209">
        <v>219959.13648386238</v>
      </c>
      <c r="BG1213" t="s">
        <v>388</v>
      </c>
      <c r="BH1213">
        <v>3.486053484016345E-6</v>
      </c>
      <c r="BI1213">
        <v>2678861.7288167384</v>
      </c>
      <c r="BJ1213">
        <f t="shared" si="70"/>
        <v>8.210917872981037E-2</v>
      </c>
    </row>
    <row r="1214" spans="1:62" x14ac:dyDescent="0.3">
      <c r="A1214">
        <v>-0.1</v>
      </c>
      <c r="B1214" s="146">
        <v>1000</v>
      </c>
      <c r="C1214" s="146">
        <v>25</v>
      </c>
      <c r="D1214" s="146">
        <v>300</v>
      </c>
      <c r="E1214" s="249">
        <v>14.906296201453612</v>
      </c>
      <c r="F1214">
        <v>8.5049192557196545</v>
      </c>
      <c r="G1214">
        <v>19.946386777121624</v>
      </c>
      <c r="H1214">
        <v>0</v>
      </c>
      <c r="J1214">
        <v>1.2353620191707601E-4</v>
      </c>
      <c r="K1214">
        <v>1E-8</v>
      </c>
      <c r="L1214">
        <v>108.68780837988299</v>
      </c>
      <c r="M1214">
        <v>65.212684520720018</v>
      </c>
      <c r="N1214">
        <v>-1.9296024988030274E-3</v>
      </c>
      <c r="Z1214" t="s">
        <v>35</v>
      </c>
      <c r="AL1214">
        <v>209.7423811835217</v>
      </c>
      <c r="AM1214">
        <v>0.42638896712234325</v>
      </c>
      <c r="AN1214">
        <v>0.28555837300804909</v>
      </c>
      <c r="AO1214">
        <v>247.79947775849863</v>
      </c>
      <c r="AP1214">
        <v>210.70718243292319</v>
      </c>
      <c r="AQ1214" t="s">
        <v>302</v>
      </c>
      <c r="AR1214">
        <v>0</v>
      </c>
      <c r="AS1214">
        <v>0</v>
      </c>
      <c r="AT1214">
        <v>0</v>
      </c>
      <c r="AU1214">
        <v>0</v>
      </c>
      <c r="AV1214">
        <v>0</v>
      </c>
      <c r="AW1214" s="146">
        <v>3</v>
      </c>
      <c r="AX1214" s="141">
        <v>1.2367865003752162E-4</v>
      </c>
      <c r="AY1214" s="141">
        <v>1E-8</v>
      </c>
      <c r="AZ1214" s="209">
        <v>210.70718243292319</v>
      </c>
      <c r="BA1214">
        <v>1.2367865003752162E-4</v>
      </c>
      <c r="BB1214" s="249">
        <v>79.155447240049384</v>
      </c>
      <c r="BC1214" s="243">
        <v>209.62662875654641</v>
      </c>
      <c r="BD1214" s="209">
        <v>128772.36611090876</v>
      </c>
      <c r="BE1214" s="244">
        <v>105.42575036672696</v>
      </c>
      <c r="BF1214" s="209">
        <v>298593.64420432225</v>
      </c>
      <c r="BG1214" t="s">
        <v>388</v>
      </c>
      <c r="BH1214">
        <v>5.0998100656608156E-6</v>
      </c>
      <c r="BI1214">
        <v>2487723.6611090875</v>
      </c>
      <c r="BJ1214">
        <f t="shared" si="70"/>
        <v>0.12002685381510661</v>
      </c>
    </row>
    <row r="1215" spans="1:62" x14ac:dyDescent="0.3">
      <c r="A1215">
        <v>-0.1</v>
      </c>
      <c r="B1215" s="146">
        <v>1000</v>
      </c>
      <c r="C1215" s="146">
        <v>25</v>
      </c>
      <c r="D1215" s="146">
        <v>400</v>
      </c>
      <c r="E1215" s="249">
        <v>17.482724108764558</v>
      </c>
      <c r="F1215">
        <v>6.5556778836306879</v>
      </c>
      <c r="G1215">
        <v>21.493888286016038</v>
      </c>
      <c r="H1215">
        <v>0</v>
      </c>
      <c r="J1215">
        <v>1.4166781327687306E-4</v>
      </c>
      <c r="K1215">
        <v>1E-8</v>
      </c>
      <c r="L1215">
        <v>106.42470117901962</v>
      </c>
      <c r="M1215">
        <v>63.854820210763172</v>
      </c>
      <c r="N1215">
        <v>-2.5707778453514588E-3</v>
      </c>
      <c r="Z1215" t="s">
        <v>35</v>
      </c>
      <c r="AL1215">
        <v>293.28067074131633</v>
      </c>
      <c r="AM1215">
        <v>0.30500195201516067</v>
      </c>
      <c r="AN1215">
        <v>0.28229525873671918</v>
      </c>
      <c r="AO1215">
        <v>338.06936685015421</v>
      </c>
      <c r="AP1215">
        <v>294.56605966399212</v>
      </c>
      <c r="AQ1215" t="s">
        <v>302</v>
      </c>
      <c r="AR1215">
        <v>0</v>
      </c>
      <c r="AS1215">
        <v>0</v>
      </c>
      <c r="AT1215">
        <v>0</v>
      </c>
      <c r="AU1215">
        <v>0</v>
      </c>
      <c r="AV1215">
        <v>0</v>
      </c>
      <c r="AW1215" s="146">
        <v>3</v>
      </c>
      <c r="AX1215" s="141">
        <v>1.4181790515542208E-4</v>
      </c>
      <c r="AY1215" s="141">
        <v>1E-8</v>
      </c>
      <c r="AZ1215" s="209">
        <v>294.56605966399212</v>
      </c>
      <c r="BA1215">
        <v>1.4181790515542208E-4</v>
      </c>
      <c r="BB1215" s="249">
        <v>67.132831475904482</v>
      </c>
      <c r="BC1215" s="243">
        <v>202.65977366111659</v>
      </c>
      <c r="BD1215" s="209">
        <v>115869.10162457434</v>
      </c>
      <c r="BE1215" s="244">
        <v>90.670320513338439</v>
      </c>
      <c r="BF1215" s="209">
        <v>339174.8922455979</v>
      </c>
      <c r="BG1215" t="s">
        <v>388</v>
      </c>
      <c r="BH1215">
        <v>6.2215357916254572E-6</v>
      </c>
      <c r="BI1215">
        <v>2358691.0162457433</v>
      </c>
      <c r="BJ1215">
        <f t="shared" si="70"/>
        <v>0.14379793279810438</v>
      </c>
    </row>
    <row r="1216" spans="1:62" x14ac:dyDescent="0.3">
      <c r="A1216">
        <v>-0.1</v>
      </c>
      <c r="B1216" s="146">
        <v>1000</v>
      </c>
      <c r="C1216" s="146">
        <v>25</v>
      </c>
      <c r="D1216" s="146">
        <v>500</v>
      </c>
      <c r="E1216" s="249">
        <v>19.206010498955195</v>
      </c>
      <c r="F1216">
        <v>5.2819351825258991</v>
      </c>
      <c r="G1216">
        <v>22.545679881579129</v>
      </c>
      <c r="H1216">
        <v>0</v>
      </c>
      <c r="J1216">
        <v>1.6086207408036961E-4</v>
      </c>
      <c r="K1216">
        <v>1E-8</v>
      </c>
      <c r="L1216">
        <v>104.9945058871739</v>
      </c>
      <c r="M1216">
        <v>62.996703042329976</v>
      </c>
      <c r="N1216">
        <v>-3.1916684180731468E-3</v>
      </c>
      <c r="Z1216" t="s">
        <v>35</v>
      </c>
      <c r="AL1216">
        <v>381.89555656728072</v>
      </c>
      <c r="AM1216">
        <v>0.23427704155604046</v>
      </c>
      <c r="AN1216">
        <v>0.27949389167657229</v>
      </c>
      <c r="AO1216">
        <v>431.28289715476069</v>
      </c>
      <c r="AP1216">
        <v>383.49139077631725</v>
      </c>
      <c r="AQ1216" t="s">
        <v>302</v>
      </c>
      <c r="AR1216">
        <v>0</v>
      </c>
      <c r="AS1216">
        <v>0</v>
      </c>
      <c r="AT1216">
        <v>0</v>
      </c>
      <c r="AU1216">
        <v>0</v>
      </c>
      <c r="AV1216">
        <v>0</v>
      </c>
      <c r="AW1216" s="146">
        <v>3</v>
      </c>
      <c r="AX1216" s="141">
        <v>1.6101798686633337E-4</v>
      </c>
      <c r="AY1216" s="141">
        <v>1E-8</v>
      </c>
      <c r="AZ1216" s="209">
        <v>383.49139077631725</v>
      </c>
      <c r="BA1216">
        <v>1.6101798686633337E-4</v>
      </c>
      <c r="BB1216" s="249">
        <v>59.317153853531302</v>
      </c>
      <c r="BC1216" s="243">
        <v>198.3711172161594</v>
      </c>
      <c r="BD1216" s="209">
        <v>107687.47757617667</v>
      </c>
      <c r="BE1216" s="244">
        <v>81.109599328235305</v>
      </c>
      <c r="BF1216" s="209">
        <v>362603.08250977058</v>
      </c>
      <c r="BG1216" t="s">
        <v>388</v>
      </c>
      <c r="BH1216">
        <v>7.0123339347061445E-6</v>
      </c>
      <c r="BI1216">
        <v>2276874.7757617664</v>
      </c>
      <c r="BJ1216">
        <f t="shared" si="70"/>
        <v>0.15925473213099992</v>
      </c>
    </row>
    <row r="1217" spans="1:62" x14ac:dyDescent="0.3">
      <c r="A1217">
        <v>-0.1</v>
      </c>
      <c r="B1217" s="146">
        <v>1000</v>
      </c>
      <c r="C1217" s="146">
        <v>25</v>
      </c>
      <c r="D1217" s="146">
        <v>600</v>
      </c>
      <c r="E1217" s="249">
        <v>20.412912775485736</v>
      </c>
      <c r="F1217">
        <v>4.3992445818040249</v>
      </c>
      <c r="G1217">
        <v>23.287441678787619</v>
      </c>
      <c r="H1217">
        <v>0</v>
      </c>
      <c r="J1217">
        <v>1.8087132920954866E-4</v>
      </c>
      <c r="K1217">
        <v>1E-8</v>
      </c>
      <c r="L1217">
        <v>104.02102990496977</v>
      </c>
      <c r="M1217">
        <v>62.41261745755039</v>
      </c>
      <c r="N1217">
        <v>-3.8036593104494223E-3</v>
      </c>
      <c r="Z1217" t="s">
        <v>35</v>
      </c>
      <c r="AL1217">
        <v>473.68415710774752</v>
      </c>
      <c r="AM1217">
        <v>0.1889106000772626</v>
      </c>
      <c r="AN1217">
        <v>0.27727623413330321</v>
      </c>
      <c r="AO1217">
        <v>526.38058995827237</v>
      </c>
      <c r="AP1217">
        <v>475.58598676297231</v>
      </c>
      <c r="AQ1217" t="s">
        <v>302</v>
      </c>
      <c r="AR1217">
        <v>0</v>
      </c>
      <c r="AS1217">
        <v>0</v>
      </c>
      <c r="AT1217">
        <v>0</v>
      </c>
      <c r="AU1217">
        <v>0</v>
      </c>
      <c r="AV1217">
        <v>0</v>
      </c>
      <c r="AW1217" s="146">
        <v>3</v>
      </c>
      <c r="AX1217" s="141">
        <v>1.8103211655718147E-4</v>
      </c>
      <c r="AY1217" s="141">
        <v>1E-8</v>
      </c>
      <c r="AZ1217" s="209">
        <v>475.58598676297231</v>
      </c>
      <c r="BA1217">
        <v>1.8103211655718147E-4</v>
      </c>
      <c r="BB1217" s="249">
        <v>53.913850601380084</v>
      </c>
      <c r="BC1217" s="243">
        <v>195.50033155299275</v>
      </c>
      <c r="BD1217" s="209">
        <v>102090.22431429314</v>
      </c>
      <c r="BE1217" s="244">
        <v>74.462313406955261</v>
      </c>
      <c r="BF1217" s="209">
        <v>376871.58006990055</v>
      </c>
      <c r="BG1217" t="s">
        <v>388</v>
      </c>
      <c r="BH1217">
        <v>7.5901467751432963E-6</v>
      </c>
      <c r="BI1217">
        <v>2220902.2431429313</v>
      </c>
      <c r="BJ1217">
        <f t="shared" si="70"/>
        <v>0.16969300708011673</v>
      </c>
    </row>
    <row r="1218" spans="1:62" x14ac:dyDescent="0.3">
      <c r="A1218">
        <v>-0.1</v>
      </c>
      <c r="B1218" s="146">
        <v>1000</v>
      </c>
      <c r="C1218" s="146">
        <v>25</v>
      </c>
      <c r="D1218" s="146">
        <v>700</v>
      </c>
      <c r="E1218" s="249">
        <v>21.29411920202655</v>
      </c>
      <c r="F1218">
        <v>3.7579054972051651</v>
      </c>
      <c r="G1218">
        <v>23.830736669786738</v>
      </c>
      <c r="H1218">
        <v>0</v>
      </c>
      <c r="J1218">
        <v>2.0147776577765115E-4</v>
      </c>
      <c r="K1218">
        <v>1E-8</v>
      </c>
      <c r="L1218">
        <v>103.32740916518394</v>
      </c>
      <c r="M1218">
        <v>61.996445016915786</v>
      </c>
      <c r="N1218">
        <v>-4.4120505473554013E-3</v>
      </c>
      <c r="Z1218" t="s">
        <v>35</v>
      </c>
      <c r="AL1218">
        <v>567.53437933287546</v>
      </c>
      <c r="AM1218">
        <v>0.15769153716383183</v>
      </c>
      <c r="AN1218">
        <v>0.27557352142233338</v>
      </c>
      <c r="AO1218">
        <v>622.72799254398615</v>
      </c>
      <c r="AP1218">
        <v>569.74040460655317</v>
      </c>
      <c r="AQ1218" t="s">
        <v>302</v>
      </c>
      <c r="AR1218">
        <v>0</v>
      </c>
      <c r="AS1218">
        <v>0</v>
      </c>
      <c r="AT1218">
        <v>0</v>
      </c>
      <c r="AU1218">
        <v>0</v>
      </c>
      <c r="AV1218">
        <v>0</v>
      </c>
      <c r="AW1218" s="146">
        <v>3</v>
      </c>
      <c r="AX1218" s="141">
        <v>2.0164272285390282E-4</v>
      </c>
      <c r="AY1218" s="141">
        <v>1E-8</v>
      </c>
      <c r="AZ1218" s="209">
        <v>569.74040460655317</v>
      </c>
      <c r="BA1218">
        <v>2.0164272285390282E-4</v>
      </c>
      <c r="BB1218" s="249">
        <v>49.992307736606321</v>
      </c>
      <c r="BC1218" s="243">
        <v>193.4780300582685</v>
      </c>
      <c r="BD1218" s="209">
        <v>98044.925011001076</v>
      </c>
      <c r="BE1218" s="244">
        <v>69.587857604773447</v>
      </c>
      <c r="BF1218" s="209">
        <v>386016.33663595666</v>
      </c>
      <c r="BG1218" t="s">
        <v>388</v>
      </c>
      <c r="BH1218">
        <v>8.0268698064641784E-6</v>
      </c>
      <c r="BI1218">
        <v>2180449.2501100106</v>
      </c>
      <c r="BJ1218">
        <f t="shared" si="70"/>
        <v>0.17703523098117552</v>
      </c>
    </row>
    <row r="1219" spans="1:62" x14ac:dyDescent="0.3">
      <c r="A1219">
        <v>-0.1</v>
      </c>
      <c r="B1219" s="146">
        <v>1000</v>
      </c>
      <c r="C1219" s="146">
        <v>25</v>
      </c>
      <c r="D1219" s="146">
        <v>800</v>
      </c>
      <c r="E1219" s="249">
        <v>21.989059681085827</v>
      </c>
      <c r="F1219">
        <v>3.2795912088460351</v>
      </c>
      <c r="G1219">
        <v>24.274561437798095</v>
      </c>
      <c r="H1219">
        <v>0</v>
      </c>
      <c r="J1219">
        <v>2.2110339877764209E-4</v>
      </c>
      <c r="K1219">
        <v>1E-8</v>
      </c>
      <c r="L1219">
        <v>102.8820301993857</v>
      </c>
      <c r="M1219">
        <v>61.729217639515277</v>
      </c>
      <c r="N1219">
        <v>-4.9937878894505596E-3</v>
      </c>
      <c r="Z1219" t="s">
        <v>35</v>
      </c>
      <c r="AL1219">
        <v>662.49616408984502</v>
      </c>
      <c r="AM1219">
        <v>0.13510403544260782</v>
      </c>
      <c r="AN1219">
        <v>0.27386953286880034</v>
      </c>
      <c r="AO1219">
        <v>719.70972655939829</v>
      </c>
      <c r="AP1219">
        <v>664.99305803457014</v>
      </c>
      <c r="AQ1219" t="s">
        <v>302</v>
      </c>
      <c r="AR1219">
        <v>0</v>
      </c>
      <c r="AS1219">
        <v>0</v>
      </c>
      <c r="AT1219">
        <v>0</v>
      </c>
      <c r="AU1219">
        <v>0</v>
      </c>
      <c r="AV1219">
        <v>0</v>
      </c>
      <c r="AW1219" s="146">
        <v>3</v>
      </c>
      <c r="AX1219" s="141">
        <v>2.212712509806279E-4</v>
      </c>
      <c r="AY1219" s="141">
        <v>1E-8</v>
      </c>
      <c r="AZ1219" s="209">
        <v>664.99305803457014</v>
      </c>
      <c r="BA1219">
        <v>2.212712509806279E-4</v>
      </c>
      <c r="BB1219" s="249">
        <v>47.10623136645728</v>
      </c>
      <c r="BC1219" s="243">
        <v>192.18946815659834</v>
      </c>
      <c r="BD1219" s="209">
        <v>95220.822548322845</v>
      </c>
      <c r="BE1219" s="244">
        <v>66.09299275910233</v>
      </c>
      <c r="BF1219" s="209">
        <v>393409.34088381683</v>
      </c>
      <c r="BG1219" t="s">
        <v>388</v>
      </c>
      <c r="BH1219">
        <v>8.3658855216259075E-6</v>
      </c>
      <c r="BI1219">
        <v>2152208.2254832285</v>
      </c>
      <c r="BJ1219">
        <f t="shared" si="70"/>
        <v>0.18279334509814257</v>
      </c>
    </row>
    <row r="1220" spans="1:62" x14ac:dyDescent="0.3">
      <c r="A1220">
        <v>-0.1</v>
      </c>
      <c r="B1220" s="146">
        <v>1000</v>
      </c>
      <c r="C1220" s="146">
        <v>25</v>
      </c>
      <c r="D1220" s="146">
        <v>900</v>
      </c>
      <c r="E1220" s="249">
        <v>22.514533251913459</v>
      </c>
      <c r="F1220">
        <v>2.9030178424441413</v>
      </c>
      <c r="G1220">
        <v>24.601665830071124</v>
      </c>
      <c r="H1220">
        <v>0</v>
      </c>
      <c r="J1220">
        <v>2.4147214377645071E-4</v>
      </c>
      <c r="K1220">
        <v>1E-8</v>
      </c>
      <c r="L1220">
        <v>102.46586251799162</v>
      </c>
      <c r="M1220">
        <v>61.479517032620954</v>
      </c>
      <c r="N1220">
        <v>-5.5791805749756057E-3</v>
      </c>
      <c r="Z1220" t="s">
        <v>35</v>
      </c>
      <c r="AL1220">
        <v>758.58831901063559</v>
      </c>
      <c r="AM1220">
        <v>0.1180008647583418</v>
      </c>
      <c r="AN1220">
        <v>0.27258038187628048</v>
      </c>
      <c r="AO1220">
        <v>817.40222426523553</v>
      </c>
      <c r="AP1220">
        <v>761.37790929812354</v>
      </c>
      <c r="AQ1220" t="s">
        <v>302</v>
      </c>
      <c r="AR1220">
        <v>0</v>
      </c>
      <c r="AS1220">
        <v>0</v>
      </c>
      <c r="AT1220">
        <v>0</v>
      </c>
      <c r="AU1220">
        <v>0</v>
      </c>
      <c r="AV1220">
        <v>0</v>
      </c>
      <c r="AW1220" s="146">
        <v>3</v>
      </c>
      <c r="AX1220" s="141">
        <v>2.4164280148437973E-4</v>
      </c>
      <c r="AY1220" s="141">
        <v>1E-8</v>
      </c>
      <c r="AZ1220" s="209">
        <v>761.37790929812354</v>
      </c>
      <c r="BA1220">
        <v>2.4164280148437973E-4</v>
      </c>
      <c r="BB1220" s="249">
        <v>44.811728755388238</v>
      </c>
      <c r="BC1220" s="243">
        <v>190.99236652341509</v>
      </c>
      <c r="BD1220" s="209">
        <v>92881.516058320922</v>
      </c>
      <c r="BE1220" s="244">
        <v>63.257096250821547</v>
      </c>
      <c r="BF1220" s="209">
        <v>397931.08857880766</v>
      </c>
      <c r="BG1220" t="s">
        <v>388</v>
      </c>
      <c r="BH1220">
        <v>8.6369902932075577E-6</v>
      </c>
      <c r="BI1220">
        <v>2128815.1605832092</v>
      </c>
      <c r="BJ1220">
        <f t="shared" ref="BJ1220:BJ1283" si="73">BF1220/BI1220</f>
        <v>0.18692608731224492</v>
      </c>
    </row>
    <row r="1221" spans="1:62" x14ac:dyDescent="0.3">
      <c r="A1221">
        <v>-0.1</v>
      </c>
      <c r="B1221" s="146">
        <v>1000</v>
      </c>
      <c r="C1221" s="146">
        <v>25</v>
      </c>
      <c r="D1221" s="146">
        <v>1000</v>
      </c>
      <c r="E1221" s="249">
        <v>22.944105302987097</v>
      </c>
      <c r="F1221">
        <v>2.6034095109281483</v>
      </c>
      <c r="G1221">
        <v>24.873706685378355</v>
      </c>
      <c r="H1221">
        <v>0</v>
      </c>
      <c r="J1221">
        <v>2.6135973020543568E-4</v>
      </c>
      <c r="K1221">
        <v>1E-8</v>
      </c>
      <c r="L1221">
        <v>102.1677774173401</v>
      </c>
      <c r="M1221">
        <v>61.300665973621101</v>
      </c>
      <c r="N1221">
        <v>-6.1497870300745335E-3</v>
      </c>
      <c r="Z1221" t="s">
        <v>35</v>
      </c>
      <c r="AL1221">
        <v>855.31285769088151</v>
      </c>
      <c r="AM1221">
        <v>0.10466512063754956</v>
      </c>
      <c r="AN1221">
        <v>0.27146644183712632</v>
      </c>
      <c r="AO1221">
        <v>915.48087804991735</v>
      </c>
      <c r="AP1221">
        <v>858.3877512059189</v>
      </c>
      <c r="AQ1221" t="s">
        <v>302</v>
      </c>
      <c r="AR1221">
        <v>0</v>
      </c>
      <c r="AS1221">
        <v>0</v>
      </c>
      <c r="AT1221">
        <v>0</v>
      </c>
      <c r="AU1221">
        <v>0</v>
      </c>
      <c r="AV1221">
        <v>0</v>
      </c>
      <c r="AW1221" s="146">
        <v>3</v>
      </c>
      <c r="AX1221" s="141">
        <v>2.6153228112567279E-4</v>
      </c>
      <c r="AY1221" s="141">
        <v>1E-8</v>
      </c>
      <c r="AZ1221" s="209">
        <v>858.3877512059189</v>
      </c>
      <c r="BA1221">
        <v>2.6153228112567279E-4</v>
      </c>
      <c r="BB1221" s="249">
        <v>42.997973392588044</v>
      </c>
      <c r="BC1221" s="243">
        <v>190.13900875898273</v>
      </c>
      <c r="BD1221" s="209">
        <v>91076.598005542124</v>
      </c>
      <c r="BE1221" s="244">
        <v>61.01964201189169</v>
      </c>
      <c r="BF1221" s="209">
        <v>401620.94485787832</v>
      </c>
      <c r="BG1221" t="s">
        <v>388</v>
      </c>
      <c r="BH1221">
        <v>8.8577935945006053E-6</v>
      </c>
      <c r="BI1221">
        <v>2110765.9800554211</v>
      </c>
      <c r="BJ1221">
        <f t="shared" si="73"/>
        <v>0.19027260655742292</v>
      </c>
    </row>
    <row r="1222" spans="1:62" s="140" customFormat="1" x14ac:dyDescent="0.3">
      <c r="A1222" s="140">
        <v>-0.1</v>
      </c>
      <c r="B1222" s="140">
        <v>1000</v>
      </c>
      <c r="C1222" s="140">
        <v>25</v>
      </c>
      <c r="D1222" s="140">
        <v>1100</v>
      </c>
      <c r="E1222" s="253">
        <v>23.299934485794143</v>
      </c>
      <c r="F1222" s="140">
        <v>2.35923801016152</v>
      </c>
      <c r="G1222" s="140">
        <v>25.101303833758461</v>
      </c>
      <c r="H1222" s="140">
        <v>0</v>
      </c>
      <c r="J1222" s="140">
        <v>2.8165042871469671E-4</v>
      </c>
      <c r="K1222" s="140">
        <v>1E-8</v>
      </c>
      <c r="L1222" s="140">
        <v>101.94534173901286</v>
      </c>
      <c r="M1222" s="140">
        <v>61.167204567662793</v>
      </c>
      <c r="N1222" s="140">
        <v>-6.7264945708963636E-3</v>
      </c>
      <c r="Z1222" s="140" t="s">
        <v>35</v>
      </c>
      <c r="AL1222" s="140">
        <v>952.53143215934779</v>
      </c>
      <c r="AM1222" s="140">
        <v>9.3988663927035032E-2</v>
      </c>
      <c r="AN1222" s="140">
        <v>0.27053066809701964</v>
      </c>
      <c r="AO1222" s="140">
        <v>1013.8732231369859</v>
      </c>
      <c r="AP1222" s="140">
        <v>955.894679444796</v>
      </c>
      <c r="AQ1222" s="140" t="s">
        <v>302</v>
      </c>
      <c r="AR1222" s="140">
        <v>0</v>
      </c>
      <c r="AS1222" s="140">
        <v>0</v>
      </c>
      <c r="AT1222" s="140">
        <v>0</v>
      </c>
      <c r="AU1222" s="140">
        <v>0</v>
      </c>
      <c r="AV1222" s="140">
        <v>0</v>
      </c>
      <c r="AW1222" s="140">
        <v>3</v>
      </c>
      <c r="AX1222" s="141">
        <v>2.8182511265015503E-4</v>
      </c>
      <c r="AY1222" s="205">
        <v>1E-8</v>
      </c>
      <c r="AZ1222" s="209">
        <v>955.894679444796</v>
      </c>
      <c r="BA1222" s="140">
        <v>2.8182511265015503E-4</v>
      </c>
      <c r="BB1222" s="253">
        <v>41.525711280955335</v>
      </c>
      <c r="BC1222" s="245">
        <v>189.50441997695972</v>
      </c>
      <c r="BD1222" s="210">
        <v>89632.358416564151</v>
      </c>
      <c r="BE1222" s="245">
        <v>59.195717176464072</v>
      </c>
      <c r="BF1222" s="210">
        <v>404619.24559354235</v>
      </c>
      <c r="BG1222" t="s">
        <v>388</v>
      </c>
      <c r="BH1222" s="140">
        <v>9.0409598077094764E-6</v>
      </c>
      <c r="BI1222" s="140">
        <v>2096323.5841656416</v>
      </c>
      <c r="BJ1222">
        <f t="shared" si="73"/>
        <v>0.19301373540315581</v>
      </c>
    </row>
    <row r="1223" spans="1:62" x14ac:dyDescent="0.3">
      <c r="A1223">
        <v>-0.1</v>
      </c>
      <c r="B1223" s="146">
        <v>1000</v>
      </c>
      <c r="C1223" s="146">
        <v>25</v>
      </c>
      <c r="D1223" s="146">
        <v>400</v>
      </c>
      <c r="E1223" s="249">
        <v>17.484145169315884</v>
      </c>
      <c r="F1223">
        <v>6.5566382106771339</v>
      </c>
      <c r="G1223">
        <v>21.495880003397954</v>
      </c>
      <c r="H1223">
        <v>0</v>
      </c>
      <c r="J1223">
        <v>1.4159892312270875E-4</v>
      </c>
      <c r="K1223">
        <v>1E-8</v>
      </c>
      <c r="L1223">
        <v>106.42842919401158</v>
      </c>
      <c r="M1223">
        <v>63.857057019740949</v>
      </c>
      <c r="N1223">
        <v>-2.5697441223675702E-3</v>
      </c>
      <c r="Z1223" t="s">
        <v>35</v>
      </c>
      <c r="AL1223">
        <v>293.26533519928546</v>
      </c>
      <c r="AM1223">
        <v>0.30501836675868566</v>
      </c>
      <c r="AN1223">
        <v>0.28226182860762961</v>
      </c>
      <c r="AO1223">
        <v>338.0569974496251</v>
      </c>
      <c r="AP1223">
        <v>294.55020726046928</v>
      </c>
      <c r="AQ1223" t="s">
        <v>302</v>
      </c>
      <c r="AR1223">
        <v>0</v>
      </c>
      <c r="AS1223">
        <v>0</v>
      </c>
      <c r="AT1223">
        <v>0</v>
      </c>
      <c r="AU1223">
        <v>0</v>
      </c>
      <c r="AV1223">
        <v>0</v>
      </c>
      <c r="AW1223" s="146">
        <v>3</v>
      </c>
      <c r="AX1223" s="141">
        <v>1.4174897602331767E-4</v>
      </c>
      <c r="AY1223" s="141">
        <v>1E-8</v>
      </c>
      <c r="AZ1223" s="209">
        <v>294.55020726046928</v>
      </c>
      <c r="BA1223" s="198">
        <v>1.4174897602331767E-4</v>
      </c>
      <c r="BB1223" s="249">
        <v>67.141508743606408</v>
      </c>
      <c r="BC1223" s="243">
        <v>202.67106565378509</v>
      </c>
      <c r="BD1223" s="209">
        <v>115890.56085497644</v>
      </c>
      <c r="BE1223" s="244">
        <v>90.695225843616214</v>
      </c>
      <c r="BF1223" s="209">
        <v>339247.81579107902</v>
      </c>
      <c r="BG1223" t="s">
        <v>389</v>
      </c>
      <c r="BH1223">
        <v>6.221365577526194E-6</v>
      </c>
      <c r="BI1223">
        <v>2358905.6085497644</v>
      </c>
      <c r="BJ1223">
        <f t="shared" si="73"/>
        <v>0.14381576548102989</v>
      </c>
    </row>
    <row r="1224" spans="1:62" x14ac:dyDescent="0.3">
      <c r="A1224">
        <v>-0.1</v>
      </c>
      <c r="B1224" s="146">
        <v>1000</v>
      </c>
      <c r="C1224" s="146">
        <v>25</v>
      </c>
      <c r="D1224" s="146">
        <v>400</v>
      </c>
      <c r="E1224" s="249">
        <v>16.901566758990107</v>
      </c>
      <c r="F1224">
        <v>6.2371226893938543</v>
      </c>
      <c r="G1224">
        <v>20.713591024649215</v>
      </c>
      <c r="H1224">
        <v>0</v>
      </c>
      <c r="J1224">
        <v>1.3750140229213911E-4</v>
      </c>
      <c r="K1224">
        <v>1E-8</v>
      </c>
      <c r="L1224">
        <v>102.57095507382674</v>
      </c>
      <c r="M1224">
        <v>61.542572565631581</v>
      </c>
      <c r="N1224">
        <v>-2.4108457158125611E-3</v>
      </c>
      <c r="Z1224" t="s">
        <v>35</v>
      </c>
      <c r="AL1224">
        <v>297.16543727696899</v>
      </c>
      <c r="AM1224">
        <v>0.30111257299478711</v>
      </c>
      <c r="AN1224">
        <v>0.2837166115660148</v>
      </c>
      <c r="AO1224">
        <v>340.42799726917832</v>
      </c>
      <c r="AP1224">
        <v>298.37086013487527</v>
      </c>
      <c r="AQ1224" t="s">
        <v>302</v>
      </c>
      <c r="AR1224">
        <v>0</v>
      </c>
      <c r="AS1224">
        <v>0</v>
      </c>
      <c r="AT1224">
        <v>0</v>
      </c>
      <c r="AU1224">
        <v>0</v>
      </c>
      <c r="AV1224">
        <v>0</v>
      </c>
      <c r="AW1224" s="146">
        <v>2.5</v>
      </c>
      <c r="AX1224" s="141">
        <v>1.3763251465276954E-4</v>
      </c>
      <c r="AY1224" s="141">
        <v>1E-8</v>
      </c>
      <c r="AZ1224" s="209">
        <v>298.37086013487527</v>
      </c>
      <c r="BA1224">
        <v>1.3763251465276954E-4</v>
      </c>
      <c r="BB1224" s="249">
        <v>64.134834932189705</v>
      </c>
      <c r="BC1224" s="243">
        <v>191.29403514293864</v>
      </c>
      <c r="BD1224" s="209">
        <v>108342.94914049411</v>
      </c>
      <c r="BE1224" s="244">
        <v>86.091133241933605</v>
      </c>
      <c r="BF1224" s="209">
        <v>387041.93138849991</v>
      </c>
      <c r="BG1224" t="s">
        <v>389</v>
      </c>
      <c r="BH1224">
        <v>6.0614215034429727E-6</v>
      </c>
      <c r="BI1224">
        <v>2283429.4914049413</v>
      </c>
      <c r="BJ1224">
        <f t="shared" si="73"/>
        <v>0.16950027703739692</v>
      </c>
    </row>
    <row r="1225" spans="1:62" x14ac:dyDescent="0.3">
      <c r="A1225">
        <v>-0.1</v>
      </c>
      <c r="B1225" s="146">
        <v>1000</v>
      </c>
      <c r="C1225" s="146">
        <v>25</v>
      </c>
      <c r="D1225" s="146">
        <v>400</v>
      </c>
      <c r="E1225" s="249">
        <v>14.775381795835266</v>
      </c>
      <c r="F1225">
        <v>5.1607093086481894</v>
      </c>
      <c r="G1225">
        <v>17.920173052198248</v>
      </c>
      <c r="H1225">
        <v>0</v>
      </c>
      <c r="J1225">
        <v>1.2505744993483514E-4</v>
      </c>
      <c r="K1225">
        <v>1E-8</v>
      </c>
      <c r="L1225">
        <v>88.753526139934536</v>
      </c>
      <c r="M1225">
        <v>53.252115269777597</v>
      </c>
      <c r="N1225">
        <v>-1.9133564827666437E-3</v>
      </c>
      <c r="Z1225" t="s">
        <v>35</v>
      </c>
      <c r="AL1225">
        <v>311.01704903396103</v>
      </c>
      <c r="AM1225">
        <v>0.28798322949315108</v>
      </c>
      <c r="AN1225">
        <v>0.28824552085029698</v>
      </c>
      <c r="AO1225">
        <v>348.74029004076357</v>
      </c>
      <c r="AP1225">
        <v>311.9737272753444</v>
      </c>
      <c r="AQ1225" t="s">
        <v>302</v>
      </c>
      <c r="AR1225">
        <v>0</v>
      </c>
      <c r="AS1225">
        <v>0</v>
      </c>
      <c r="AT1225">
        <v>0</v>
      </c>
      <c r="AU1225">
        <v>0</v>
      </c>
      <c r="AV1225">
        <v>0</v>
      </c>
      <c r="AW1225" s="146">
        <v>1.5</v>
      </c>
      <c r="AX1225" s="141">
        <v>1.2514000859269395E-4</v>
      </c>
      <c r="AY1225" s="141">
        <v>1E-8</v>
      </c>
      <c r="AZ1225" s="209">
        <v>311.9737272753444</v>
      </c>
      <c r="BA1225">
        <v>1.2514000859269395E-4</v>
      </c>
      <c r="BB1225" s="249">
        <v>53.847703966026693</v>
      </c>
      <c r="BC1225" s="243">
        <v>154.85135202622436</v>
      </c>
      <c r="BD1225" s="209">
        <v>84415.468498699163</v>
      </c>
      <c r="BE1225" s="244">
        <v>70.923288789330144</v>
      </c>
      <c r="BF1225" s="209">
        <v>509708.53640945506</v>
      </c>
      <c r="BG1225" t="s">
        <v>389</v>
      </c>
      <c r="BH1225">
        <v>5.4923635104578689E-6</v>
      </c>
      <c r="BI1225">
        <v>2044154.6849869916</v>
      </c>
      <c r="BJ1225">
        <f t="shared" si="73"/>
        <v>0.24934929834465963</v>
      </c>
    </row>
    <row r="1226" spans="1:62" x14ac:dyDescent="0.3">
      <c r="A1226">
        <v>-0.1</v>
      </c>
      <c r="B1226" s="146">
        <v>1000</v>
      </c>
      <c r="C1226" s="146">
        <v>25</v>
      </c>
      <c r="D1226" s="146">
        <v>400</v>
      </c>
      <c r="E1226" s="249">
        <v>12.775336955016746</v>
      </c>
      <c r="F1226">
        <v>4.2552884180338619</v>
      </c>
      <c r="G1226">
        <v>15.364007137575546</v>
      </c>
      <c r="H1226">
        <v>0</v>
      </c>
      <c r="J1226">
        <v>1.1658263560933347E-4</v>
      </c>
      <c r="K1226">
        <v>1E-8</v>
      </c>
      <c r="L1226">
        <v>76.042412659960988</v>
      </c>
      <c r="M1226">
        <v>45.625447241111999</v>
      </c>
      <c r="N1226">
        <v>-1.5400745247760173E-3</v>
      </c>
      <c r="Z1226" t="s">
        <v>35</v>
      </c>
      <c r="AL1226">
        <v>323.61489313876194</v>
      </c>
      <c r="AM1226">
        <v>0.27696475144344085</v>
      </c>
      <c r="AN1226">
        <v>0.29150484418736922</v>
      </c>
      <c r="AO1226">
        <v>356.17452948121439</v>
      </c>
      <c r="AP1226">
        <v>324.38493040114997</v>
      </c>
      <c r="AQ1226" t="s">
        <v>302</v>
      </c>
      <c r="AR1226">
        <v>0</v>
      </c>
      <c r="AS1226">
        <v>0</v>
      </c>
      <c r="AT1226">
        <v>0</v>
      </c>
      <c r="AU1226">
        <v>0</v>
      </c>
      <c r="AV1226">
        <v>0</v>
      </c>
      <c r="AW1226" s="146">
        <v>1</v>
      </c>
      <c r="AX1226" s="141">
        <v>1.1663823198210641E-4</v>
      </c>
      <c r="AY1226" s="141">
        <v>1E-8</v>
      </c>
      <c r="AZ1226" s="209">
        <v>324.38493040114997</v>
      </c>
      <c r="BA1226">
        <v>1.1663823198210641E-4</v>
      </c>
      <c r="BB1226" s="249">
        <v>44.988230730128443</v>
      </c>
      <c r="BC1226" s="243">
        <v>125.92732226392422</v>
      </c>
      <c r="BD1226" s="209">
        <v>65943.683644411998</v>
      </c>
      <c r="BE1226" s="244">
        <v>58.48306715282385</v>
      </c>
      <c r="BF1226" s="209">
        <v>575935.15965652512</v>
      </c>
      <c r="BG1226" t="s">
        <v>389</v>
      </c>
      <c r="BH1226">
        <v>4.9353826987697902E-6</v>
      </c>
      <c r="BI1226">
        <v>1859436.8364441199</v>
      </c>
      <c r="BJ1226">
        <f t="shared" si="73"/>
        <v>0.30973633971773434</v>
      </c>
    </row>
    <row r="1227" spans="1:62" x14ac:dyDescent="0.3">
      <c r="A1227">
        <v>-0.1</v>
      </c>
      <c r="B1227" s="146">
        <v>1000</v>
      </c>
      <c r="C1227" s="146">
        <v>25</v>
      </c>
      <c r="D1227" s="146">
        <v>400</v>
      </c>
      <c r="E1227" s="249">
        <v>11.678272587961491</v>
      </c>
      <c r="F1227">
        <v>3.7950696187563624</v>
      </c>
      <c r="G1227">
        <v>13.98564021721532</v>
      </c>
      <c r="H1227">
        <v>0</v>
      </c>
      <c r="J1227">
        <v>1.1271440500220847E-4</v>
      </c>
      <c r="K1227">
        <v>1E-8</v>
      </c>
      <c r="L1227">
        <v>69.188041103903714</v>
      </c>
      <c r="M1227">
        <v>41.512824339464707</v>
      </c>
      <c r="N1227">
        <v>-1.3601924957326078E-3</v>
      </c>
      <c r="Z1227" t="s">
        <v>35</v>
      </c>
      <c r="AL1227">
        <v>330.41119367080978</v>
      </c>
      <c r="AM1227">
        <v>0.27135472955216622</v>
      </c>
      <c r="AN1227">
        <v>0.2930635846705692</v>
      </c>
      <c r="AO1227">
        <v>360.15106209429274</v>
      </c>
      <c r="AP1227">
        <v>331.09128991867613</v>
      </c>
      <c r="AQ1227" t="s">
        <v>302</v>
      </c>
      <c r="AR1227">
        <v>0</v>
      </c>
      <c r="AS1227">
        <v>0</v>
      </c>
      <c r="AT1227">
        <v>0</v>
      </c>
      <c r="AU1227">
        <v>0</v>
      </c>
      <c r="AV1227">
        <v>0</v>
      </c>
      <c r="AW1227" s="146">
        <v>0.8</v>
      </c>
      <c r="AX1227" s="141">
        <v>1.1275936646434466E-4</v>
      </c>
      <c r="AY1227" s="141">
        <v>1E-8</v>
      </c>
      <c r="AZ1227" s="209">
        <v>331.09128991867613</v>
      </c>
      <c r="BA1227">
        <v>1.1275936646434466E-4</v>
      </c>
      <c r="BB1227" s="249">
        <v>40.405938908571265</v>
      </c>
      <c r="BC1227" s="243">
        <v>111.72623366997169</v>
      </c>
      <c r="BD1227" s="209">
        <v>57107.988770485979</v>
      </c>
      <c r="BE1227" s="244">
        <v>52.206894280287585</v>
      </c>
      <c r="BF1227" s="209">
        <v>601282.56866488385</v>
      </c>
      <c r="BG1227" t="s">
        <v>389</v>
      </c>
      <c r="BH1227">
        <v>4.6043561072699329E-6</v>
      </c>
      <c r="BI1227">
        <v>1771079.88770486</v>
      </c>
      <c r="BJ1227">
        <f t="shared" si="73"/>
        <v>0.33950053458293467</v>
      </c>
    </row>
    <row r="1228" spans="1:62" x14ac:dyDescent="0.3">
      <c r="A1228">
        <v>-0.1</v>
      </c>
      <c r="B1228" s="146">
        <v>1000</v>
      </c>
      <c r="C1228" s="146">
        <v>25</v>
      </c>
      <c r="D1228" s="146">
        <v>400</v>
      </c>
      <c r="E1228" s="249">
        <v>10.270847062843613</v>
      </c>
      <c r="F1228">
        <v>3.2365748038796012</v>
      </c>
      <c r="G1228">
        <v>12.238107070374459</v>
      </c>
      <c r="H1228">
        <v>0</v>
      </c>
      <c r="J1228">
        <v>1.0931760632110976E-4</v>
      </c>
      <c r="K1228">
        <v>1E-8</v>
      </c>
      <c r="L1228">
        <v>60.636373026743129</v>
      </c>
      <c r="M1228">
        <v>36.381823533076137</v>
      </c>
      <c r="N1228">
        <v>-1.1593180599208841E-3</v>
      </c>
      <c r="Z1228" t="s">
        <v>35</v>
      </c>
      <c r="AL1228">
        <v>339.13456448094774</v>
      </c>
      <c r="AM1228">
        <v>0.26446694617622502</v>
      </c>
      <c r="AN1228">
        <v>0.29574935500868871</v>
      </c>
      <c r="AO1228">
        <v>365.2717854193059</v>
      </c>
      <c r="AP1228">
        <v>339.71422351090825</v>
      </c>
      <c r="AQ1228" t="s">
        <v>302</v>
      </c>
      <c r="AR1228">
        <v>0</v>
      </c>
      <c r="AS1228">
        <v>0</v>
      </c>
      <c r="AT1228">
        <v>0</v>
      </c>
      <c r="AU1228">
        <v>0</v>
      </c>
      <c r="AV1228">
        <v>0</v>
      </c>
      <c r="AW1228" s="146">
        <v>0.6</v>
      </c>
      <c r="AX1228" s="141">
        <v>1.093518818967976E-4</v>
      </c>
      <c r="AY1228" s="141">
        <v>1E-8</v>
      </c>
      <c r="AZ1228" s="209">
        <v>339.71422351090825</v>
      </c>
      <c r="BA1228">
        <v>1.093518818967976E-4</v>
      </c>
      <c r="BB1228" s="249">
        <v>34.770308508739234</v>
      </c>
      <c r="BC1228" s="243">
        <v>95.121867837152337</v>
      </c>
      <c r="BD1228" s="209">
        <v>46892.383262425479</v>
      </c>
      <c r="BE1228" s="244">
        <v>44.467174399265858</v>
      </c>
      <c r="BF1228" s="209">
        <v>615935.94700571394</v>
      </c>
      <c r="BG1228" t="s">
        <v>389</v>
      </c>
      <c r="BH1228">
        <v>4.1693754761577038E-6</v>
      </c>
      <c r="BI1228">
        <v>1668923.8326242547</v>
      </c>
      <c r="BJ1228">
        <f t="shared" si="73"/>
        <v>0.36906174803508074</v>
      </c>
    </row>
    <row r="1229" spans="1:62" x14ac:dyDescent="0.3">
      <c r="A1229">
        <v>-0.1</v>
      </c>
      <c r="B1229" s="146">
        <v>1000</v>
      </c>
      <c r="C1229" s="146">
        <v>25</v>
      </c>
      <c r="D1229" s="146">
        <v>400</v>
      </c>
      <c r="E1229" s="249">
        <v>8.5677882362663418</v>
      </c>
      <c r="F1229">
        <v>2.6075040939256042</v>
      </c>
      <c r="G1229">
        <v>10.152031611171971</v>
      </c>
      <c r="H1229">
        <v>0</v>
      </c>
      <c r="J1229">
        <v>1.0416119281529996E-4</v>
      </c>
      <c r="K1229">
        <v>1E-8</v>
      </c>
      <c r="L1229">
        <v>50.115335295565316</v>
      </c>
      <c r="M1229">
        <v>30.069200943467621</v>
      </c>
      <c r="N1229">
        <v>-9.2067254254118872E-4</v>
      </c>
      <c r="Z1229" t="s">
        <v>35</v>
      </c>
      <c r="AL1229">
        <v>349.33424012151465</v>
      </c>
      <c r="AM1229">
        <v>0.25684554518685043</v>
      </c>
      <c r="AN1229">
        <v>0.29661074332501619</v>
      </c>
      <c r="AO1229">
        <v>371.11436982955792</v>
      </c>
      <c r="AP1229">
        <v>349.79457639278519</v>
      </c>
      <c r="AQ1229" t="s">
        <v>302</v>
      </c>
      <c r="AR1229">
        <v>0</v>
      </c>
      <c r="AS1229">
        <v>0</v>
      </c>
      <c r="AT1229">
        <v>0</v>
      </c>
      <c r="AU1229">
        <v>0</v>
      </c>
      <c r="AV1229">
        <v>0</v>
      </c>
      <c r="AW1229" s="146">
        <v>0.4</v>
      </c>
      <c r="AX1229" s="141">
        <v>1.0418575094984677E-4</v>
      </c>
      <c r="AY1229" s="141">
        <v>1E-8</v>
      </c>
      <c r="AZ1229" s="209">
        <v>349.79457639278519</v>
      </c>
      <c r="BA1229">
        <v>1.0418575094984677E-4</v>
      </c>
      <c r="BB1229" s="249">
        <v>28.304804560734802</v>
      </c>
      <c r="BC1229" s="243">
        <v>76.114281616948574</v>
      </c>
      <c r="BD1229" s="209">
        <v>36030.476480519857</v>
      </c>
      <c r="BE1229" s="244">
        <v>36.082249560182035</v>
      </c>
      <c r="BF1229" s="209">
        <v>639891.16340164945</v>
      </c>
      <c r="BG1229" t="s">
        <v>389</v>
      </c>
      <c r="BH1229">
        <v>3.5583799942542316E-6</v>
      </c>
      <c r="BI1229">
        <v>1560304.7648051986</v>
      </c>
      <c r="BJ1229">
        <f t="shared" si="73"/>
        <v>0.41010652395305525</v>
      </c>
    </row>
    <row r="1230" spans="1:62" x14ac:dyDescent="0.3">
      <c r="A1230">
        <v>-0.1</v>
      </c>
      <c r="B1230" s="146">
        <v>1000</v>
      </c>
      <c r="C1230" s="146">
        <v>25</v>
      </c>
      <c r="D1230" s="146">
        <v>400</v>
      </c>
      <c r="E1230" s="249">
        <v>7.4094510188896479</v>
      </c>
      <c r="F1230">
        <v>2.203013242932002</v>
      </c>
      <c r="G1230">
        <v>8.7482674744439759</v>
      </c>
      <c r="H1230">
        <v>0</v>
      </c>
      <c r="J1230">
        <v>9.9999998169375307E-9</v>
      </c>
      <c r="K1230">
        <v>1E-8</v>
      </c>
      <c r="L1230">
        <v>43.280007203884153</v>
      </c>
      <c r="M1230">
        <v>25.968004120357126</v>
      </c>
      <c r="N1230">
        <v>-7.6467600609657878E-8</v>
      </c>
      <c r="Z1230" t="s">
        <v>35</v>
      </c>
      <c r="AL1230">
        <v>356.77132877147528</v>
      </c>
      <c r="AM1230">
        <v>0.25182280370000021</v>
      </c>
      <c r="AN1230">
        <v>0.29887689096354242</v>
      </c>
      <c r="AO1230">
        <v>375.20902002492568</v>
      </c>
      <c r="AP1230">
        <v>356.77136700527558</v>
      </c>
      <c r="AQ1230" t="s">
        <v>302</v>
      </c>
      <c r="AR1230">
        <v>0</v>
      </c>
      <c r="AS1230">
        <v>0</v>
      </c>
      <c r="AT1230">
        <v>0</v>
      </c>
      <c r="AU1230">
        <v>0</v>
      </c>
      <c r="AV1230">
        <v>0</v>
      </c>
      <c r="AW1230" s="146">
        <v>0.3</v>
      </c>
      <c r="AX1230" s="141">
        <v>9.9999999999812695E-9</v>
      </c>
      <c r="AY1230" s="141">
        <v>1E-8</v>
      </c>
      <c r="AZ1230" s="209">
        <v>356.77136700527558</v>
      </c>
      <c r="BA1230">
        <v>9.9999999999812695E-9</v>
      </c>
      <c r="BB1230" s="249">
        <v>24.085079182616965</v>
      </c>
      <c r="BC1230" s="243">
        <v>64.474768603424138</v>
      </c>
      <c r="BD1230" s="209">
        <v>29448.99599054666</v>
      </c>
      <c r="BE1230" s="244">
        <v>30.449165031906716</v>
      </c>
      <c r="BF1230" s="209">
        <v>632037.02016474772</v>
      </c>
      <c r="BG1230" t="s">
        <v>389</v>
      </c>
      <c r="BH1230">
        <v>3.1455961180631358E-6</v>
      </c>
      <c r="BI1230">
        <v>1494489.9599054665</v>
      </c>
      <c r="BJ1230">
        <f t="shared" si="73"/>
        <v>0.42291151972993318</v>
      </c>
    </row>
    <row r="1231" spans="1:62" x14ac:dyDescent="0.3">
      <c r="A1231">
        <v>-0.1</v>
      </c>
      <c r="B1231" s="146">
        <v>1000</v>
      </c>
      <c r="C1231" s="146">
        <v>25</v>
      </c>
      <c r="D1231" s="146">
        <v>400</v>
      </c>
      <c r="E1231" s="249">
        <v>6.0765513237650692</v>
      </c>
      <c r="F1231">
        <v>1.761407498301504</v>
      </c>
      <c r="G1231">
        <v>7.1469430017699915</v>
      </c>
      <c r="H1231">
        <v>0</v>
      </c>
      <c r="J1231">
        <v>9.9174353444236778E-5</v>
      </c>
      <c r="K1231">
        <v>1E-8</v>
      </c>
      <c r="L1231">
        <v>35.197373628542955</v>
      </c>
      <c r="M1231">
        <v>21.118424012871358</v>
      </c>
      <c r="N1231">
        <v>-6.2103338793174923E-4</v>
      </c>
      <c r="Z1231" t="s">
        <v>35</v>
      </c>
      <c r="AL1231">
        <v>364.2297971207301</v>
      </c>
      <c r="AM1231">
        <v>0.24645607189889143</v>
      </c>
      <c r="AN1231">
        <v>0.29876630871131993</v>
      </c>
      <c r="AO1231">
        <v>379.66118954317409</v>
      </c>
      <c r="AP1231">
        <v>364.54031381469605</v>
      </c>
      <c r="AQ1231" t="s">
        <v>302</v>
      </c>
      <c r="AR1231">
        <v>0</v>
      </c>
      <c r="AS1231">
        <v>0</v>
      </c>
      <c r="AT1231">
        <v>0</v>
      </c>
      <c r="AU1231">
        <v>0</v>
      </c>
      <c r="AV1231">
        <v>0</v>
      </c>
      <c r="AW1231" s="146">
        <v>0.2</v>
      </c>
      <c r="AX1231" s="141">
        <v>9.9188717424111681E-5</v>
      </c>
      <c r="AY1231" s="141">
        <v>1E-8</v>
      </c>
      <c r="AZ1231" s="209">
        <v>364.54031381469605</v>
      </c>
      <c r="BA1231">
        <v>9.9188717424111681E-5</v>
      </c>
      <c r="BB1231" s="249">
        <v>19.40940904933775</v>
      </c>
      <c r="BC1231" s="243">
        <v>51.327335182750595</v>
      </c>
      <c r="BD1231" s="209">
        <v>22622.037071007282</v>
      </c>
      <c r="BE1231" s="244">
        <v>24.547836358917806</v>
      </c>
      <c r="BF1231" s="209">
        <v>636196.69520941109</v>
      </c>
      <c r="BG1231" t="s">
        <v>389</v>
      </c>
      <c r="BH1231">
        <v>2.6023718520243177E-6</v>
      </c>
      <c r="BI1231">
        <v>1426220.3707100728</v>
      </c>
      <c r="BJ1231">
        <f t="shared" si="73"/>
        <v>0.44607180508343719</v>
      </c>
    </row>
    <row r="1232" spans="1:62" s="140" customFormat="1" x14ac:dyDescent="0.3">
      <c r="A1232" s="140">
        <v>-0.1</v>
      </c>
      <c r="B1232" s="140">
        <v>1000</v>
      </c>
      <c r="C1232" s="140">
        <v>25</v>
      </c>
      <c r="D1232" s="140">
        <v>400</v>
      </c>
      <c r="E1232" s="253">
        <v>4.1901321368747277</v>
      </c>
      <c r="F1232" s="140">
        <v>1.1728013203668481</v>
      </c>
      <c r="G1232" s="140">
        <v>4.9031712192529557</v>
      </c>
      <c r="H1232" s="140">
        <v>0</v>
      </c>
      <c r="J1232" s="140">
        <v>9.6184254533284219E-5</v>
      </c>
      <c r="K1232" s="140">
        <v>1E-8</v>
      </c>
      <c r="L1232" s="140">
        <v>24.096488320901749</v>
      </c>
      <c r="M1232" s="140">
        <v>14.457892880090771</v>
      </c>
      <c r="N1232" s="140">
        <v>-4.1502738918025253E-4</v>
      </c>
      <c r="Z1232" s="140" t="s">
        <v>35</v>
      </c>
      <c r="AL1232" s="140">
        <v>375.40295163799948</v>
      </c>
      <c r="AM1232" s="140">
        <v>0.23919240587840118</v>
      </c>
      <c r="AN1232" s="140">
        <v>0.30008874425268206</v>
      </c>
      <c r="AO1232" s="140">
        <v>386.03702332351884</v>
      </c>
      <c r="AP1232" s="140">
        <v>375.61046533258963</v>
      </c>
      <c r="AQ1232" s="140" t="s">
        <v>302</v>
      </c>
      <c r="AR1232" s="140">
        <v>0</v>
      </c>
      <c r="AS1232" s="140">
        <v>0</v>
      </c>
      <c r="AT1232" s="140">
        <v>0</v>
      </c>
      <c r="AU1232" s="140">
        <v>0</v>
      </c>
      <c r="AV1232" s="140">
        <v>0</v>
      </c>
      <c r="AW1232" s="140">
        <v>0.1</v>
      </c>
      <c r="AX1232" s="141">
        <v>9.619298839630251E-5</v>
      </c>
      <c r="AY1232" s="205">
        <v>1E-8</v>
      </c>
      <c r="AZ1232" s="209">
        <v>375.61046533258963</v>
      </c>
      <c r="BA1232" s="140">
        <v>9.619298839630251E-5</v>
      </c>
      <c r="BB1232" s="253">
        <v>13.067912424563321</v>
      </c>
      <c r="BC1232" s="245">
        <v>34.206076886055506</v>
      </c>
      <c r="BD1232" s="210">
        <v>14183.809388664371</v>
      </c>
      <c r="BE1232" s="245">
        <v>16.449291991866332</v>
      </c>
      <c r="BF1232" s="210">
        <v>603668.88407412299</v>
      </c>
      <c r="BG1232" t="s">
        <v>389</v>
      </c>
      <c r="BH1232" s="140">
        <v>1.8089467862357306E-6</v>
      </c>
      <c r="BI1232" s="140">
        <v>1341838.0938866436</v>
      </c>
      <c r="BJ1232">
        <f t="shared" si="73"/>
        <v>0.44988205866595404</v>
      </c>
    </row>
    <row r="1233" spans="1:62" x14ac:dyDescent="0.3">
      <c r="A1233">
        <v>-0.1</v>
      </c>
      <c r="B1233" s="146">
        <v>1000</v>
      </c>
      <c r="C1233" s="146">
        <v>25</v>
      </c>
      <c r="D1233" s="146">
        <v>400</v>
      </c>
      <c r="E1233" s="249">
        <v>17.483730459256975</v>
      </c>
      <c r="F1233">
        <v>6.5563586286886455</v>
      </c>
      <c r="G1233">
        <v>21.495299068970581</v>
      </c>
      <c r="H1233">
        <v>0</v>
      </c>
      <c r="J1233">
        <v>1.415801589547576E-4</v>
      </c>
      <c r="K1233">
        <v>1E-8</v>
      </c>
      <c r="L1233">
        <v>106.42732412340513</v>
      </c>
      <c r="M1233">
        <v>63.856393977382218</v>
      </c>
      <c r="N1233">
        <v>-2.5693431365626214E-3</v>
      </c>
      <c r="Z1233" t="s">
        <v>35</v>
      </c>
      <c r="AL1233">
        <v>293.27013543102413</v>
      </c>
      <c r="AM1233">
        <v>0.30501360356288509</v>
      </c>
      <c r="AN1233">
        <v>0.2822714924342492</v>
      </c>
      <c r="AO1233">
        <v>338.06058731442909</v>
      </c>
      <c r="AP1233">
        <v>294.55480699930541</v>
      </c>
      <c r="AQ1233" t="s">
        <v>302</v>
      </c>
      <c r="AR1233">
        <v>0</v>
      </c>
      <c r="AS1233">
        <v>0</v>
      </c>
      <c r="AT1233">
        <v>0</v>
      </c>
      <c r="AU1233">
        <v>0</v>
      </c>
      <c r="AV1233">
        <v>0</v>
      </c>
      <c r="AW1233" s="146">
        <v>3</v>
      </c>
      <c r="AX1233" s="141">
        <v>1.4173014103535832E-4</v>
      </c>
      <c r="AY1233" s="141">
        <v>1E-8</v>
      </c>
      <c r="AZ1233" s="209">
        <v>294.55480699930541</v>
      </c>
      <c r="BA1233" s="198">
        <v>1.4173014103535832E-4</v>
      </c>
      <c r="BB1233" s="249">
        <v>67.138981431430025</v>
      </c>
      <c r="BC1233" s="243">
        <v>202.66771838164584</v>
      </c>
      <c r="BD1233" s="209">
        <v>115884.30697401146</v>
      </c>
      <c r="BE1233" s="244">
        <v>90.68799976606806</v>
      </c>
      <c r="BF1233" s="209">
        <v>339226.54971658927</v>
      </c>
      <c r="BG1233" t="s">
        <v>390</v>
      </c>
      <c r="BH1233">
        <v>6.2214150039407179E-6</v>
      </c>
      <c r="BI1233">
        <v>2358843.0697401147</v>
      </c>
      <c r="BJ1233">
        <f t="shared" si="73"/>
        <v>0.14381056292734368</v>
      </c>
    </row>
    <row r="1234" spans="1:62" x14ac:dyDescent="0.3">
      <c r="A1234">
        <v>-0.2</v>
      </c>
      <c r="B1234" s="146">
        <v>1000</v>
      </c>
      <c r="C1234" s="146">
        <v>25</v>
      </c>
      <c r="D1234" s="146">
        <v>400</v>
      </c>
      <c r="E1234" s="249">
        <v>17.326475321408203</v>
      </c>
      <c r="F1234">
        <v>6.679479579870633</v>
      </c>
      <c r="G1234">
        <v>21.4032318750264</v>
      </c>
      <c r="H1234">
        <v>0</v>
      </c>
      <c r="J1234">
        <v>1.401303232070253E-4</v>
      </c>
      <c r="K1234">
        <v>1E-8</v>
      </c>
      <c r="L1234">
        <v>106.59540415629819</v>
      </c>
      <c r="M1234">
        <v>63.957241996333693</v>
      </c>
      <c r="N1234">
        <v>-2.521438316188175E-3</v>
      </c>
      <c r="Z1234" t="s">
        <v>35</v>
      </c>
      <c r="AL1234">
        <v>286.62627946855861</v>
      </c>
      <c r="AM1234">
        <v>0.31207808329471709</v>
      </c>
      <c r="AN1234">
        <v>0.25111364362249933</v>
      </c>
      <c r="AO1234">
        <v>331.00145786003088</v>
      </c>
      <c r="AP1234">
        <v>287.88699862665277</v>
      </c>
      <c r="AQ1234" t="s">
        <v>302</v>
      </c>
      <c r="AR1234">
        <v>0</v>
      </c>
      <c r="AS1234">
        <v>0</v>
      </c>
      <c r="AT1234">
        <v>0</v>
      </c>
      <c r="AU1234">
        <v>0</v>
      </c>
      <c r="AV1234">
        <v>0</v>
      </c>
      <c r="AW1234" s="146">
        <v>3</v>
      </c>
      <c r="AX1234" s="141">
        <v>1.4027983688240953E-4</v>
      </c>
      <c r="AY1234" s="141">
        <v>1E-8</v>
      </c>
      <c r="AZ1234" s="209">
        <v>287.88699862665277</v>
      </c>
      <c r="BA1234">
        <v>1.4027983688240953E-4</v>
      </c>
      <c r="BB1234" s="249">
        <v>67.90405064506848</v>
      </c>
      <c r="BC1234" s="243">
        <v>203.17743715385035</v>
      </c>
      <c r="BD1234" s="209">
        <v>116727.97919880266</v>
      </c>
      <c r="BE1234" s="244">
        <v>91.629268319302625</v>
      </c>
      <c r="BF1234" s="209">
        <v>337076.83837331249</v>
      </c>
      <c r="BG1234" t="s">
        <v>390</v>
      </c>
      <c r="BH1234">
        <v>6.148708821935203E-6</v>
      </c>
      <c r="BI1234">
        <v>2367279.7919880264</v>
      </c>
      <c r="BJ1234">
        <f t="shared" si="73"/>
        <v>0.142389944574417</v>
      </c>
    </row>
    <row r="1235" spans="1:62" x14ac:dyDescent="0.3">
      <c r="A1235">
        <v>-0.3</v>
      </c>
      <c r="B1235" s="146">
        <v>1000</v>
      </c>
      <c r="C1235" s="146">
        <v>25</v>
      </c>
      <c r="D1235" s="146">
        <v>400</v>
      </c>
      <c r="E1235" s="249">
        <v>17.112191894400723</v>
      </c>
      <c r="F1235">
        <v>6.8343065426478233</v>
      </c>
      <c r="G1235">
        <v>21.270374296799499</v>
      </c>
      <c r="H1235">
        <v>0</v>
      </c>
      <c r="J1235">
        <v>1.3833452264529279E-4</v>
      </c>
      <c r="K1235">
        <v>1E-8</v>
      </c>
      <c r="L1235">
        <v>106.74237507065868</v>
      </c>
      <c r="M1235">
        <v>64.045424544264122</v>
      </c>
      <c r="N1235">
        <v>-2.4599704571745024E-3</v>
      </c>
      <c r="Z1235" t="s">
        <v>35</v>
      </c>
      <c r="AL1235">
        <v>278.38857629854954</v>
      </c>
      <c r="AM1235">
        <v>0.32130636007078467</v>
      </c>
      <c r="AN1235">
        <v>0.21995048802335837</v>
      </c>
      <c r="AO1235">
        <v>322.19980029058434</v>
      </c>
      <c r="AP1235">
        <v>279.61856152713682</v>
      </c>
      <c r="AQ1235" t="s">
        <v>302</v>
      </c>
      <c r="AR1235">
        <v>0</v>
      </c>
      <c r="AS1235">
        <v>0</v>
      </c>
      <c r="AT1235">
        <v>0</v>
      </c>
      <c r="AU1235">
        <v>0</v>
      </c>
      <c r="AV1235">
        <v>0</v>
      </c>
      <c r="AW1235" s="146">
        <v>3</v>
      </c>
      <c r="AX1235" s="141">
        <v>1.3848334938226597E-4</v>
      </c>
      <c r="AY1235" s="141">
        <v>1E-8</v>
      </c>
      <c r="AZ1235" s="209">
        <v>279.61856152713682</v>
      </c>
      <c r="BA1235">
        <v>1.3848334938226597E-4</v>
      </c>
      <c r="BB1235" s="249">
        <v>68.849058576112029</v>
      </c>
      <c r="BC1235" s="243">
        <v>203.62413728807655</v>
      </c>
      <c r="BD1235" s="209">
        <v>117696.82254336464</v>
      </c>
      <c r="BE1235" s="244">
        <v>92.787515141869292</v>
      </c>
      <c r="BF1235" s="209">
        <v>333770.75039356755</v>
      </c>
      <c r="BG1235" t="s">
        <v>390</v>
      </c>
      <c r="BH1235">
        <v>6.0552803357649984E-6</v>
      </c>
      <c r="BI1235">
        <v>2376968.2254336467</v>
      </c>
      <c r="BJ1235">
        <f t="shared" si="73"/>
        <v>0.14041868411289993</v>
      </c>
    </row>
    <row r="1236" spans="1:62" x14ac:dyDescent="0.3">
      <c r="A1236">
        <v>-0.4</v>
      </c>
      <c r="B1236" s="146">
        <v>1000</v>
      </c>
      <c r="C1236" s="146">
        <v>25</v>
      </c>
      <c r="D1236" s="146">
        <v>400</v>
      </c>
      <c r="E1236" s="249">
        <v>16.828366143915833</v>
      </c>
      <c r="F1236">
        <v>7.0469413668014838</v>
      </c>
      <c r="G1236">
        <v>21.098733586099332</v>
      </c>
      <c r="H1236">
        <v>0</v>
      </c>
      <c r="J1236">
        <v>1.3607650569781555E-4</v>
      </c>
      <c r="K1236">
        <v>1E-8</v>
      </c>
      <c r="L1236">
        <v>106.98878645034746</v>
      </c>
      <c r="M1236">
        <v>64.193271370927462</v>
      </c>
      <c r="N1236">
        <v>-2.3818997746021652E-3</v>
      </c>
      <c r="Z1236" t="s">
        <v>35</v>
      </c>
      <c r="AL1236">
        <v>267.80209238011645</v>
      </c>
      <c r="AM1236">
        <v>0.3339983102798304</v>
      </c>
      <c r="AN1236">
        <v>0.18880296942657168</v>
      </c>
      <c r="AO1236">
        <v>310.86810660326694</v>
      </c>
      <c r="AP1236">
        <v>268.99304226741754</v>
      </c>
      <c r="AQ1236" t="s">
        <v>302</v>
      </c>
      <c r="AR1236">
        <v>0</v>
      </c>
      <c r="AS1236">
        <v>0</v>
      </c>
      <c r="AT1236">
        <v>0</v>
      </c>
      <c r="AU1236">
        <v>0</v>
      </c>
      <c r="AV1236">
        <v>0</v>
      </c>
      <c r="AW1236" s="146">
        <v>3</v>
      </c>
      <c r="AX1236" s="141">
        <v>1.3622450753488882E-4</v>
      </c>
      <c r="AY1236" s="141">
        <v>1E-8</v>
      </c>
      <c r="AZ1236" s="209">
        <v>268.99304226741754</v>
      </c>
      <c r="BA1236">
        <v>1.3622450753488882E-4</v>
      </c>
      <c r="BB1236" s="249">
        <v>70.157726842206714</v>
      </c>
      <c r="BC1236" s="243">
        <v>204.37517265674504</v>
      </c>
      <c r="BD1236" s="209">
        <v>119086.31496090809</v>
      </c>
      <c r="BE1236" s="244">
        <v>94.383530856357226</v>
      </c>
      <c r="BF1236" s="209">
        <v>329498.67962106317</v>
      </c>
      <c r="BG1236" t="s">
        <v>390</v>
      </c>
      <c r="BH1236">
        <v>5.9295522949404411E-6</v>
      </c>
      <c r="BI1236">
        <v>2390863.149609081</v>
      </c>
      <c r="BJ1236">
        <f t="shared" si="73"/>
        <v>0.1378157840924262</v>
      </c>
    </row>
    <row r="1237" spans="1:62" x14ac:dyDescent="0.3">
      <c r="A1237">
        <v>-0.5</v>
      </c>
      <c r="B1237" s="146">
        <v>1000</v>
      </c>
      <c r="C1237" s="146">
        <v>25</v>
      </c>
      <c r="D1237" s="146">
        <v>400</v>
      </c>
      <c r="E1237" s="249">
        <v>16.417867748234617</v>
      </c>
      <c r="F1237">
        <v>7.3433519571995118</v>
      </c>
      <c r="G1237">
        <v>20.844149758361599</v>
      </c>
      <c r="H1237">
        <v>0</v>
      </c>
      <c r="J1237">
        <v>1.3308513675593301E-4</v>
      </c>
      <c r="K1237">
        <v>1E-8</v>
      </c>
      <c r="L1237">
        <v>107.28382064906346</v>
      </c>
      <c r="M1237">
        <v>64.37029188878023</v>
      </c>
      <c r="N1237">
        <v>-2.2758312046917044E-3</v>
      </c>
      <c r="Z1237" t="s">
        <v>35</v>
      </c>
      <c r="AL1237">
        <v>253.88261975321626</v>
      </c>
      <c r="AM1237">
        <v>0.35229798491798581</v>
      </c>
      <c r="AN1237">
        <v>0.15767354820217327</v>
      </c>
      <c r="AO1237">
        <v>295.87430526277507</v>
      </c>
      <c r="AP1237">
        <v>255.02053535556212</v>
      </c>
      <c r="AQ1237" t="s">
        <v>302</v>
      </c>
      <c r="AR1237">
        <v>0</v>
      </c>
      <c r="AS1237">
        <v>0</v>
      </c>
      <c r="AT1237">
        <v>0</v>
      </c>
      <c r="AU1237">
        <v>0</v>
      </c>
      <c r="AV1237">
        <v>0</v>
      </c>
      <c r="AW1237" s="146">
        <v>3</v>
      </c>
      <c r="AX1237" s="141">
        <v>1.3323172607336786E-4</v>
      </c>
      <c r="AY1237" s="141">
        <v>1E-8</v>
      </c>
      <c r="AZ1237" s="209">
        <v>255.02053535556212</v>
      </c>
      <c r="BA1237">
        <v>1.3323172607336786E-4</v>
      </c>
      <c r="BB1237" s="249">
        <v>71.966677337271022</v>
      </c>
      <c r="BC1237" s="243">
        <v>205.27788592942292</v>
      </c>
      <c r="BD1237" s="209">
        <v>120939.91905052899</v>
      </c>
      <c r="BE1237" s="244">
        <v>96.56452668146855</v>
      </c>
      <c r="BF1237" s="209">
        <v>322897.5497702104</v>
      </c>
      <c r="BG1237" t="s">
        <v>390</v>
      </c>
      <c r="BH1237">
        <v>5.753666007509961E-6</v>
      </c>
      <c r="BI1237">
        <v>2409399.1905052899</v>
      </c>
      <c r="BJ1237">
        <f t="shared" si="73"/>
        <v>0.1340157957397228</v>
      </c>
    </row>
    <row r="1238" spans="1:62" x14ac:dyDescent="0.3">
      <c r="A1238">
        <v>-0.6</v>
      </c>
      <c r="B1238" s="146">
        <v>1000</v>
      </c>
      <c r="C1238" s="146">
        <v>25</v>
      </c>
      <c r="D1238" s="146">
        <v>400</v>
      </c>
      <c r="E1238" s="249">
        <v>15.821473311048406</v>
      </c>
      <c r="F1238">
        <v>7.8289051774002347</v>
      </c>
      <c r="G1238">
        <v>20.505166001906606</v>
      </c>
      <c r="H1238">
        <v>0</v>
      </c>
      <c r="J1238">
        <v>1.283908623319713E-4</v>
      </c>
      <c r="K1238">
        <v>1E-8</v>
      </c>
      <c r="L1238">
        <v>107.89509296958502</v>
      </c>
      <c r="M1238">
        <v>64.737055278240575</v>
      </c>
      <c r="N1238">
        <v>-2.1207230910760691E-3</v>
      </c>
      <c r="Z1238" t="s">
        <v>35</v>
      </c>
      <c r="AL1238">
        <v>234.25352744890282</v>
      </c>
      <c r="AM1238">
        <v>0.38180159949313697</v>
      </c>
      <c r="AN1238">
        <v>0.12625211846374412</v>
      </c>
      <c r="AO1238">
        <v>274.68350231610674</v>
      </c>
      <c r="AP1238">
        <v>235.31388899444084</v>
      </c>
      <c r="AQ1238" t="s">
        <v>302</v>
      </c>
      <c r="AR1238">
        <v>0</v>
      </c>
      <c r="AS1238">
        <v>0</v>
      </c>
      <c r="AT1238">
        <v>0</v>
      </c>
      <c r="AU1238">
        <v>0</v>
      </c>
      <c r="AV1238">
        <v>0</v>
      </c>
      <c r="AW1238" s="146">
        <v>3</v>
      </c>
      <c r="AX1238" s="141">
        <v>1.2853618140986044E-4</v>
      </c>
      <c r="AY1238" s="141">
        <v>1E-8</v>
      </c>
      <c r="AZ1238" s="209">
        <v>235.31388899444084</v>
      </c>
      <c r="BA1238">
        <v>1.2853618140986044E-4</v>
      </c>
      <c r="BB1238" s="249">
        <v>75.007990262323489</v>
      </c>
      <c r="BC1238" s="243">
        <v>207.16039765177987</v>
      </c>
      <c r="BD1238" s="209">
        <v>124417.12850668629</v>
      </c>
      <c r="BE1238" s="244">
        <v>100.53564321145271</v>
      </c>
      <c r="BF1238" s="209">
        <v>314209.21809148177</v>
      </c>
      <c r="BG1238" t="s">
        <v>390</v>
      </c>
      <c r="BH1238">
        <v>5.4826251217546045E-6</v>
      </c>
      <c r="BI1238">
        <v>2444171.2850668626</v>
      </c>
      <c r="BJ1238">
        <f t="shared" si="73"/>
        <v>0.12855450025585513</v>
      </c>
    </row>
    <row r="1239" spans="1:62" x14ac:dyDescent="0.3">
      <c r="A1239">
        <v>-0.7</v>
      </c>
      <c r="B1239" s="146">
        <v>1000</v>
      </c>
      <c r="C1239" s="146">
        <v>25</v>
      </c>
      <c r="D1239" s="146">
        <v>400</v>
      </c>
      <c r="E1239" s="249">
        <v>14.782696719728341</v>
      </c>
      <c r="F1239">
        <v>8.5792353689045218</v>
      </c>
      <c r="G1239">
        <v>19.861161777425732</v>
      </c>
      <c r="H1239">
        <v>0</v>
      </c>
      <c r="J1239">
        <v>1.2304298371126695E-4</v>
      </c>
      <c r="K1239">
        <v>1E-8</v>
      </c>
      <c r="L1239">
        <v>108.67959054854909</v>
      </c>
      <c r="M1239">
        <v>65.207753821958036</v>
      </c>
      <c r="N1239">
        <v>-1.9068405908858842E-3</v>
      </c>
      <c r="Z1239" t="s">
        <v>35</v>
      </c>
      <c r="AL1239">
        <v>207.03605720305063</v>
      </c>
      <c r="AM1239">
        <v>0.43196039914722972</v>
      </c>
      <c r="AN1239">
        <v>9.5233448958009725E-2</v>
      </c>
      <c r="AO1239">
        <v>244.77411160183522</v>
      </c>
      <c r="AP1239">
        <v>207.98947749849359</v>
      </c>
      <c r="AQ1239" t="s">
        <v>302</v>
      </c>
      <c r="AR1239">
        <v>0</v>
      </c>
      <c r="AS1239">
        <v>0</v>
      </c>
      <c r="AT1239">
        <v>0</v>
      </c>
      <c r="AU1239">
        <v>0</v>
      </c>
      <c r="AV1239">
        <v>0</v>
      </c>
      <c r="AW1239" s="146">
        <v>3</v>
      </c>
      <c r="AX1239" s="141">
        <v>1.2318512202331267E-4</v>
      </c>
      <c r="AY1239" s="141">
        <v>1E-8</v>
      </c>
      <c r="AZ1239" s="209">
        <v>207.98947749849359</v>
      </c>
      <c r="BA1239">
        <v>1.2318512202331267E-4</v>
      </c>
      <c r="BB1239" s="249">
        <v>79.587591913464664</v>
      </c>
      <c r="BC1239" s="243">
        <v>209.60091568136116</v>
      </c>
      <c r="BD1239" s="209">
        <v>129117.67899727607</v>
      </c>
      <c r="BE1239" s="244">
        <v>105.93803361669133</v>
      </c>
      <c r="BF1239" s="209">
        <v>296099.9002866621</v>
      </c>
      <c r="BG1239" t="s">
        <v>390</v>
      </c>
      <c r="BH1239">
        <v>5.0540592103535326E-6</v>
      </c>
      <c r="BI1239">
        <v>2491176.7899727607</v>
      </c>
      <c r="BJ1239">
        <f t="shared" si="73"/>
        <v>0.11885944886709536</v>
      </c>
    </row>
    <row r="1240" spans="1:62" x14ac:dyDescent="0.3">
      <c r="A1240">
        <v>-0.8</v>
      </c>
      <c r="B1240" s="146">
        <v>1000</v>
      </c>
      <c r="C1240" s="146">
        <v>25</v>
      </c>
      <c r="D1240" s="146">
        <v>400</v>
      </c>
      <c r="E1240" s="249">
        <v>12.817860315536423</v>
      </c>
      <c r="F1240">
        <v>9.9794340746543444</v>
      </c>
      <c r="G1240">
        <v>18.631399284281358</v>
      </c>
      <c r="H1240">
        <v>0</v>
      </c>
      <c r="J1240">
        <v>1.1421659649318151E-4</v>
      </c>
      <c r="K1240">
        <v>1E-8</v>
      </c>
      <c r="L1240">
        <v>109.85342565591182</v>
      </c>
      <c r="M1240">
        <v>65.91205488089777</v>
      </c>
      <c r="N1240">
        <v>-1.549706077042298E-3</v>
      </c>
      <c r="Z1240" t="s">
        <v>35</v>
      </c>
      <c r="AL1240">
        <v>166.96059004736142</v>
      </c>
      <c r="AM1240">
        <v>0.53562450798172923</v>
      </c>
      <c r="AN1240">
        <v>6.3971228261274243E-2</v>
      </c>
      <c r="AO1240">
        <v>199.63085493395366</v>
      </c>
      <c r="AP1240">
        <v>167.73544308588259</v>
      </c>
      <c r="AQ1240" t="s">
        <v>302</v>
      </c>
      <c r="AR1240">
        <v>0</v>
      </c>
      <c r="AS1240">
        <v>0</v>
      </c>
      <c r="AT1240">
        <v>0</v>
      </c>
      <c r="AU1240">
        <v>0</v>
      </c>
      <c r="AV1240">
        <v>0</v>
      </c>
      <c r="AW1240" s="146">
        <v>3</v>
      </c>
      <c r="AX1240" s="141">
        <v>1.1435094060448386E-4</v>
      </c>
      <c r="AY1240" s="141">
        <v>1E-8</v>
      </c>
      <c r="AZ1240" s="209">
        <v>167.73544308588259</v>
      </c>
      <c r="BA1240">
        <v>1.1435094060448386E-4</v>
      </c>
      <c r="BB1240" s="249">
        <v>88.105652809313668</v>
      </c>
      <c r="BC1240" s="243">
        <v>213.30545731992268</v>
      </c>
      <c r="BD1240" s="209">
        <v>137742.65841492524</v>
      </c>
      <c r="BE1240" s="244">
        <v>116.2233152471824</v>
      </c>
      <c r="BF1240" s="209">
        <v>265957.22340277949</v>
      </c>
      <c r="BG1240" t="s">
        <v>390</v>
      </c>
      <c r="BH1240">
        <v>4.2643100628555713E-6</v>
      </c>
      <c r="BI1240">
        <v>2577426.5841492526</v>
      </c>
      <c r="BJ1240">
        <f t="shared" si="73"/>
        <v>0.10318711890316196</v>
      </c>
    </row>
    <row r="1241" spans="1:62" x14ac:dyDescent="0.3">
      <c r="A1241">
        <v>-0.85</v>
      </c>
      <c r="B1241" s="146">
        <v>1000</v>
      </c>
      <c r="C1241" s="146">
        <v>25</v>
      </c>
      <c r="D1241" s="146">
        <v>400</v>
      </c>
      <c r="E1241" s="249">
        <v>8.8564308990141747</v>
      </c>
      <c r="F1241">
        <v>5.3700046469059268</v>
      </c>
      <c r="G1241">
        <v>11.973456040773995</v>
      </c>
      <c r="H1241">
        <v>0</v>
      </c>
      <c r="J1241">
        <v>8.8789764313996702E-5</v>
      </c>
      <c r="K1241">
        <v>1E-8</v>
      </c>
      <c r="L1241">
        <v>68.560316386738634</v>
      </c>
      <c r="M1241">
        <v>41.136189512095036</v>
      </c>
      <c r="N1241">
        <v>-8.2292534683156646E-4</v>
      </c>
      <c r="Z1241" t="s">
        <v>35</v>
      </c>
      <c r="AL1241">
        <v>199.91115689483001</v>
      </c>
      <c r="AM1241">
        <v>0.44849245101991425</v>
      </c>
      <c r="AN1241">
        <v>4.9856223901313272E-2</v>
      </c>
      <c r="AO1241">
        <v>222.36057595246626</v>
      </c>
      <c r="AP1241">
        <v>200.32261956824581</v>
      </c>
      <c r="AQ1241" t="s">
        <v>302</v>
      </c>
      <c r="AR1241">
        <v>0</v>
      </c>
      <c r="AS1241">
        <v>0</v>
      </c>
      <c r="AT1241">
        <v>0</v>
      </c>
      <c r="AU1241">
        <v>0</v>
      </c>
      <c r="AV1241">
        <v>0</v>
      </c>
      <c r="AW1241" s="146">
        <v>3</v>
      </c>
      <c r="AX1241" s="141">
        <v>8.882649012354458E-5</v>
      </c>
      <c r="AY1241" s="141">
        <v>1E-8</v>
      </c>
      <c r="AZ1241" s="209">
        <v>200.32261956824581</v>
      </c>
      <c r="BA1241">
        <v>8.882649012354458E-5</v>
      </c>
      <c r="BB1241" s="249">
        <v>49.358047453704948</v>
      </c>
      <c r="BC1241" s="243">
        <v>110.46760437762684</v>
      </c>
      <c r="BD1241" s="209">
        <v>62885.834452608258</v>
      </c>
      <c r="BE1241" s="244">
        <v>62.341522945115891</v>
      </c>
      <c r="BF1241" s="209">
        <v>639178.45103597699</v>
      </c>
      <c r="BG1241" t="s">
        <v>390</v>
      </c>
      <c r="BH1241">
        <v>3.2675932049526264E-6</v>
      </c>
      <c r="BI1241">
        <v>1828858.3445260827</v>
      </c>
      <c r="BJ1241">
        <f t="shared" si="73"/>
        <v>0.34949587700386336</v>
      </c>
    </row>
    <row r="1242" spans="1:62" s="140" customFormat="1" x14ac:dyDescent="0.3">
      <c r="A1242" s="140">
        <v>-0.87</v>
      </c>
      <c r="B1242" s="140">
        <v>1000</v>
      </c>
      <c r="C1242" s="140">
        <v>25</v>
      </c>
      <c r="D1242" s="140">
        <v>400</v>
      </c>
      <c r="E1242" s="253">
        <v>3.2865356645164732</v>
      </c>
      <c r="F1242" s="140">
        <v>1.1223229668806944</v>
      </c>
      <c r="G1242" s="140">
        <v>3.9557826881782474</v>
      </c>
      <c r="H1242" s="140">
        <v>0</v>
      </c>
      <c r="J1242" s="140">
        <v>8.662731088012848E-5</v>
      </c>
      <c r="K1242" s="140">
        <v>1E-8</v>
      </c>
      <c r="L1242" s="140">
        <v>20.291356223196175</v>
      </c>
      <c r="M1242" s="140">
        <v>12.174813639224707</v>
      </c>
      <c r="N1242" s="140">
        <v>-2.9395178360717262E-4</v>
      </c>
      <c r="Z1242" s="140" t="s">
        <v>35</v>
      </c>
      <c r="AL1242" s="140">
        <v>316.51771478287031</v>
      </c>
      <c r="AM1242" s="140">
        <v>0.2837170429595961</v>
      </c>
      <c r="AN1242" s="140">
        <v>4.3728798717661083E-2</v>
      </c>
      <c r="AO1242" s="140">
        <v>324.84276355871822</v>
      </c>
      <c r="AP1242" s="140">
        <v>316.66469067467392</v>
      </c>
      <c r="AQ1242" s="140" t="s">
        <v>302</v>
      </c>
      <c r="AR1242" s="140">
        <v>0</v>
      </c>
      <c r="AS1242" s="140">
        <v>0</v>
      </c>
      <c r="AT1242" s="140">
        <v>0</v>
      </c>
      <c r="AU1242" s="140">
        <v>0</v>
      </c>
      <c r="AV1242" s="140">
        <v>0</v>
      </c>
      <c r="AW1242" s="146">
        <v>3</v>
      </c>
      <c r="AX1242" s="141">
        <v>8.6634000357234896E-5</v>
      </c>
      <c r="AY1242" s="205">
        <v>1E-8</v>
      </c>
      <c r="AZ1242" s="209">
        <v>316.66469067467392</v>
      </c>
      <c r="BA1242" s="140">
        <v>8.6634000357234896E-5</v>
      </c>
      <c r="BB1242" s="253">
        <v>11.769106580406596</v>
      </c>
      <c r="BC1242" s="245">
        <v>28.556327507965552</v>
      </c>
      <c r="BD1242" s="210">
        <v>11976.653536063312</v>
      </c>
      <c r="BE1242" s="245">
        <v>14.677888580605343</v>
      </c>
      <c r="BF1242" s="210">
        <v>805007.43401016656</v>
      </c>
      <c r="BG1242" s="254" t="s">
        <v>390</v>
      </c>
      <c r="BH1242" s="140">
        <v>1.1699647918347968E-6</v>
      </c>
      <c r="BI1242" s="140">
        <v>1319766.5353606332</v>
      </c>
      <c r="BJ1242">
        <f t="shared" si="73"/>
        <v>0.60996199891535663</v>
      </c>
    </row>
    <row r="1243" spans="1:62" x14ac:dyDescent="0.3">
      <c r="A1243">
        <v>-0.1</v>
      </c>
      <c r="B1243" s="146">
        <v>100</v>
      </c>
      <c r="C1243" s="146">
        <v>25</v>
      </c>
      <c r="D1243" s="146">
        <v>400</v>
      </c>
      <c r="E1243" s="249">
        <v>3.3611560946541923</v>
      </c>
      <c r="F1243">
        <v>0.9581469474347919</v>
      </c>
      <c r="G1243">
        <v>4.0690343360304704</v>
      </c>
      <c r="H1243">
        <v>0</v>
      </c>
      <c r="J1243">
        <v>5.9342723248291346E-2</v>
      </c>
      <c r="K1243">
        <v>1E-8</v>
      </c>
      <c r="L1243">
        <v>17.467494634622398</v>
      </c>
      <c r="M1243">
        <v>10.480496699258463</v>
      </c>
      <c r="N1243">
        <v>0.22359661229367539</v>
      </c>
      <c r="Z1243" t="s">
        <v>35</v>
      </c>
      <c r="AL1243">
        <v>487.59131450481715</v>
      </c>
      <c r="AM1243">
        <v>0.23547280959283037</v>
      </c>
      <c r="AN1243">
        <v>0.21215085511891008</v>
      </c>
      <c r="AO1243">
        <v>384.15676386140291</v>
      </c>
      <c r="AP1243">
        <v>375.79300835797949</v>
      </c>
      <c r="AQ1243" t="s">
        <v>308</v>
      </c>
      <c r="AR1243">
        <v>0</v>
      </c>
      <c r="AS1243">
        <v>0</v>
      </c>
      <c r="AT1243">
        <v>0</v>
      </c>
      <c r="AU1243">
        <v>1</v>
      </c>
      <c r="AV1243">
        <v>0.1</v>
      </c>
      <c r="AW1243">
        <v>3</v>
      </c>
      <c r="AX1243" s="141">
        <v>5.4287506622658653E-2</v>
      </c>
      <c r="AY1243" s="141">
        <v>1E-8</v>
      </c>
      <c r="AZ1243" s="209">
        <v>375.79300835797949</v>
      </c>
      <c r="BA1243">
        <v>5.4287506622658653E-2</v>
      </c>
      <c r="BB1243" s="249">
        <v>10.736993136250268</v>
      </c>
      <c r="BC1243" s="243">
        <v>70.200439305102591</v>
      </c>
      <c r="BD1243" s="209">
        <v>26397.022370324812</v>
      </c>
      <c r="BE1243" s="243">
        <v>21.321467758450193</v>
      </c>
      <c r="BF1243">
        <v>19515.758248542756</v>
      </c>
      <c r="BG1243" t="s">
        <v>387</v>
      </c>
      <c r="BH1243">
        <v>2.0595756087931843E-6</v>
      </c>
      <c r="BI1243">
        <v>1463970.2237032482</v>
      </c>
      <c r="BJ1243">
        <f t="shared" si="73"/>
        <v>1.3330707095377828E-2</v>
      </c>
    </row>
    <row r="1244" spans="1:62" x14ac:dyDescent="0.3">
      <c r="A1244">
        <v>-0.1</v>
      </c>
      <c r="B1244" s="146">
        <v>200</v>
      </c>
      <c r="C1244" s="146">
        <v>25</v>
      </c>
      <c r="D1244" s="146">
        <v>400</v>
      </c>
      <c r="E1244" s="249">
        <v>6.0991080274538634</v>
      </c>
      <c r="F1244">
        <v>1.7900402557491635</v>
      </c>
      <c r="G1244">
        <v>7.3335769907029</v>
      </c>
      <c r="H1244">
        <v>0</v>
      </c>
      <c r="J1244">
        <v>5.993459558084005E-2</v>
      </c>
      <c r="K1244">
        <v>1E-8</v>
      </c>
      <c r="L1244">
        <v>32.326888225180653</v>
      </c>
      <c r="M1244">
        <v>19.396132784249584</v>
      </c>
      <c r="N1244">
        <v>0.37808049227227214</v>
      </c>
      <c r="Z1244" t="s">
        <v>35</v>
      </c>
      <c r="AL1244">
        <v>548.01083616406038</v>
      </c>
      <c r="AM1244">
        <v>0.24408828843257208</v>
      </c>
      <c r="AN1244">
        <v>0.23591870605712426</v>
      </c>
      <c r="AO1244">
        <v>374.14741658519841</v>
      </c>
      <c r="AP1244">
        <v>358.97059002792435</v>
      </c>
      <c r="AQ1244" t="s">
        <v>308</v>
      </c>
      <c r="AR1244">
        <v>0</v>
      </c>
      <c r="AS1244">
        <v>0</v>
      </c>
      <c r="AT1244">
        <v>0</v>
      </c>
      <c r="AU1244">
        <v>1</v>
      </c>
      <c r="AV1244">
        <v>0.1</v>
      </c>
      <c r="AW1244">
        <v>3</v>
      </c>
      <c r="AX1244" s="141">
        <v>5.4781427657876997E-2</v>
      </c>
      <c r="AY1244" s="141">
        <v>1E-8</v>
      </c>
      <c r="AZ1244" s="209">
        <v>358.97059002792435</v>
      </c>
      <c r="BA1244">
        <v>5.4781427657876997E-2</v>
      </c>
      <c r="BB1244" s="249">
        <v>19.786660477067549</v>
      </c>
      <c r="BC1244" s="243">
        <v>101.94765773138643</v>
      </c>
      <c r="BD1244" s="209">
        <v>42990.307818567991</v>
      </c>
      <c r="BE1244" s="243">
        <v>33.831876418395588</v>
      </c>
      <c r="BF1244">
        <v>53673.4646959534</v>
      </c>
      <c r="BG1244" t="s">
        <v>387</v>
      </c>
      <c r="BH1244">
        <v>3.40783145635856E-6</v>
      </c>
      <c r="BI1244">
        <v>1629903.0781856799</v>
      </c>
      <c r="BJ1244">
        <f t="shared" si="73"/>
        <v>3.2930464034523946E-2</v>
      </c>
    </row>
    <row r="1245" spans="1:62" x14ac:dyDescent="0.3">
      <c r="A1245">
        <v>-0.1</v>
      </c>
      <c r="B1245" s="146">
        <v>300</v>
      </c>
      <c r="C1245" s="146">
        <v>25</v>
      </c>
      <c r="D1245" s="146">
        <v>400</v>
      </c>
      <c r="E1245" s="252">
        <v>8.406595271104484</v>
      </c>
      <c r="F1245" s="146">
        <v>2.5434462508240947</v>
      </c>
      <c r="G1245" s="146">
        <v>10.100392768032943</v>
      </c>
      <c r="H1245" s="146">
        <v>0</v>
      </c>
      <c r="I1245" s="146"/>
      <c r="J1245" s="146">
        <v>6.0618875340621339E-2</v>
      </c>
      <c r="K1245" s="146">
        <v>1E-8</v>
      </c>
      <c r="L1245" s="146">
        <v>45.430801019624781</v>
      </c>
      <c r="M1245" s="146">
        <v>27.258480399764462</v>
      </c>
      <c r="N1245" s="146">
        <v>0.49906868315582864</v>
      </c>
      <c r="O1245" s="146"/>
      <c r="P1245" s="146"/>
      <c r="Q1245" s="146"/>
      <c r="R1245" s="146"/>
      <c r="S1245" s="146"/>
      <c r="T1245" s="146"/>
      <c r="U1245" s="146"/>
      <c r="V1245" s="146"/>
      <c r="W1245" s="146"/>
      <c r="X1245" s="146"/>
      <c r="Y1245" s="146"/>
      <c r="Z1245" s="146" t="s">
        <v>35</v>
      </c>
      <c r="AA1245" s="146"/>
      <c r="AB1245" s="146"/>
      <c r="AC1245" s="146"/>
      <c r="AD1245" s="146"/>
      <c r="AE1245" s="146"/>
      <c r="AF1245" s="146"/>
      <c r="AG1245" s="146"/>
      <c r="AH1245" s="146"/>
      <c r="AI1245" s="146"/>
      <c r="AJ1245" s="146"/>
      <c r="AK1245" s="146"/>
      <c r="AL1245" s="146">
        <v>594.83988816401245</v>
      </c>
      <c r="AM1245" s="146">
        <v>0.25181656884412745</v>
      </c>
      <c r="AN1245" s="146">
        <v>0.24889369312599796</v>
      </c>
      <c r="AO1245" s="146">
        <v>366.22415310922003</v>
      </c>
      <c r="AP1245" s="146">
        <v>345.30554658609816</v>
      </c>
      <c r="AQ1245" t="s">
        <v>308</v>
      </c>
      <c r="AR1245">
        <v>0</v>
      </c>
      <c r="AS1245">
        <v>0</v>
      </c>
      <c r="AT1245">
        <v>0</v>
      </c>
      <c r="AU1245">
        <v>1</v>
      </c>
      <c r="AV1245">
        <v>0.1</v>
      </c>
      <c r="AW1245">
        <v>3</v>
      </c>
      <c r="AX1245" s="141">
        <v>5.5622246688694539E-2</v>
      </c>
      <c r="AY1245" s="141">
        <v>1E-8</v>
      </c>
      <c r="AZ1245" s="209">
        <v>345.30554658609816</v>
      </c>
      <c r="BA1245">
        <v>5.5622246688694539E-2</v>
      </c>
      <c r="BB1245" s="249">
        <v>27.78932223439325</v>
      </c>
      <c r="BC1245" s="243">
        <v>124.72923432918363</v>
      </c>
      <c r="BD1245" s="209">
        <v>56666.772138571381</v>
      </c>
      <c r="BE1245" s="243">
        <v>44.100514277381208</v>
      </c>
      <c r="BF1245">
        <v>92426.314862610947</v>
      </c>
      <c r="BG1245" t="s">
        <v>387</v>
      </c>
      <c r="BH1245">
        <v>4.2986766821719459E-6</v>
      </c>
      <c r="BI1245">
        <v>1766667.7213857137</v>
      </c>
      <c r="BJ1245">
        <f t="shared" si="73"/>
        <v>5.2316750764040063E-2</v>
      </c>
    </row>
    <row r="1246" spans="1:62" x14ac:dyDescent="0.3">
      <c r="A1246">
        <v>-0.1</v>
      </c>
      <c r="B1246" s="146">
        <v>400</v>
      </c>
      <c r="C1246" s="146">
        <v>25</v>
      </c>
      <c r="D1246" s="146">
        <v>400</v>
      </c>
      <c r="E1246" s="252">
        <v>10.390162207309501</v>
      </c>
      <c r="F1246" s="146">
        <v>3.2351241482562254</v>
      </c>
      <c r="G1246" s="146">
        <v>12.497295743194485</v>
      </c>
      <c r="H1246" s="146">
        <v>0</v>
      </c>
      <c r="I1246" s="146"/>
      <c r="J1246" s="146">
        <v>6.1305098955017144E-2</v>
      </c>
      <c r="K1246" s="146">
        <v>1E-8</v>
      </c>
      <c r="L1246" s="146">
        <v>57.152679784051514</v>
      </c>
      <c r="M1246" s="146">
        <v>34.291607603718404</v>
      </c>
      <c r="N1246" s="146">
        <v>0.59822650472772443</v>
      </c>
      <c r="O1246" s="146"/>
      <c r="P1246" s="146"/>
      <c r="Q1246" s="146"/>
      <c r="R1246" s="146"/>
      <c r="S1246" s="146"/>
      <c r="T1246" s="146"/>
      <c r="U1246" s="146"/>
      <c r="V1246" s="146"/>
      <c r="W1246" s="146"/>
      <c r="X1246" s="146"/>
      <c r="Y1246" s="146"/>
      <c r="Z1246" s="146" t="s">
        <v>35</v>
      </c>
      <c r="AA1246" s="146"/>
      <c r="AB1246" s="146"/>
      <c r="AC1246" s="146"/>
      <c r="AD1246" s="146"/>
      <c r="AE1246" s="146"/>
      <c r="AF1246" s="146"/>
      <c r="AG1246" s="146"/>
      <c r="AH1246" s="146"/>
      <c r="AI1246" s="146"/>
      <c r="AJ1246" s="146"/>
      <c r="AK1246" s="146"/>
      <c r="AL1246" s="146">
        <v>632.90155145603546</v>
      </c>
      <c r="AM1246" s="146">
        <v>0.25886593505782574</v>
      </c>
      <c r="AN1246" s="146">
        <v>0.25745462956961629</v>
      </c>
      <c r="AO1246" s="146">
        <v>359.64274472485266</v>
      </c>
      <c r="AP1246" s="146">
        <v>333.78829909217325</v>
      </c>
      <c r="AQ1246" t="s">
        <v>308</v>
      </c>
      <c r="AR1246">
        <v>0</v>
      </c>
      <c r="AS1246">
        <v>0</v>
      </c>
      <c r="AT1246">
        <v>0</v>
      </c>
      <c r="AU1246">
        <v>1</v>
      </c>
      <c r="AV1246">
        <v>0.1</v>
      </c>
      <c r="AW1246">
        <v>3</v>
      </c>
      <c r="AX1246" s="141">
        <v>5.6488205035092276E-2</v>
      </c>
      <c r="AY1246" s="141">
        <v>1E-8</v>
      </c>
      <c r="AZ1246" s="209">
        <v>333.78829909217325</v>
      </c>
      <c r="BA1246">
        <v>5.6488205035092276E-2</v>
      </c>
      <c r="BB1246" s="249">
        <v>34.990173054572431</v>
      </c>
      <c r="BC1246" s="243">
        <v>142.81117249751887</v>
      </c>
      <c r="BD1246" s="209">
        <v>68525.932789685685</v>
      </c>
      <c r="BE1246" s="243">
        <v>53.017412205229263</v>
      </c>
      <c r="BF1246">
        <v>132756.36255405628</v>
      </c>
      <c r="BG1246" t="s">
        <v>387</v>
      </c>
      <c r="BH1246">
        <v>4.9180024451692122E-6</v>
      </c>
      <c r="BI1246">
        <v>1885259.3278968567</v>
      </c>
      <c r="BJ1246">
        <f t="shared" si="73"/>
        <v>7.0418090810963188E-2</v>
      </c>
    </row>
    <row r="1247" spans="1:62" x14ac:dyDescent="0.3">
      <c r="A1247">
        <v>-0.1</v>
      </c>
      <c r="B1247" s="146">
        <v>600</v>
      </c>
      <c r="C1247" s="146">
        <v>25</v>
      </c>
      <c r="D1247" s="146">
        <v>400</v>
      </c>
      <c r="E1247" s="252">
        <v>13.619470929680668</v>
      </c>
      <c r="F1247" s="146">
        <v>4.4600601456796012</v>
      </c>
      <c r="G1247" s="146">
        <v>16.445055399467456</v>
      </c>
      <c r="H1247" s="146">
        <v>0</v>
      </c>
      <c r="I1247" s="146"/>
      <c r="J1247" s="146">
        <v>6.2478910164050432E-2</v>
      </c>
      <c r="K1247" s="146">
        <v>1E-8</v>
      </c>
      <c r="L1247" s="146">
        <v>77.238279138303852</v>
      </c>
      <c r="M1247" s="146">
        <v>46.342967122537004</v>
      </c>
      <c r="N1247" s="146">
        <v>0.75368969158650057</v>
      </c>
      <c r="O1247" s="146"/>
      <c r="P1247" s="146"/>
      <c r="Q1247" s="146"/>
      <c r="R1247" s="146"/>
      <c r="S1247" s="146"/>
      <c r="T1247" s="146"/>
      <c r="U1247" s="146"/>
      <c r="V1247" s="146"/>
      <c r="W1247" s="146"/>
      <c r="X1247" s="146"/>
      <c r="Y1247" s="146"/>
      <c r="Z1247" s="146" t="s">
        <v>35</v>
      </c>
      <c r="AA1247" s="146"/>
      <c r="AB1247" s="146"/>
      <c r="AC1247" s="146"/>
      <c r="AD1247" s="146"/>
      <c r="AE1247" s="146"/>
      <c r="AF1247" s="146"/>
      <c r="AG1247" s="146"/>
      <c r="AH1247" s="146"/>
      <c r="AI1247" s="146"/>
      <c r="AJ1247" s="146"/>
      <c r="AK1247" s="146"/>
      <c r="AL1247" s="146">
        <v>692.2486422959073</v>
      </c>
      <c r="AM1247" s="146">
        <v>0.27120979755556385</v>
      </c>
      <c r="AN1247" s="146">
        <v>0.26859704593759409</v>
      </c>
      <c r="AO1247" s="146">
        <v>349.29404051284683</v>
      </c>
      <c r="AP1247" s="146">
        <v>315.40379650265697</v>
      </c>
      <c r="AQ1247" t="s">
        <v>308</v>
      </c>
      <c r="AR1247">
        <v>0</v>
      </c>
      <c r="AS1247">
        <v>0</v>
      </c>
      <c r="AT1247">
        <v>0</v>
      </c>
      <c r="AU1247">
        <v>1</v>
      </c>
      <c r="AV1247">
        <v>0.1</v>
      </c>
      <c r="AW1247">
        <v>3</v>
      </c>
      <c r="AX1247" s="141">
        <v>5.7986840893912824E-2</v>
      </c>
      <c r="AY1247" s="141">
        <v>1E-8</v>
      </c>
      <c r="AZ1247" s="209">
        <v>315.40379650265697</v>
      </c>
      <c r="BA1247">
        <v>5.7986840893912824E-2</v>
      </c>
      <c r="BB1247" s="249">
        <v>47.438863350355341</v>
      </c>
      <c r="BC1247" s="243">
        <v>170.28425851140321</v>
      </c>
      <c r="BD1247" s="209">
        <v>88203.958218779517</v>
      </c>
      <c r="BE1247" s="243">
        <v>67.937500267391357</v>
      </c>
      <c r="BF1247">
        <v>212538.89318115363</v>
      </c>
      <c r="BG1247" t="s">
        <v>387</v>
      </c>
      <c r="BH1247">
        <v>5.6922744451740094E-6</v>
      </c>
      <c r="BI1247">
        <v>2082039.5821877951</v>
      </c>
      <c r="BJ1247">
        <f t="shared" si="73"/>
        <v>0.10208206174342709</v>
      </c>
    </row>
    <row r="1248" spans="1:62" x14ac:dyDescent="0.3">
      <c r="A1248">
        <v>-0.1</v>
      </c>
      <c r="B1248" s="146">
        <v>800</v>
      </c>
      <c r="C1248" s="146">
        <v>25</v>
      </c>
      <c r="D1248" s="146">
        <v>400</v>
      </c>
      <c r="E1248" s="252">
        <v>16.099502894258489</v>
      </c>
      <c r="F1248" s="146">
        <v>5.494666217579625</v>
      </c>
      <c r="G1248" s="146">
        <v>19.521343702352311</v>
      </c>
      <c r="H1248" s="146">
        <v>0</v>
      </c>
      <c r="I1248" s="146"/>
      <c r="J1248" s="146">
        <v>6.342708476518473E-2</v>
      </c>
      <c r="K1248" s="146">
        <v>1E-8</v>
      </c>
      <c r="L1248" s="146">
        <v>93.617557590682736</v>
      </c>
      <c r="M1248" s="146">
        <v>56.170534117527701</v>
      </c>
      <c r="N1248" s="146">
        <v>0.86948612105881207</v>
      </c>
      <c r="O1248" s="146"/>
      <c r="P1248" s="146"/>
      <c r="Q1248" s="146"/>
      <c r="R1248" s="146"/>
      <c r="S1248" s="146"/>
      <c r="T1248" s="146"/>
      <c r="U1248" s="146"/>
      <c r="V1248" s="146"/>
      <c r="W1248" s="146"/>
      <c r="X1248" s="146"/>
      <c r="Y1248" s="146"/>
      <c r="Z1248" s="146" t="s">
        <v>35</v>
      </c>
      <c r="AA1248" s="146"/>
      <c r="AB1248" s="146"/>
      <c r="AC1248" s="146"/>
      <c r="AD1248" s="146"/>
      <c r="AE1248" s="146"/>
      <c r="AF1248" s="146"/>
      <c r="AG1248" s="146"/>
      <c r="AH1248" s="146"/>
      <c r="AI1248" s="146"/>
      <c r="AJ1248" s="146"/>
      <c r="AK1248" s="146"/>
      <c r="AL1248" s="146">
        <v>736.30985780210847</v>
      </c>
      <c r="AM1248" s="146">
        <v>0.2814696724446033</v>
      </c>
      <c r="AN1248" s="146">
        <v>0.27580911997177315</v>
      </c>
      <c r="AO1248" s="146">
        <v>341.62809809948942</v>
      </c>
      <c r="AP1248" s="146">
        <v>301.56679727270216</v>
      </c>
      <c r="AQ1248" t="s">
        <v>308</v>
      </c>
      <c r="AR1248">
        <v>0</v>
      </c>
      <c r="AS1248">
        <v>0</v>
      </c>
      <c r="AT1248">
        <v>0</v>
      </c>
      <c r="AU1248">
        <v>1</v>
      </c>
      <c r="AV1248">
        <v>0.1</v>
      </c>
      <c r="AW1248">
        <v>3</v>
      </c>
      <c r="AX1248" s="141">
        <v>5.9194784306959604E-2</v>
      </c>
      <c r="AY1248" s="141">
        <v>1E-8</v>
      </c>
      <c r="AZ1248" s="209">
        <v>301.56679727270216</v>
      </c>
      <c r="BA1248">
        <v>5.9194784306959604E-2</v>
      </c>
      <c r="BB1248" s="249">
        <v>57.688693137227645</v>
      </c>
      <c r="BC1248" s="243">
        <v>189.95027865294253</v>
      </c>
      <c r="BD1248" s="209">
        <v>103601.49081960252</v>
      </c>
      <c r="BE1248" s="243">
        <v>79.852801068660426</v>
      </c>
      <c r="BF1248">
        <v>286294.73271919216</v>
      </c>
      <c r="BG1248" t="s">
        <v>387</v>
      </c>
      <c r="BH1248">
        <v>6.1298726003612275E-6</v>
      </c>
      <c r="BI1248">
        <v>2236014.9081960251</v>
      </c>
      <c r="BJ1248">
        <f t="shared" si="73"/>
        <v>0.1280379355565967</v>
      </c>
    </row>
    <row r="1249" spans="1:62" x14ac:dyDescent="0.3">
      <c r="A1249">
        <v>-0.1</v>
      </c>
      <c r="B1249" s="146">
        <v>1000</v>
      </c>
      <c r="C1249" s="146">
        <v>25</v>
      </c>
      <c r="D1249" s="146">
        <v>400</v>
      </c>
      <c r="E1249" s="252">
        <v>18.01154797098939</v>
      </c>
      <c r="F1249" s="146">
        <v>6.3541391891624954</v>
      </c>
      <c r="G1249" s="146">
        <v>21.922280264155518</v>
      </c>
      <c r="H1249" s="146">
        <v>0</v>
      </c>
      <c r="I1249" s="146"/>
      <c r="J1249" s="146">
        <v>6.4127084802896223E-2</v>
      </c>
      <c r="K1249" s="146">
        <v>1E-8</v>
      </c>
      <c r="L1249" s="146">
        <v>106.9161696298201</v>
      </c>
      <c r="M1249" s="146">
        <v>64.149701278949934</v>
      </c>
      <c r="N1249" s="146">
        <v>0.95828051606293529</v>
      </c>
      <c r="O1249" s="146"/>
      <c r="P1249" s="146"/>
      <c r="Q1249" s="146"/>
      <c r="R1249" s="146"/>
      <c r="S1249" s="146"/>
      <c r="T1249" s="146"/>
      <c r="U1249" s="146"/>
      <c r="V1249" s="146"/>
      <c r="W1249" s="146"/>
      <c r="X1249" s="146"/>
      <c r="Y1249" s="146"/>
      <c r="Z1249" s="146" t="s">
        <v>35</v>
      </c>
      <c r="AA1249" s="146"/>
      <c r="AB1249" s="146"/>
      <c r="AC1249" s="146"/>
      <c r="AD1249" s="146"/>
      <c r="AE1249" s="146"/>
      <c r="AF1249" s="146"/>
      <c r="AG1249" s="146"/>
      <c r="AH1249" s="146"/>
      <c r="AI1249" s="146"/>
      <c r="AJ1249" s="146"/>
      <c r="AK1249" s="146"/>
      <c r="AL1249" s="146">
        <v>770.23021452952037</v>
      </c>
      <c r="AM1249" s="146">
        <v>0.28984846068006725</v>
      </c>
      <c r="AN1249" s="146">
        <v>0.28103132701288636</v>
      </c>
      <c r="AO1249" s="146">
        <v>335.90910962690117</v>
      </c>
      <c r="AP1249" s="146">
        <v>291.08995649805263</v>
      </c>
      <c r="AQ1249" t="s">
        <v>308</v>
      </c>
      <c r="AR1249">
        <v>0</v>
      </c>
      <c r="AS1249">
        <v>0</v>
      </c>
      <c r="AT1249">
        <v>0</v>
      </c>
      <c r="AU1249">
        <v>1</v>
      </c>
      <c r="AV1249">
        <v>0.1</v>
      </c>
      <c r="AW1249">
        <v>3</v>
      </c>
      <c r="AX1249" s="141">
        <v>6.0106575159982752E-2</v>
      </c>
      <c r="AY1249" s="141">
        <v>1E-8</v>
      </c>
      <c r="AZ1249" s="209">
        <v>291.08995649805263</v>
      </c>
      <c r="BA1249">
        <v>6.0106575159982752E-2</v>
      </c>
      <c r="BB1249" s="249">
        <v>66.044625588833696</v>
      </c>
      <c r="BC1249" s="243">
        <v>204.15357038887839</v>
      </c>
      <c r="BD1249" s="209">
        <v>115518.92981417898</v>
      </c>
      <c r="BE1249" s="243">
        <v>89.311509045073791</v>
      </c>
      <c r="BF1249">
        <v>350968.94988324778</v>
      </c>
      <c r="BG1249" t="s">
        <v>387</v>
      </c>
      <c r="BH1249">
        <v>6.3952397551285954E-6</v>
      </c>
      <c r="BI1249">
        <v>2355189.2981417896</v>
      </c>
      <c r="BJ1249">
        <f t="shared" si="73"/>
        <v>0.14901942283796774</v>
      </c>
    </row>
    <row r="1250" spans="1:62" x14ac:dyDescent="0.3">
      <c r="A1250">
        <v>-0.1</v>
      </c>
      <c r="B1250" s="146">
        <v>1300</v>
      </c>
      <c r="C1250" s="146">
        <v>25</v>
      </c>
      <c r="D1250" s="146">
        <v>400</v>
      </c>
      <c r="E1250" s="252">
        <v>20.109537909424226</v>
      </c>
      <c r="F1250" s="146">
        <v>7.3660661321344207</v>
      </c>
      <c r="G1250" s="146">
        <v>24.588990166335655</v>
      </c>
      <c r="H1250" s="146">
        <v>0</v>
      </c>
      <c r="I1250" s="146"/>
      <c r="J1250" s="146">
        <v>6.502487456700444E-2</v>
      </c>
      <c r="K1250" s="146">
        <v>1E-8</v>
      </c>
      <c r="L1250" s="146">
        <v>122.24989108806167</v>
      </c>
      <c r="M1250" s="146">
        <v>73.349934082337512</v>
      </c>
      <c r="N1250" s="146">
        <v>1.0523524283267665</v>
      </c>
      <c r="O1250" s="146"/>
      <c r="P1250" s="146"/>
      <c r="Q1250" s="146"/>
      <c r="R1250" s="146"/>
      <c r="S1250" s="146"/>
      <c r="T1250" s="146"/>
      <c r="U1250" s="146"/>
      <c r="V1250" s="146"/>
      <c r="W1250" s="146"/>
      <c r="X1250" s="146"/>
      <c r="Y1250" s="146"/>
      <c r="Z1250" s="146" t="s">
        <v>35</v>
      </c>
      <c r="AA1250" s="146"/>
      <c r="AB1250" s="146"/>
      <c r="AC1250" s="146"/>
      <c r="AD1250" s="146"/>
      <c r="AE1250" s="146"/>
      <c r="AF1250" s="146"/>
      <c r="AG1250" s="146"/>
      <c r="AH1250" s="146"/>
      <c r="AI1250" s="146"/>
      <c r="AJ1250" s="146"/>
      <c r="AK1250" s="146"/>
      <c r="AL1250" s="146">
        <v>805.93358510486337</v>
      </c>
      <c r="AM1250" s="146">
        <v>0.29956765537363017</v>
      </c>
      <c r="AN1250" s="146">
        <v>0.28644890240330534</v>
      </c>
      <c r="AO1250" s="146">
        <v>329.79712004233471</v>
      </c>
      <c r="AP1250" s="146">
        <v>279.75737094148053</v>
      </c>
      <c r="AQ1250" t="s">
        <v>308</v>
      </c>
      <c r="AR1250">
        <v>0</v>
      </c>
      <c r="AS1250">
        <v>0</v>
      </c>
      <c r="AT1250">
        <v>0</v>
      </c>
      <c r="AU1250">
        <v>1</v>
      </c>
      <c r="AV1250">
        <v>0.1</v>
      </c>
      <c r="AW1250" s="146">
        <v>3</v>
      </c>
      <c r="AX1250" s="141">
        <v>6.123146820204918E-2</v>
      </c>
      <c r="AY1250" s="228">
        <v>1E-8</v>
      </c>
      <c r="AZ1250" s="209">
        <v>279.75737094148053</v>
      </c>
      <c r="BA1250">
        <v>6.123146820204918E-2</v>
      </c>
      <c r="BB1250" s="249">
        <v>75.717202993628945</v>
      </c>
      <c r="BC1250" s="243">
        <v>218.50285581130586</v>
      </c>
      <c r="BD1250" s="209">
        <v>128547.86495978698</v>
      </c>
      <c r="BE1250" s="243">
        <v>100.06482052638191</v>
      </c>
      <c r="BF1250">
        <v>430240.93453403399</v>
      </c>
      <c r="BG1250" t="s">
        <v>387</v>
      </c>
      <c r="BH1250">
        <v>6.6280773346621751E-6</v>
      </c>
      <c r="BI1250">
        <v>2485478.6495978697</v>
      </c>
      <c r="BJ1250">
        <f t="shared" si="73"/>
        <v>0.17310184281954846</v>
      </c>
    </row>
    <row r="1251" spans="1:62" x14ac:dyDescent="0.3">
      <c r="A1251">
        <v>-0.1</v>
      </c>
      <c r="B1251" s="227">
        <v>1600</v>
      </c>
      <c r="C1251" s="146">
        <v>25</v>
      </c>
      <c r="D1251" s="146">
        <v>400</v>
      </c>
      <c r="E1251" s="252">
        <v>21.559657512006684</v>
      </c>
      <c r="F1251" s="146">
        <v>8.1101728432007771</v>
      </c>
      <c r="G1251" s="146">
        <v>26.452510027063283</v>
      </c>
      <c r="H1251" s="146">
        <v>0</v>
      </c>
      <c r="I1251" s="146"/>
      <c r="J1251" s="146">
        <v>6.5671246156757554E-2</v>
      </c>
      <c r="K1251" s="146">
        <v>1E-8</v>
      </c>
      <c r="L1251" s="146">
        <v>133.38465174278042</v>
      </c>
      <c r="M1251" s="146">
        <v>80.03079042320654</v>
      </c>
      <c r="N1251" s="146">
        <v>1.1162176860403461</v>
      </c>
      <c r="O1251" s="146"/>
      <c r="P1251" s="146"/>
      <c r="Q1251" s="146"/>
      <c r="R1251" s="146"/>
      <c r="S1251" s="146"/>
      <c r="T1251" s="146"/>
      <c r="U1251" s="146"/>
      <c r="V1251" s="146"/>
      <c r="W1251" s="146"/>
      <c r="X1251" s="146"/>
      <c r="Y1251" s="146"/>
      <c r="Z1251" s="146" t="s">
        <v>35</v>
      </c>
      <c r="AA1251" s="146"/>
      <c r="AB1251" s="146"/>
      <c r="AC1251" s="146"/>
      <c r="AD1251" s="146"/>
      <c r="AE1251" s="146"/>
      <c r="AF1251" s="146"/>
      <c r="AG1251" s="146"/>
      <c r="AH1251" s="146"/>
      <c r="AI1251" s="146"/>
      <c r="AJ1251" s="146"/>
      <c r="AK1251" s="146"/>
      <c r="AL1251" s="146">
        <v>830.16439053970316</v>
      </c>
      <c r="AM1251" s="146">
        <v>0.30659369696498917</v>
      </c>
      <c r="AN1251" s="146">
        <v>0.29018467094416411</v>
      </c>
      <c r="AO1251" s="146">
        <v>325.70366504247534</v>
      </c>
      <c r="AP1251" s="146">
        <v>272.05554751953014</v>
      </c>
      <c r="AQ1251" t="s">
        <v>308</v>
      </c>
      <c r="AR1251">
        <v>0</v>
      </c>
      <c r="AS1251">
        <v>0</v>
      </c>
      <c r="AT1251">
        <v>0</v>
      </c>
      <c r="AU1251">
        <v>1</v>
      </c>
      <c r="AV1251">
        <v>0.1</v>
      </c>
      <c r="AW1251" s="146">
        <v>3</v>
      </c>
      <c r="AX1251" s="141">
        <v>6.2039370395823391E-2</v>
      </c>
      <c r="AY1251" s="228">
        <v>1E-8</v>
      </c>
      <c r="AZ1251" s="209">
        <v>272.05554751953014</v>
      </c>
      <c r="BA1251">
        <v>6.2039370395823391E-2</v>
      </c>
      <c r="BB1251" s="249">
        <v>82.728831237139957</v>
      </c>
      <c r="BC1251" s="243">
        <v>227.41445173862834</v>
      </c>
      <c r="BD1251" s="209">
        <v>137376.40839638223</v>
      </c>
      <c r="BE1251" s="243">
        <v>107.69198564385599</v>
      </c>
      <c r="BF1251">
        <v>490174.74252628972</v>
      </c>
      <c r="BG1251" t="s">
        <v>387</v>
      </c>
      <c r="BH1251">
        <v>6.7619240157165018E-6</v>
      </c>
      <c r="BI1251">
        <v>2573764.0839638226</v>
      </c>
      <c r="BJ1251">
        <f t="shared" si="73"/>
        <v>0.19045053335711234</v>
      </c>
    </row>
    <row r="1252" spans="1:62" s="140" customFormat="1" x14ac:dyDescent="0.3">
      <c r="A1252" s="140">
        <v>-0.1</v>
      </c>
      <c r="B1252" s="140">
        <v>1900</v>
      </c>
      <c r="C1252" s="140">
        <v>25</v>
      </c>
      <c r="D1252" s="140">
        <v>400</v>
      </c>
      <c r="E1252" s="253">
        <v>22.569203989891054</v>
      </c>
      <c r="F1252" s="140">
        <v>8.6488423294506731</v>
      </c>
      <c r="G1252" s="140">
        <v>27.758383019633264</v>
      </c>
      <c r="H1252" s="140">
        <v>0</v>
      </c>
      <c r="J1252" s="140">
        <v>6.6010857728384498E-2</v>
      </c>
      <c r="K1252" s="140">
        <v>1E-8</v>
      </c>
      <c r="L1252" s="140">
        <v>141.4886401877603</v>
      </c>
      <c r="M1252" s="140">
        <v>84.893183452375851</v>
      </c>
      <c r="N1252" s="140">
        <v>1.1629810305182939</v>
      </c>
      <c r="Z1252" s="140" t="s">
        <v>35</v>
      </c>
      <c r="AL1252" s="140">
        <v>848.30745421915219</v>
      </c>
      <c r="AM1252" s="140">
        <v>0.31157586965110401</v>
      </c>
      <c r="AN1252" s="140">
        <v>0.29302014413475624</v>
      </c>
      <c r="AO1252" s="140">
        <v>322.97729544658279</v>
      </c>
      <c r="AP1252" s="140">
        <v>266.81693896000547</v>
      </c>
      <c r="AQ1252" s="140" t="s">
        <v>308</v>
      </c>
      <c r="AR1252" s="140">
        <v>0</v>
      </c>
      <c r="AS1252" s="140">
        <v>0</v>
      </c>
      <c r="AT1252" s="140">
        <v>0</v>
      </c>
      <c r="AU1252" s="140">
        <v>1</v>
      </c>
      <c r="AV1252">
        <v>0.1</v>
      </c>
      <c r="AW1252" s="140">
        <v>3</v>
      </c>
      <c r="AX1252" s="141">
        <v>6.250893947717609E-2</v>
      </c>
      <c r="AY1252" s="205">
        <v>1E-8</v>
      </c>
      <c r="AZ1252" s="209">
        <v>266.81693896000547</v>
      </c>
      <c r="BA1252" s="140">
        <v>6.250893947717609E-2</v>
      </c>
      <c r="BB1252" s="253">
        <v>87.760375775410466</v>
      </c>
      <c r="BC1252" s="245">
        <v>232.9160174313146</v>
      </c>
      <c r="BD1252" s="210">
        <v>143265.61269243018</v>
      </c>
      <c r="BE1252" s="245">
        <v>112.98712857543437</v>
      </c>
      <c r="BF1252" s="140">
        <v>534118.98564218683</v>
      </c>
      <c r="BG1252" t="s">
        <v>387</v>
      </c>
      <c r="BH1252" s="140">
        <v>6.8481634059480154E-6</v>
      </c>
      <c r="BI1252" s="140">
        <v>2632656.1269243015</v>
      </c>
      <c r="BJ1252">
        <f t="shared" si="73"/>
        <v>0.20288216914458601</v>
      </c>
    </row>
    <row r="1253" spans="1:62" x14ac:dyDescent="0.3">
      <c r="A1253">
        <v>-0.1</v>
      </c>
      <c r="B1253" s="146">
        <v>1000</v>
      </c>
      <c r="C1253" s="146">
        <v>25</v>
      </c>
      <c r="D1253" s="146">
        <v>200</v>
      </c>
      <c r="E1253" s="252">
        <v>12.408560068052344</v>
      </c>
      <c r="F1253" s="146">
        <v>10.918390717310974</v>
      </c>
      <c r="G1253" s="146">
        <v>18.739253234741472</v>
      </c>
      <c r="H1253" s="146">
        <v>0</v>
      </c>
      <c r="I1253" s="146"/>
      <c r="J1253" s="146">
        <v>9.8102559749153218E-2</v>
      </c>
      <c r="K1253" s="146">
        <v>1E-8</v>
      </c>
      <c r="L1253" s="146">
        <v>113.28064073859684</v>
      </c>
      <c r="M1253" s="146">
        <v>67.968383914515115</v>
      </c>
      <c r="N1253" s="146">
        <v>1.0400735028200483</v>
      </c>
      <c r="O1253" s="146"/>
      <c r="P1253" s="146"/>
      <c r="Q1253" s="146"/>
      <c r="R1253" s="146"/>
      <c r="S1253" s="146"/>
      <c r="T1253" s="146"/>
      <c r="U1253" s="146"/>
      <c r="V1253" s="146"/>
      <c r="W1253" s="146"/>
      <c r="X1253" s="146"/>
      <c r="Y1253" s="146"/>
      <c r="Z1253" s="146" t="s">
        <v>35</v>
      </c>
      <c r="AA1253" s="146"/>
      <c r="AB1253" s="146"/>
      <c r="AC1253" s="146"/>
      <c r="AD1253" s="146"/>
      <c r="AE1253" s="146"/>
      <c r="AF1253" s="146"/>
      <c r="AG1253" s="146"/>
      <c r="AH1253" s="146"/>
      <c r="AI1253" s="146"/>
      <c r="AJ1253" s="146"/>
      <c r="AK1253" s="146"/>
      <c r="AL1253" s="146">
        <v>645.85701971563583</v>
      </c>
      <c r="AM1253" s="146">
        <v>0.58264812266205568</v>
      </c>
      <c r="AN1253" s="146">
        <v>0.28655426786147148</v>
      </c>
      <c r="AO1253" s="146">
        <v>156.6973468562995</v>
      </c>
      <c r="AP1253" s="146">
        <v>125.82026830561185</v>
      </c>
      <c r="AQ1253" t="s">
        <v>308</v>
      </c>
      <c r="AR1253">
        <v>0</v>
      </c>
      <c r="AS1253">
        <v>0</v>
      </c>
      <c r="AT1253">
        <v>0</v>
      </c>
      <c r="AU1253">
        <v>1</v>
      </c>
      <c r="AV1253">
        <v>0.1</v>
      </c>
      <c r="AW1253" s="146">
        <v>3</v>
      </c>
      <c r="AX1253" s="141">
        <v>9.1656510417205475E-2</v>
      </c>
      <c r="AY1253" s="141">
        <v>1E-8</v>
      </c>
      <c r="AZ1253" s="209">
        <v>125.82026830561185</v>
      </c>
      <c r="BA1253">
        <v>9.1656510417205475E-2</v>
      </c>
      <c r="BB1253" s="249">
        <v>94.230828664922242</v>
      </c>
      <c r="BC1253" s="243">
        <v>224.50402277261995</v>
      </c>
      <c r="BD1253" s="209">
        <v>147711.51783328087</v>
      </c>
      <c r="BE1253" s="243">
        <v>124.09510044083686</v>
      </c>
      <c r="BF1253">
        <v>259190.46272923361</v>
      </c>
      <c r="BG1253" t="s">
        <v>388</v>
      </c>
      <c r="BH1253">
        <v>3.9847157690077377E-6</v>
      </c>
      <c r="BI1253">
        <v>2677115.1783328084</v>
      </c>
      <c r="BJ1253">
        <f t="shared" si="73"/>
        <v>9.6817075644330786E-2</v>
      </c>
    </row>
    <row r="1254" spans="1:62" x14ac:dyDescent="0.3">
      <c r="A1254">
        <v>-0.1</v>
      </c>
      <c r="B1254" s="146">
        <v>1000</v>
      </c>
      <c r="C1254" s="146">
        <v>25</v>
      </c>
      <c r="D1254" s="146">
        <v>300</v>
      </c>
      <c r="E1254" s="252">
        <v>15.804169298663515</v>
      </c>
      <c r="F1254" s="146">
        <v>8.1337195197934236</v>
      </c>
      <c r="G1254" s="146">
        <v>20.657889073822119</v>
      </c>
      <c r="H1254" s="146">
        <v>0</v>
      </c>
      <c r="I1254" s="146"/>
      <c r="J1254" s="146">
        <v>7.8285409471974904E-2</v>
      </c>
      <c r="K1254" s="146">
        <v>1E-8</v>
      </c>
      <c r="L1254" s="146">
        <v>109.40890103112173</v>
      </c>
      <c r="M1254" s="146">
        <v>65.645340108098168</v>
      </c>
      <c r="N1254" s="146">
        <v>1.0177985765409785</v>
      </c>
      <c r="O1254" s="146"/>
      <c r="P1254" s="146"/>
      <c r="Q1254" s="146"/>
      <c r="R1254" s="146"/>
      <c r="S1254" s="146"/>
      <c r="T1254" s="146"/>
      <c r="U1254" s="146"/>
      <c r="V1254" s="146"/>
      <c r="W1254" s="146"/>
      <c r="X1254" s="146"/>
      <c r="Y1254" s="146"/>
      <c r="Z1254" s="146" t="s">
        <v>35</v>
      </c>
      <c r="AA1254" s="146"/>
      <c r="AB1254" s="146"/>
      <c r="AC1254" s="146"/>
      <c r="AD1254" s="146"/>
      <c r="AE1254" s="146"/>
      <c r="AF1254" s="146"/>
      <c r="AG1254" s="146"/>
      <c r="AH1254" s="146"/>
      <c r="AI1254" s="146"/>
      <c r="AJ1254" s="146"/>
      <c r="AK1254" s="146"/>
      <c r="AL1254" s="146">
        <v>713.8721198729703</v>
      </c>
      <c r="AM1254" s="146">
        <v>0.3937343012505839</v>
      </c>
      <c r="AN1254" s="146">
        <v>0.28373350379256329</v>
      </c>
      <c r="AO1254" s="146">
        <v>244.29924881124404</v>
      </c>
      <c r="AP1254" s="146">
        <v>204.9728316024806</v>
      </c>
      <c r="AQ1254" t="s">
        <v>308</v>
      </c>
      <c r="AR1254">
        <v>0</v>
      </c>
      <c r="AS1254">
        <v>0</v>
      </c>
      <c r="AT1254">
        <v>0</v>
      </c>
      <c r="AU1254">
        <v>1</v>
      </c>
      <c r="AV1254">
        <v>0.1</v>
      </c>
      <c r="AW1254" s="146">
        <v>3</v>
      </c>
      <c r="AX1254" s="141">
        <v>7.3108016912081464E-2</v>
      </c>
      <c r="AY1254" s="141">
        <v>1E-8</v>
      </c>
      <c r="AZ1254" s="209">
        <v>204.9728316024806</v>
      </c>
      <c r="BA1254">
        <v>7.3108016912081464E-2</v>
      </c>
      <c r="BB1254" s="249">
        <v>77.054818839263632</v>
      </c>
      <c r="BC1254" s="243">
        <v>211.89500708752314</v>
      </c>
      <c r="BD1254" s="209">
        <v>127878.17607081079</v>
      </c>
      <c r="BE1254" s="243">
        <v>102.84899901723351</v>
      </c>
      <c r="BF1254">
        <v>319001.59677651169</v>
      </c>
      <c r="BG1254" t="s">
        <v>388</v>
      </c>
      <c r="BH1254">
        <v>5.3956090542012394E-6</v>
      </c>
      <c r="BI1254">
        <v>2478781.7607081076</v>
      </c>
      <c r="BJ1254">
        <f t="shared" si="73"/>
        <v>0.12869289335313783</v>
      </c>
    </row>
    <row r="1255" spans="1:62" x14ac:dyDescent="0.3">
      <c r="A1255">
        <v>-0.1</v>
      </c>
      <c r="B1255" s="146">
        <v>1000</v>
      </c>
      <c r="C1255" s="146">
        <v>25</v>
      </c>
      <c r="D1255" s="146">
        <v>400</v>
      </c>
      <c r="E1255" s="252">
        <v>18.016131445804877</v>
      </c>
      <c r="F1255" s="146">
        <v>6.3569192897548978</v>
      </c>
      <c r="G1255" s="146">
        <v>21.928530632337122</v>
      </c>
      <c r="H1255" s="146">
        <v>0</v>
      </c>
      <c r="I1255" s="146"/>
      <c r="J1255" s="146">
        <v>6.4208440222586025E-2</v>
      </c>
      <c r="K1255" s="146">
        <v>1E-8</v>
      </c>
      <c r="L1255" s="146">
        <v>106.92913587110556</v>
      </c>
      <c r="M1255" s="146">
        <v>64.157481023660694</v>
      </c>
      <c r="N1255" s="146">
        <v>0.9569459394283073</v>
      </c>
      <c r="O1255" s="146"/>
      <c r="P1255" s="146"/>
      <c r="Q1255" s="146"/>
      <c r="R1255" s="146"/>
      <c r="S1255" s="146"/>
      <c r="T1255" s="146"/>
      <c r="U1255" s="146"/>
      <c r="V1255" s="146"/>
      <c r="W1255" s="146"/>
      <c r="X1255" s="146"/>
      <c r="Y1255" s="146"/>
      <c r="Z1255" s="146" t="s">
        <v>35</v>
      </c>
      <c r="AA1255" s="146"/>
      <c r="AB1255" s="146"/>
      <c r="AC1255" s="146"/>
      <c r="AD1255" s="146"/>
      <c r="AE1255" s="146"/>
      <c r="AF1255" s="146"/>
      <c r="AG1255" s="146"/>
      <c r="AH1255" s="146"/>
      <c r="AI1255" s="146"/>
      <c r="AJ1255" s="146"/>
      <c r="AK1255" s="146"/>
      <c r="AL1255" s="146">
        <v>769.51309231432685</v>
      </c>
      <c r="AM1255" s="146">
        <v>0.28989262419528489</v>
      </c>
      <c r="AN1255" s="146">
        <v>0.28093493784202844</v>
      </c>
      <c r="AO1255" s="146">
        <v>335.87080487676667</v>
      </c>
      <c r="AP1255" s="146">
        <v>291.04012260017316</v>
      </c>
      <c r="AQ1255" t="s">
        <v>308</v>
      </c>
      <c r="AR1255">
        <v>0</v>
      </c>
      <c r="AS1255">
        <v>0</v>
      </c>
      <c r="AT1255">
        <v>0</v>
      </c>
      <c r="AU1255">
        <v>1</v>
      </c>
      <c r="AV1255">
        <v>0.1</v>
      </c>
      <c r="AW1255" s="146">
        <v>3</v>
      </c>
      <c r="AX1255" s="141">
        <v>6.0179183188169956E-2</v>
      </c>
      <c r="AY1255" s="141">
        <v>1E-8</v>
      </c>
      <c r="AZ1255" s="209">
        <v>291.04012260017316</v>
      </c>
      <c r="BA1255">
        <v>6.0179183188169956E-2</v>
      </c>
      <c r="BB1255" s="249">
        <v>66.069856560053893</v>
      </c>
      <c r="BC1255" s="243">
        <v>204.19312220061479</v>
      </c>
      <c r="BD1255" s="209">
        <v>115583.07262029609</v>
      </c>
      <c r="BE1255" s="243">
        <v>89.382694461302819</v>
      </c>
      <c r="BF1255">
        <v>351201.18345424964</v>
      </c>
      <c r="BG1255" t="s">
        <v>388</v>
      </c>
      <c r="BH1255">
        <v>6.3947643603704359E-6</v>
      </c>
      <c r="BI1255">
        <v>2355830.7262029611</v>
      </c>
      <c r="BJ1255">
        <f t="shared" si="73"/>
        <v>0.14907742714617805</v>
      </c>
    </row>
    <row r="1256" spans="1:62" x14ac:dyDescent="0.3">
      <c r="A1256">
        <v>-0.1</v>
      </c>
      <c r="B1256" s="146">
        <v>1000</v>
      </c>
      <c r="C1256" s="146">
        <v>25</v>
      </c>
      <c r="D1256" s="146">
        <v>500</v>
      </c>
      <c r="E1256" s="252">
        <v>19.529564660557206</v>
      </c>
      <c r="F1256" s="146">
        <v>5.1667219599203023</v>
      </c>
      <c r="G1256" s="146">
        <v>22.812169209431136</v>
      </c>
      <c r="H1256" s="146">
        <v>0</v>
      </c>
      <c r="I1256" s="146"/>
      <c r="J1256" s="146">
        <v>5.3568903335833487E-2</v>
      </c>
      <c r="K1256" s="146">
        <v>1E-8</v>
      </c>
      <c r="L1256" s="146">
        <v>105.32147251980842</v>
      </c>
      <c r="M1256" s="146">
        <v>63.192883020384855</v>
      </c>
      <c r="N1256" s="146">
        <v>0.88904576123012036</v>
      </c>
      <c r="O1256" s="146"/>
      <c r="P1256" s="146"/>
      <c r="Q1256" s="146"/>
      <c r="R1256" s="146"/>
      <c r="S1256" s="146"/>
      <c r="T1256" s="146"/>
      <c r="U1256" s="146"/>
      <c r="V1256" s="146"/>
      <c r="W1256" s="146"/>
      <c r="X1256" s="146"/>
      <c r="Y1256" s="146"/>
      <c r="Z1256" s="146" t="s">
        <v>35</v>
      </c>
      <c r="AA1256" s="146"/>
      <c r="AB1256" s="146"/>
      <c r="AC1256" s="146"/>
      <c r="AD1256" s="146"/>
      <c r="AE1256" s="146"/>
      <c r="AF1256" s="146"/>
      <c r="AG1256" s="146"/>
      <c r="AH1256" s="146"/>
      <c r="AI1256" s="146"/>
      <c r="AJ1256" s="146"/>
      <c r="AK1256" s="146"/>
      <c r="AL1256" s="146">
        <v>825.82757864311156</v>
      </c>
      <c r="AM1256" s="146">
        <v>0.22648972627224975</v>
      </c>
      <c r="AN1256" s="146">
        <v>0.27860074563827619</v>
      </c>
      <c r="AO1256" s="146">
        <v>429.9012476947438</v>
      </c>
      <c r="AP1256" s="146">
        <v>381.30469802805135</v>
      </c>
      <c r="AQ1256" t="s">
        <v>308</v>
      </c>
      <c r="AR1256">
        <v>0</v>
      </c>
      <c r="AS1256">
        <v>0</v>
      </c>
      <c r="AT1256">
        <v>0</v>
      </c>
      <c r="AU1256">
        <v>1</v>
      </c>
      <c r="AV1256">
        <v>0.1</v>
      </c>
      <c r="AW1256" s="146">
        <v>3</v>
      </c>
      <c r="AX1256" s="141">
        <v>5.0501792873964627E-2</v>
      </c>
      <c r="AY1256" s="141">
        <v>1E-8</v>
      </c>
      <c r="AZ1256" s="209">
        <v>381.30469802805135</v>
      </c>
      <c r="BA1256">
        <v>5.0501792873964627E-2</v>
      </c>
      <c r="BB1256" s="249">
        <v>58.718961922672896</v>
      </c>
      <c r="BC1256" s="243">
        <v>199.34403311059521</v>
      </c>
      <c r="BD1256" s="209">
        <v>107548.97043737507</v>
      </c>
      <c r="BE1256" s="243">
        <v>80.353394454915929</v>
      </c>
      <c r="BF1256">
        <v>369735.52588928223</v>
      </c>
      <c r="BG1256" t="s">
        <v>388</v>
      </c>
      <c r="BH1256">
        <v>7.1177214528599544E-6</v>
      </c>
      <c r="BI1256">
        <v>2275489.7043737508</v>
      </c>
      <c r="BJ1256">
        <f t="shared" si="73"/>
        <v>0.1624861343818029</v>
      </c>
    </row>
    <row r="1257" spans="1:62" x14ac:dyDescent="0.3">
      <c r="A1257">
        <v>-0.1</v>
      </c>
      <c r="B1257" s="146">
        <v>1000</v>
      </c>
      <c r="C1257" s="146">
        <v>25</v>
      </c>
      <c r="D1257" s="146">
        <v>600</v>
      </c>
      <c r="E1257" s="252">
        <v>20.619217362978564</v>
      </c>
      <c r="F1257" s="146">
        <v>4.3302070724613868</v>
      </c>
      <c r="G1257" s="146">
        <v>23.459762224067742</v>
      </c>
      <c r="H1257" s="146">
        <v>0</v>
      </c>
      <c r="I1257" s="146"/>
      <c r="J1257" s="146">
        <v>4.5402267603128023E-2</v>
      </c>
      <c r="K1257" s="146">
        <v>1E-8</v>
      </c>
      <c r="L1257" s="146">
        <v>104.24470886146813</v>
      </c>
      <c r="M1257" s="146">
        <v>62.546824830405569</v>
      </c>
      <c r="N1257" s="146">
        <v>0.82289696583362093</v>
      </c>
      <c r="O1257" s="146"/>
      <c r="P1257" s="146"/>
      <c r="Q1257" s="146"/>
      <c r="R1257" s="146"/>
      <c r="S1257" s="146"/>
      <c r="T1257" s="146"/>
      <c r="U1257" s="146"/>
      <c r="V1257" s="146"/>
      <c r="W1257" s="146"/>
      <c r="X1257" s="146"/>
      <c r="Y1257" s="146"/>
      <c r="Z1257" s="146" t="s">
        <v>35</v>
      </c>
      <c r="AA1257" s="146"/>
      <c r="AB1257" s="146"/>
      <c r="AC1257" s="146"/>
      <c r="AD1257" s="146"/>
      <c r="AE1257" s="146"/>
      <c r="AF1257" s="146"/>
      <c r="AG1257" s="146"/>
      <c r="AH1257" s="146"/>
      <c r="AI1257" s="146"/>
      <c r="AJ1257" s="146"/>
      <c r="AK1257" s="146"/>
      <c r="AL1257" s="146">
        <v>885.6070595781448</v>
      </c>
      <c r="AM1257" s="146">
        <v>0.18458017737362056</v>
      </c>
      <c r="AN1257" s="146">
        <v>0.27664376162357229</v>
      </c>
      <c r="AO1257" s="146">
        <v>525.46653775249399</v>
      </c>
      <c r="AP1257" s="146">
        <v>474.15857666133394</v>
      </c>
      <c r="AQ1257" t="s">
        <v>308</v>
      </c>
      <c r="AR1257">
        <v>0</v>
      </c>
      <c r="AS1257">
        <v>0</v>
      </c>
      <c r="AT1257">
        <v>0</v>
      </c>
      <c r="AU1257">
        <v>1</v>
      </c>
      <c r="AV1257">
        <v>0.1</v>
      </c>
      <c r="AW1257" s="146">
        <v>3</v>
      </c>
      <c r="AX1257" s="141">
        <v>4.308941012924488E-2</v>
      </c>
      <c r="AY1257" s="141">
        <v>1E-8</v>
      </c>
      <c r="AZ1257" s="209">
        <v>474.15857666133394</v>
      </c>
      <c r="BA1257">
        <v>4.308941012924488E-2</v>
      </c>
      <c r="BB1257" s="249">
        <v>53.56842307251901</v>
      </c>
      <c r="BC1257" s="243">
        <v>196.15656936021315</v>
      </c>
      <c r="BD1257" s="209">
        <v>102043.10902652233</v>
      </c>
      <c r="BE1257" s="243">
        <v>74.019960583181074</v>
      </c>
      <c r="BF1257">
        <v>381403.32425189944</v>
      </c>
      <c r="BG1257" t="s">
        <v>388</v>
      </c>
      <c r="BH1257">
        <v>7.6564681253122932E-6</v>
      </c>
      <c r="BI1257">
        <v>2220431.0902652233</v>
      </c>
      <c r="BJ1257">
        <f t="shared" si="73"/>
        <v>0.17176994409961269</v>
      </c>
    </row>
    <row r="1258" spans="1:62" x14ac:dyDescent="0.3">
      <c r="A1258">
        <v>-0.1</v>
      </c>
      <c r="B1258" s="146">
        <v>1000</v>
      </c>
      <c r="C1258" s="146">
        <v>25</v>
      </c>
      <c r="D1258" s="146">
        <v>700</v>
      </c>
      <c r="E1258" s="252">
        <v>21.438724766602917</v>
      </c>
      <c r="F1258" s="146">
        <v>3.7167336732729845</v>
      </c>
      <c r="G1258" s="146">
        <v>23.955516006683709</v>
      </c>
      <c r="H1258" s="146">
        <v>0</v>
      </c>
      <c r="I1258" s="146"/>
      <c r="J1258" s="146">
        <v>3.9071174145980381E-2</v>
      </c>
      <c r="K1258" s="146">
        <v>1E-8</v>
      </c>
      <c r="L1258" s="146">
        <v>103.49615776011126</v>
      </c>
      <c r="M1258" s="146">
        <v>62.097694173084697</v>
      </c>
      <c r="N1258" s="146">
        <v>0.76127822765570752</v>
      </c>
      <c r="O1258" s="146"/>
      <c r="P1258" s="146"/>
      <c r="Q1258" s="146"/>
      <c r="R1258" s="146"/>
      <c r="S1258" s="146"/>
      <c r="T1258" s="146"/>
      <c r="U1258" s="146"/>
      <c r="V1258" s="146"/>
      <c r="W1258" s="146"/>
      <c r="X1258" s="146"/>
      <c r="Y1258" s="146"/>
      <c r="Z1258" s="146" t="s">
        <v>35</v>
      </c>
      <c r="AA1258" s="146"/>
      <c r="AB1258" s="146"/>
      <c r="AC1258" s="146"/>
      <c r="AD1258" s="146"/>
      <c r="AE1258" s="146"/>
      <c r="AF1258" s="146"/>
      <c r="AG1258" s="146"/>
      <c r="AH1258" s="146"/>
      <c r="AI1258" s="146"/>
      <c r="AJ1258" s="146"/>
      <c r="AK1258" s="146"/>
      <c r="AL1258" s="146">
        <v>949.32162855930494</v>
      </c>
      <c r="AM1258" s="146">
        <v>0.15515147627110171</v>
      </c>
      <c r="AN1258" s="146">
        <v>0.27496015573242372</v>
      </c>
      <c r="AO1258" s="146">
        <v>622.0297038692911</v>
      </c>
      <c r="AP1258" s="146">
        <v>568.68251473145119</v>
      </c>
      <c r="AQ1258" t="s">
        <v>308</v>
      </c>
      <c r="AR1258">
        <v>0</v>
      </c>
      <c r="AS1258">
        <v>0</v>
      </c>
      <c r="AT1258">
        <v>0</v>
      </c>
      <c r="AU1258">
        <v>1</v>
      </c>
      <c r="AV1258">
        <v>0.1</v>
      </c>
      <c r="AW1258" s="146">
        <v>3</v>
      </c>
      <c r="AX1258" s="141">
        <v>3.7328515668690478E-2</v>
      </c>
      <c r="AY1258" s="141">
        <v>1E-8</v>
      </c>
      <c r="AZ1258" s="209">
        <v>568.68251473145119</v>
      </c>
      <c r="BA1258">
        <v>3.7328515668690478E-2</v>
      </c>
      <c r="BB1258" s="249">
        <v>49.807010041200321</v>
      </c>
      <c r="BC1258" s="243">
        <v>193.96827754396452</v>
      </c>
      <c r="BD1258" s="209">
        <v>98106.437152891624</v>
      </c>
      <c r="BE1258" s="243">
        <v>69.401483833755961</v>
      </c>
      <c r="BF1258">
        <v>389389.00389626529</v>
      </c>
      <c r="BG1258" t="s">
        <v>388</v>
      </c>
      <c r="BH1258">
        <v>8.0697512047273953E-6</v>
      </c>
      <c r="BI1258">
        <v>2181064.3715289161</v>
      </c>
      <c r="BJ1258">
        <f t="shared" si="73"/>
        <v>0.17853164215566247</v>
      </c>
    </row>
    <row r="1259" spans="1:62" x14ac:dyDescent="0.3">
      <c r="A1259">
        <v>-0.1</v>
      </c>
      <c r="B1259" s="146">
        <v>1000</v>
      </c>
      <c r="C1259" s="146">
        <v>25</v>
      </c>
      <c r="D1259" s="146">
        <v>800</v>
      </c>
      <c r="E1259" s="252">
        <v>22.073973128319981</v>
      </c>
      <c r="F1259" s="146">
        <v>3.24980785851869</v>
      </c>
      <c r="G1259" s="146">
        <v>24.344583264153293</v>
      </c>
      <c r="H1259" s="146">
        <v>0</v>
      </c>
      <c r="I1259" s="146"/>
      <c r="J1259" s="146">
        <v>3.4068552344145249E-2</v>
      </c>
      <c r="K1259" s="146">
        <v>1E-8</v>
      </c>
      <c r="L1259" s="146">
        <v>102.95221404326048</v>
      </c>
      <c r="M1259" s="146">
        <v>61.771327945512617</v>
      </c>
      <c r="N1259" s="146">
        <v>0.70582807256577973</v>
      </c>
      <c r="O1259" s="146"/>
      <c r="P1259" s="146"/>
      <c r="Q1259" s="146"/>
      <c r="R1259" s="146"/>
      <c r="S1259" s="146"/>
      <c r="T1259" s="146"/>
      <c r="U1259" s="146"/>
      <c r="V1259" s="146"/>
      <c r="W1259" s="146"/>
      <c r="X1259" s="146"/>
      <c r="Y1259" s="146"/>
      <c r="Z1259" s="146" t="s">
        <v>35</v>
      </c>
      <c r="AA1259" s="146"/>
      <c r="AB1259" s="146"/>
      <c r="AC1259" s="146"/>
      <c r="AD1259" s="146"/>
      <c r="AE1259" s="146"/>
      <c r="AF1259" s="146"/>
      <c r="AG1259" s="146"/>
      <c r="AH1259" s="146"/>
      <c r="AI1259" s="146"/>
      <c r="AJ1259" s="146"/>
      <c r="AK1259" s="146"/>
      <c r="AL1259" s="146">
        <v>1017.2888996116292</v>
      </c>
      <c r="AM1259" s="146">
        <v>0.13349203078386393</v>
      </c>
      <c r="AN1259" s="146">
        <v>0.27354074751442159</v>
      </c>
      <c r="AO1259" s="146">
        <v>719.30279737516548</v>
      </c>
      <c r="AP1259" s="146">
        <v>664.37486332873937</v>
      </c>
      <c r="AQ1259" t="s">
        <v>308</v>
      </c>
      <c r="AR1259">
        <v>0</v>
      </c>
      <c r="AS1259">
        <v>0</v>
      </c>
      <c r="AT1259">
        <v>0</v>
      </c>
      <c r="AU1259">
        <v>1</v>
      </c>
      <c r="AV1259">
        <v>0.1</v>
      </c>
      <c r="AW1259" s="146">
        <v>3</v>
      </c>
      <c r="AX1259" s="141">
        <v>3.2751672279616395E-2</v>
      </c>
      <c r="AY1259" s="141">
        <v>1E-8</v>
      </c>
      <c r="AZ1259" s="209">
        <v>664.37486332873937</v>
      </c>
      <c r="BA1259">
        <v>3.2751672279616395E-2</v>
      </c>
      <c r="BB1259" s="249">
        <v>46.953347178151603</v>
      </c>
      <c r="BC1259" s="243">
        <v>192.39201020722413</v>
      </c>
      <c r="BD1259" s="209">
        <v>95162.433027889449</v>
      </c>
      <c r="BE1259" s="243">
        <v>65.890472422361924</v>
      </c>
      <c r="BF1259">
        <v>395098.76741237717</v>
      </c>
      <c r="BG1259" t="s">
        <v>388</v>
      </c>
      <c r="BH1259">
        <v>8.3951997385862326E-6</v>
      </c>
      <c r="BI1259">
        <v>2151624.3302788944</v>
      </c>
      <c r="BJ1259">
        <f t="shared" si="73"/>
        <v>0.18362813705548883</v>
      </c>
    </row>
    <row r="1260" spans="1:62" x14ac:dyDescent="0.3">
      <c r="A1260">
        <v>-0.1</v>
      </c>
      <c r="B1260" s="146">
        <v>1000</v>
      </c>
      <c r="C1260" s="146">
        <v>25</v>
      </c>
      <c r="D1260" s="146">
        <v>900</v>
      </c>
      <c r="E1260" s="252">
        <v>22.578974539421385</v>
      </c>
      <c r="F1260" s="146">
        <v>2.8837483060569862</v>
      </c>
      <c r="G1260" s="146">
        <v>24.656718894750785</v>
      </c>
      <c r="H1260" s="146">
        <v>0</v>
      </c>
      <c r="I1260" s="146"/>
      <c r="J1260" s="146">
        <v>3.0053523654219809E-2</v>
      </c>
      <c r="K1260" s="146">
        <v>1E-8</v>
      </c>
      <c r="L1260" s="146">
        <v>102.54254654169773</v>
      </c>
      <c r="M1260" s="146">
        <v>61.525527446486748</v>
      </c>
      <c r="N1260" s="146">
        <v>0.6566003950112308</v>
      </c>
      <c r="O1260" s="146"/>
      <c r="P1260" s="146"/>
      <c r="Q1260" s="146"/>
      <c r="R1260" s="146"/>
      <c r="S1260" s="146"/>
      <c r="T1260" s="146"/>
      <c r="U1260" s="146"/>
      <c r="V1260" s="146"/>
      <c r="W1260" s="146"/>
      <c r="X1260" s="146"/>
      <c r="Y1260" s="146"/>
      <c r="Z1260" s="146" t="s">
        <v>35</v>
      </c>
      <c r="AA1260" s="146"/>
      <c r="AB1260" s="146"/>
      <c r="AC1260" s="146"/>
      <c r="AD1260" s="146"/>
      <c r="AE1260" s="146"/>
      <c r="AF1260" s="146"/>
      <c r="AG1260" s="146"/>
      <c r="AH1260" s="146"/>
      <c r="AI1260" s="146"/>
      <c r="AJ1260" s="146"/>
      <c r="AK1260" s="146"/>
      <c r="AL1260" s="146">
        <v>1089.2099113941622</v>
      </c>
      <c r="AM1260" s="146">
        <v>0.11695588202008957</v>
      </c>
      <c r="AN1260" s="146">
        <v>0.27234509521103284</v>
      </c>
      <c r="AO1260" s="146">
        <v>817.09424940469171</v>
      </c>
      <c r="AP1260" s="146">
        <v>760.90971388854689</v>
      </c>
      <c r="AQ1260" t="s">
        <v>308</v>
      </c>
      <c r="AR1260">
        <v>0</v>
      </c>
      <c r="AS1260">
        <v>0</v>
      </c>
      <c r="AT1260">
        <v>0</v>
      </c>
      <c r="AU1260">
        <v>1</v>
      </c>
      <c r="AV1260">
        <v>0.1</v>
      </c>
      <c r="AW1260" s="146">
        <v>3</v>
      </c>
      <c r="AX1260" s="141">
        <v>2.905258558479647E-2</v>
      </c>
      <c r="AY1260" s="141">
        <v>1E-8</v>
      </c>
      <c r="AZ1260" s="209">
        <v>760.90971388854689</v>
      </c>
      <c r="BA1260">
        <v>2.905258558479647E-2</v>
      </c>
      <c r="BB1260" s="249">
        <v>44.721881046947722</v>
      </c>
      <c r="BC1260" s="243">
        <v>191.21244655536893</v>
      </c>
      <c r="BD1260" s="209">
        <v>92883.796969712057</v>
      </c>
      <c r="BE1260" s="243">
        <v>63.135634364994537</v>
      </c>
      <c r="BF1260">
        <v>399332.28390110575</v>
      </c>
      <c r="BG1260" t="s">
        <v>388</v>
      </c>
      <c r="BH1260">
        <v>8.6572434715306481E-6</v>
      </c>
      <c r="BI1260">
        <v>2128837.9696971206</v>
      </c>
      <c r="BJ1260">
        <f t="shared" si="73"/>
        <v>0.18758228178254477</v>
      </c>
    </row>
    <row r="1261" spans="1:62" x14ac:dyDescent="0.3">
      <c r="A1261">
        <v>-0.1</v>
      </c>
      <c r="B1261" s="146">
        <v>1000</v>
      </c>
      <c r="C1261" s="146">
        <v>25</v>
      </c>
      <c r="D1261" s="146">
        <v>1000</v>
      </c>
      <c r="E1261" s="252">
        <v>22.990944769692941</v>
      </c>
      <c r="F1261" s="146">
        <v>2.5900476678437805</v>
      </c>
      <c r="G1261" s="146">
        <v>24.914081288585262</v>
      </c>
      <c r="H1261" s="146">
        <v>0</v>
      </c>
      <c r="I1261" s="146"/>
      <c r="J1261" s="146">
        <v>2.6809633553698059E-2</v>
      </c>
      <c r="K1261" s="146">
        <v>1E-8</v>
      </c>
      <c r="L1261" s="146">
        <v>102.22735035971576</v>
      </c>
      <c r="M1261" s="146">
        <v>61.336409738768488</v>
      </c>
      <c r="N1261" s="146">
        <v>0.61257737367974452</v>
      </c>
      <c r="O1261" s="146"/>
      <c r="P1261" s="146"/>
      <c r="Q1261" s="146"/>
      <c r="R1261" s="146"/>
      <c r="S1261" s="146"/>
      <c r="T1261" s="146"/>
      <c r="U1261" s="146"/>
      <c r="V1261" s="146"/>
      <c r="W1261" s="146"/>
      <c r="X1261" s="146"/>
      <c r="Y1261" s="146"/>
      <c r="Z1261" s="146" t="s">
        <v>35</v>
      </c>
      <c r="AA1261" s="146"/>
      <c r="AB1261" s="146"/>
      <c r="AC1261" s="146"/>
      <c r="AD1261" s="146"/>
      <c r="AE1261" s="146"/>
      <c r="AF1261" s="146"/>
      <c r="AG1261" s="146"/>
      <c r="AH1261" s="146"/>
      <c r="AI1261" s="146"/>
      <c r="AJ1261" s="146"/>
      <c r="AK1261" s="146"/>
      <c r="AL1261" s="146">
        <v>1164.3339328429513</v>
      </c>
      <c r="AM1261" s="146">
        <v>0.10395918829366778</v>
      </c>
      <c r="AN1261" s="146">
        <v>0.27129566754048234</v>
      </c>
      <c r="AO1261" s="146">
        <v>915.25502423933006</v>
      </c>
      <c r="AP1261" s="146">
        <v>858.04524600307911</v>
      </c>
      <c r="AQ1261" t="s">
        <v>308</v>
      </c>
      <c r="AR1261">
        <v>0</v>
      </c>
      <c r="AS1261">
        <v>0</v>
      </c>
      <c r="AT1261">
        <v>0</v>
      </c>
      <c r="AU1261">
        <v>1</v>
      </c>
      <c r="AV1261">
        <v>0.1</v>
      </c>
      <c r="AW1261" s="146">
        <v>3</v>
      </c>
      <c r="AX1261" s="141">
        <v>2.6042321355802887E-2</v>
      </c>
      <c r="AY1261" s="141">
        <v>1E-8</v>
      </c>
      <c r="AZ1261" s="209">
        <v>858.04524600307911</v>
      </c>
      <c r="BA1261">
        <v>2.6042321355802887E-2</v>
      </c>
      <c r="BB1261" s="249">
        <v>42.937630678946839</v>
      </c>
      <c r="BC1261" s="243">
        <v>190.30928344902637</v>
      </c>
      <c r="BD1261" s="209">
        <v>91085.059809759405</v>
      </c>
      <c r="BE1261" s="243">
        <v>60.935790539144683</v>
      </c>
      <c r="BF1261">
        <v>402651.70790801715</v>
      </c>
      <c r="BG1261" t="s">
        <v>388</v>
      </c>
      <c r="BH1261">
        <v>8.8722179107819625E-6</v>
      </c>
      <c r="BI1261">
        <v>2110850.598097594</v>
      </c>
      <c r="BJ1261">
        <f t="shared" si="73"/>
        <v>0.19075329550604261</v>
      </c>
    </row>
    <row r="1262" spans="1:62" s="140" customFormat="1" x14ac:dyDescent="0.3">
      <c r="A1262" s="140">
        <v>-0.1</v>
      </c>
      <c r="B1262" s="140">
        <v>1000</v>
      </c>
      <c r="C1262" s="140">
        <v>25</v>
      </c>
      <c r="D1262" s="140">
        <v>1100</v>
      </c>
      <c r="E1262" s="253">
        <v>23.331343924406855</v>
      </c>
      <c r="F1262" s="140">
        <v>2.3493139873840576</v>
      </c>
      <c r="G1262" s="140">
        <v>25.127801945870456</v>
      </c>
      <c r="H1262" s="140">
        <v>0</v>
      </c>
      <c r="J1262" s="140">
        <v>2.4132682559945898E-2</v>
      </c>
      <c r="K1262" s="140">
        <v>1E-8</v>
      </c>
      <c r="L1262" s="140">
        <v>101.97641565227022</v>
      </c>
      <c r="M1262" s="140">
        <v>61.185848915472185</v>
      </c>
      <c r="N1262" s="140">
        <v>0.573742297261298</v>
      </c>
      <c r="Z1262" s="140" t="s">
        <v>35</v>
      </c>
      <c r="AL1262" s="140">
        <v>1242.5307559274358</v>
      </c>
      <c r="AM1262" s="140">
        <v>9.3494607783238592E-2</v>
      </c>
      <c r="AN1262" s="140">
        <v>0.27040275672843328</v>
      </c>
      <c r="AO1262" s="140">
        <v>1013.7163237287606</v>
      </c>
      <c r="AP1262" s="140">
        <v>955.65960729678682</v>
      </c>
      <c r="AQ1262" s="140" t="s">
        <v>308</v>
      </c>
      <c r="AR1262" s="140">
        <v>0</v>
      </c>
      <c r="AS1262" s="140">
        <v>0</v>
      </c>
      <c r="AT1262" s="140">
        <v>0</v>
      </c>
      <c r="AU1262" s="140">
        <v>1</v>
      </c>
      <c r="AV1262">
        <v>0.1</v>
      </c>
      <c r="AW1262" s="140">
        <v>3</v>
      </c>
      <c r="AX1262" s="141">
        <v>2.353937262299572E-2</v>
      </c>
      <c r="AY1262" s="205">
        <v>1E-8</v>
      </c>
      <c r="AZ1262" s="209">
        <v>955.65960729678682</v>
      </c>
      <c r="BA1262" s="140">
        <v>2.353937262299572E-2</v>
      </c>
      <c r="BB1262" s="253">
        <v>41.47745690160923</v>
      </c>
      <c r="BC1262" s="245">
        <v>189.59295855863567</v>
      </c>
      <c r="BD1262" s="210">
        <v>89620.458784083195</v>
      </c>
      <c r="BE1262" s="245">
        <v>59.127452549992547</v>
      </c>
      <c r="BF1262" s="140">
        <v>405248.98379967693</v>
      </c>
      <c r="BG1262" t="s">
        <v>388</v>
      </c>
      <c r="BH1262" s="140">
        <v>9.0515119985976073E-6</v>
      </c>
      <c r="BI1262" s="140">
        <v>2096204.5878408318</v>
      </c>
      <c r="BJ1262">
        <f t="shared" si="73"/>
        <v>0.19332511060721339</v>
      </c>
    </row>
    <row r="1263" spans="1:62" x14ac:dyDescent="0.3">
      <c r="A1263">
        <v>-0.1</v>
      </c>
      <c r="B1263" s="146">
        <v>1000</v>
      </c>
      <c r="C1263" s="146">
        <v>25</v>
      </c>
      <c r="D1263" s="146">
        <v>400</v>
      </c>
      <c r="E1263" s="252">
        <v>18.013662855761815</v>
      </c>
      <c r="F1263" s="146">
        <v>6.3554204987724052</v>
      </c>
      <c r="G1263" s="146">
        <v>21.925163478285768</v>
      </c>
      <c r="H1263" s="146">
        <v>0</v>
      </c>
      <c r="I1263" s="146"/>
      <c r="J1263" s="146">
        <v>6.4164551424429103E-2</v>
      </c>
      <c r="K1263" s="146">
        <v>1E-8</v>
      </c>
      <c r="L1263" s="146">
        <v>106.92216781698576</v>
      </c>
      <c r="M1263" s="146">
        <v>64.153300191221348</v>
      </c>
      <c r="N1263" s="146">
        <v>0.95766580922495503</v>
      </c>
      <c r="O1263" s="146"/>
      <c r="P1263" s="146"/>
      <c r="Q1263" s="146"/>
      <c r="R1263" s="146"/>
      <c r="S1263" s="146"/>
      <c r="T1263" s="146"/>
      <c r="U1263" s="146"/>
      <c r="V1263" s="146"/>
      <c r="W1263" s="146"/>
      <c r="X1263" s="146"/>
      <c r="Y1263" s="146"/>
      <c r="Z1263" s="146" t="s">
        <v>35</v>
      </c>
      <c r="AA1263" s="146"/>
      <c r="AB1263" s="146"/>
      <c r="AC1263" s="146"/>
      <c r="AD1263" s="146"/>
      <c r="AE1263" s="146"/>
      <c r="AF1263" s="146"/>
      <c r="AG1263" s="146"/>
      <c r="AH1263" s="146"/>
      <c r="AI1263" s="146"/>
      <c r="AJ1263" s="146"/>
      <c r="AK1263" s="146"/>
      <c r="AL1263" s="146">
        <v>769.89991747288639</v>
      </c>
      <c r="AM1263" s="146">
        <v>0.28986878501803115</v>
      </c>
      <c r="AN1263" s="146">
        <v>0.28098697587210808</v>
      </c>
      <c r="AO1263" s="146">
        <v>335.89146685588452</v>
      </c>
      <c r="AP1263" s="146">
        <v>291.06701286040891</v>
      </c>
      <c r="AQ1263" t="s">
        <v>308</v>
      </c>
      <c r="AR1263">
        <v>0</v>
      </c>
      <c r="AS1263">
        <v>0</v>
      </c>
      <c r="AT1263">
        <v>0</v>
      </c>
      <c r="AU1263">
        <v>1</v>
      </c>
      <c r="AV1263">
        <v>0.1</v>
      </c>
      <c r="AW1263" s="146">
        <v>3</v>
      </c>
      <c r="AX1263" s="141">
        <v>6.0140016181592509E-2</v>
      </c>
      <c r="AY1263" s="141">
        <v>1E-8</v>
      </c>
      <c r="AZ1263" s="209">
        <v>291.06701286040891</v>
      </c>
      <c r="BA1263">
        <v>6.0140016181592509E-2</v>
      </c>
      <c r="BB1263" s="249">
        <v>66.05625688691903</v>
      </c>
      <c r="BC1263" s="243">
        <v>204.171866160506</v>
      </c>
      <c r="BD1263" s="209">
        <v>115548.49428321826</v>
      </c>
      <c r="BE1263" s="243">
        <v>89.34428309459453</v>
      </c>
      <c r="BF1263">
        <v>351076.03720005392</v>
      </c>
      <c r="BG1263" t="s">
        <v>389</v>
      </c>
      <c r="BH1263">
        <v>6.3950213216783035E-6</v>
      </c>
      <c r="BI1263">
        <v>2355484.9428321826</v>
      </c>
      <c r="BJ1263">
        <f t="shared" si="73"/>
        <v>0.14904618187791424</v>
      </c>
    </row>
    <row r="1264" spans="1:62" x14ac:dyDescent="0.3">
      <c r="A1264">
        <v>-0.1</v>
      </c>
      <c r="B1264" s="146">
        <v>1000</v>
      </c>
      <c r="C1264" s="146">
        <v>25</v>
      </c>
      <c r="D1264" s="146">
        <v>400</v>
      </c>
      <c r="E1264" s="252">
        <v>17.382019473331031</v>
      </c>
      <c r="F1264" s="146">
        <v>6.0431457970672033</v>
      </c>
      <c r="G1264" s="146">
        <v>21.096360258438374</v>
      </c>
      <c r="H1264" s="146">
        <v>0</v>
      </c>
      <c r="I1264" s="146"/>
      <c r="J1264" s="146">
        <v>6.3802820040050903E-2</v>
      </c>
      <c r="K1264" s="146">
        <v>1E-8</v>
      </c>
      <c r="L1264" s="146">
        <v>102.9462401160001</v>
      </c>
      <c r="M1264" s="146">
        <v>61.767743589184263</v>
      </c>
      <c r="N1264" s="146">
        <v>0.92631444932386042</v>
      </c>
      <c r="O1264" s="146"/>
      <c r="P1264" s="146"/>
      <c r="Q1264" s="146"/>
      <c r="R1264" s="146"/>
      <c r="S1264" s="146"/>
      <c r="T1264" s="146"/>
      <c r="U1264" s="146"/>
      <c r="V1264" s="146"/>
      <c r="W1264" s="146"/>
      <c r="X1264" s="146"/>
      <c r="Y1264" s="146"/>
      <c r="Z1264" s="146" t="s">
        <v>35</v>
      </c>
      <c r="AA1264" s="146"/>
      <c r="AB1264" s="146"/>
      <c r="AC1264" s="146"/>
      <c r="AD1264" s="146"/>
      <c r="AE1264" s="146"/>
      <c r="AF1264" s="146"/>
      <c r="AG1264" s="146"/>
      <c r="AH1264" s="146"/>
      <c r="AI1264" s="146"/>
      <c r="AJ1264" s="146"/>
      <c r="AK1264" s="146"/>
      <c r="AL1264" s="146">
        <v>758.3831846148455</v>
      </c>
      <c r="AM1264" s="146">
        <v>0.28645442735317311</v>
      </c>
      <c r="AN1264" s="146">
        <v>0.28253629383110079</v>
      </c>
      <c r="AO1264" s="146">
        <v>338.47863140824683</v>
      </c>
      <c r="AP1264" s="146">
        <v>295.22595995291528</v>
      </c>
      <c r="AQ1264" t="s">
        <v>308</v>
      </c>
      <c r="AR1264">
        <v>0</v>
      </c>
      <c r="AS1264">
        <v>0</v>
      </c>
      <c r="AT1264">
        <v>0</v>
      </c>
      <c r="AU1264">
        <v>1</v>
      </c>
      <c r="AV1264">
        <v>0.1</v>
      </c>
      <c r="AW1264" s="146">
        <v>2.5</v>
      </c>
      <c r="AX1264" s="141">
        <v>5.98918724295599E-2</v>
      </c>
      <c r="AY1264" s="141">
        <v>1E-8</v>
      </c>
      <c r="AZ1264" s="209">
        <v>295.22595995291528</v>
      </c>
      <c r="BA1264">
        <v>5.98918724295599E-2</v>
      </c>
      <c r="BB1264" s="249">
        <v>63.064433299314139</v>
      </c>
      <c r="BC1264" s="243">
        <v>192.37476273958049</v>
      </c>
      <c r="BD1264" s="209">
        <v>107836.71609919981</v>
      </c>
      <c r="BE1264" s="243">
        <v>84.732391889915959</v>
      </c>
      <c r="BF1264">
        <v>399380.52023669414</v>
      </c>
      <c r="BG1264" t="s">
        <v>389</v>
      </c>
      <c r="BH1264">
        <v>6.2216811829448769E-6</v>
      </c>
      <c r="BI1264">
        <v>2278367.1609919984</v>
      </c>
      <c r="BJ1264">
        <f t="shared" si="73"/>
        <v>0.17529243182332577</v>
      </c>
    </row>
    <row r="1265" spans="1:62" x14ac:dyDescent="0.3">
      <c r="A1265">
        <v>-0.1</v>
      </c>
      <c r="B1265" s="146">
        <v>1000</v>
      </c>
      <c r="C1265" s="146">
        <v>25</v>
      </c>
      <c r="D1265" s="146">
        <v>400</v>
      </c>
      <c r="E1265" s="252">
        <v>15.100674451620902</v>
      </c>
      <c r="F1265" s="146">
        <v>4.9965462570146002</v>
      </c>
      <c r="G1265" s="146">
        <v>18.160334183640451</v>
      </c>
      <c r="H1265" s="146">
        <v>0</v>
      </c>
      <c r="I1265" s="146"/>
      <c r="J1265" s="146">
        <v>6.2641442666374184E-2</v>
      </c>
      <c r="K1265" s="146">
        <v>1E-8</v>
      </c>
      <c r="L1265" s="146">
        <v>88.766009561860031</v>
      </c>
      <c r="M1265" s="146">
        <v>53.259605322874641</v>
      </c>
      <c r="N1265" s="146">
        <v>0.81309026867696965</v>
      </c>
      <c r="O1265" s="146"/>
      <c r="P1265" s="146"/>
      <c r="Q1265" s="146"/>
      <c r="R1265" s="146"/>
      <c r="S1265" s="146"/>
      <c r="T1265" s="146"/>
      <c r="U1265" s="146"/>
      <c r="V1265" s="146"/>
      <c r="W1265" s="146"/>
      <c r="X1265" s="146"/>
      <c r="Y1265" s="146"/>
      <c r="Z1265" s="146" t="s">
        <v>35</v>
      </c>
      <c r="AA1265" s="146"/>
      <c r="AB1265" s="146"/>
      <c r="AC1265" s="146"/>
      <c r="AD1265" s="146"/>
      <c r="AE1265" s="146"/>
      <c r="AF1265" s="146"/>
      <c r="AG1265" s="146"/>
      <c r="AH1265" s="146"/>
      <c r="AI1265" s="146"/>
      <c r="AJ1265" s="146"/>
      <c r="AK1265" s="146"/>
      <c r="AL1265" s="146">
        <v>716.39379957886035</v>
      </c>
      <c r="AM1265" s="146">
        <v>0.27513514930334748</v>
      </c>
      <c r="AN1265" s="146">
        <v>0.28721950607129731</v>
      </c>
      <c r="AO1265" s="146">
        <v>347.42462077811518</v>
      </c>
      <c r="AP1265" s="146">
        <v>309.8486652403754</v>
      </c>
      <c r="AQ1265" t="s">
        <v>308</v>
      </c>
      <c r="AR1265">
        <v>0</v>
      </c>
      <c r="AS1265">
        <v>0</v>
      </c>
      <c r="AT1265">
        <v>0</v>
      </c>
      <c r="AU1265">
        <v>1</v>
      </c>
      <c r="AV1265">
        <v>0.1</v>
      </c>
      <c r="AW1265" s="146">
        <v>1.5</v>
      </c>
      <c r="AX1265" s="141">
        <v>5.9095517309396058E-2</v>
      </c>
      <c r="AY1265" s="141">
        <v>1E-8</v>
      </c>
      <c r="AZ1265" s="209">
        <v>309.8486652403754</v>
      </c>
      <c r="BA1265">
        <v>5.9095517309396058E-2</v>
      </c>
      <c r="BB1265" s="249">
        <v>52.874825594971973</v>
      </c>
      <c r="BC1265" s="243">
        <v>154.88167828572202</v>
      </c>
      <c r="BD1265" s="209">
        <v>83609.812563873289</v>
      </c>
      <c r="BE1265" s="243">
        <v>69.672963119177439</v>
      </c>
      <c r="BF1265">
        <v>520261.34030319814</v>
      </c>
      <c r="BG1265" t="s">
        <v>389</v>
      </c>
      <c r="BH1265">
        <v>5.6121269813951828E-6</v>
      </c>
      <c r="BI1265">
        <v>2036098.1256387329</v>
      </c>
      <c r="BJ1265">
        <f t="shared" si="73"/>
        <v>0.25551879536257116</v>
      </c>
    </row>
    <row r="1266" spans="1:62" x14ac:dyDescent="0.3">
      <c r="A1266">
        <v>-0.1</v>
      </c>
      <c r="B1266" s="146">
        <v>1000</v>
      </c>
      <c r="C1266" s="146">
        <v>25</v>
      </c>
      <c r="D1266" s="146">
        <v>400</v>
      </c>
      <c r="E1266" s="252">
        <v>13.016108433253416</v>
      </c>
      <c r="F1266" s="146">
        <v>4.1324117072165603</v>
      </c>
      <c r="G1266" s="146">
        <v>15.540959106047705</v>
      </c>
      <c r="H1266" s="146">
        <v>0</v>
      </c>
      <c r="I1266" s="146"/>
      <c r="J1266" s="146">
        <v>6.1579483679854066E-2</v>
      </c>
      <c r="K1266" s="146">
        <v>1E-8</v>
      </c>
      <c r="L1266" s="146">
        <v>76.044922207848487</v>
      </c>
      <c r="M1266" s="146">
        <v>45.626952969832786</v>
      </c>
      <c r="N1266" s="146">
        <v>0.71158744266512053</v>
      </c>
      <c r="O1266" s="146"/>
      <c r="P1266" s="146"/>
      <c r="Q1266" s="146"/>
      <c r="R1266" s="146"/>
      <c r="S1266" s="146"/>
      <c r="T1266" s="146"/>
      <c r="U1266" s="146"/>
      <c r="V1266" s="146"/>
      <c r="W1266" s="146"/>
      <c r="X1266" s="146"/>
      <c r="Y1266" s="146"/>
      <c r="Z1266" s="146" t="s">
        <v>35</v>
      </c>
      <c r="AA1266" s="146"/>
      <c r="AB1266" s="146"/>
      <c r="AC1266" s="146"/>
      <c r="AD1266" s="146"/>
      <c r="AE1266" s="146"/>
      <c r="AF1266" s="146"/>
      <c r="AG1266" s="146"/>
      <c r="AH1266" s="146"/>
      <c r="AI1266" s="146"/>
      <c r="AJ1266" s="146"/>
      <c r="AK1266" s="146"/>
      <c r="AL1266" s="146">
        <v>678.62947832773375</v>
      </c>
      <c r="AM1266" s="146">
        <v>0.26590454804095381</v>
      </c>
      <c r="AN1266" s="146">
        <v>0.29069703241603839</v>
      </c>
      <c r="AO1266" s="146">
        <v>355.22448810339046</v>
      </c>
      <c r="AP1266" s="146">
        <v>322.8357569951736</v>
      </c>
      <c r="AQ1266" t="s">
        <v>308</v>
      </c>
      <c r="AR1266">
        <v>0</v>
      </c>
      <c r="AS1266">
        <v>0</v>
      </c>
      <c r="AT1266">
        <v>0</v>
      </c>
      <c r="AU1266">
        <v>1</v>
      </c>
      <c r="AV1266">
        <v>0.1</v>
      </c>
      <c r="AW1266" s="146">
        <v>1</v>
      </c>
      <c r="AX1266" s="141">
        <v>5.8343569461211858E-2</v>
      </c>
      <c r="AY1266" s="141">
        <v>1E-8</v>
      </c>
      <c r="AZ1266" s="209">
        <v>322.8357569951736</v>
      </c>
      <c r="BA1266">
        <v>5.8343569461211858E-2</v>
      </c>
      <c r="BB1266" s="249">
        <v>44.261998236509349</v>
      </c>
      <c r="BC1266" s="243">
        <v>125.93268374459915</v>
      </c>
      <c r="BD1266" s="209">
        <v>65347.444526526786</v>
      </c>
      <c r="BE1266" s="243">
        <v>57.525243929804127</v>
      </c>
      <c r="BF1266">
        <v>585688.63260776794</v>
      </c>
      <c r="BG1266" t="s">
        <v>389</v>
      </c>
      <c r="BH1266">
        <v>5.0242456385825485E-6</v>
      </c>
      <c r="BI1266">
        <v>1853474.445265268</v>
      </c>
      <c r="BJ1266">
        <f t="shared" si="73"/>
        <v>0.31599498666081938</v>
      </c>
    </row>
    <row r="1267" spans="1:62" x14ac:dyDescent="0.3">
      <c r="A1267">
        <v>-0.1</v>
      </c>
      <c r="B1267" s="146">
        <v>1000</v>
      </c>
      <c r="C1267" s="146">
        <v>25</v>
      </c>
      <c r="D1267" s="146">
        <v>400</v>
      </c>
      <c r="E1267" s="252">
        <v>11.879420001577733</v>
      </c>
      <c r="F1267" s="146">
        <v>3.6924535981156521</v>
      </c>
      <c r="G1267" s="146">
        <v>14.133437535561148</v>
      </c>
      <c r="H1267" s="146">
        <v>0</v>
      </c>
      <c r="I1267" s="146"/>
      <c r="J1267" s="146">
        <v>6.1082222305923382E-2</v>
      </c>
      <c r="K1267" s="146">
        <v>1E-8</v>
      </c>
      <c r="L1267" s="146">
        <v>69.173472961601462</v>
      </c>
      <c r="M1267" s="146">
        <v>41.504083454151342</v>
      </c>
      <c r="N1267" s="146">
        <v>0.65520943755883421</v>
      </c>
      <c r="O1267" s="146"/>
      <c r="P1267" s="146"/>
      <c r="Q1267" s="146"/>
      <c r="R1267" s="146"/>
      <c r="S1267" s="146"/>
      <c r="T1267" s="146"/>
      <c r="U1267" s="146"/>
      <c r="V1267" s="146"/>
      <c r="W1267" s="146"/>
      <c r="X1267" s="146"/>
      <c r="Y1267" s="146"/>
      <c r="Z1267" s="146" t="s">
        <v>35</v>
      </c>
      <c r="AA1267" s="146"/>
      <c r="AB1267" s="146"/>
      <c r="AC1267" s="146"/>
      <c r="AD1267" s="146"/>
      <c r="AE1267" s="146"/>
      <c r="AF1267" s="146"/>
      <c r="AG1267" s="146"/>
      <c r="AH1267" s="146"/>
      <c r="AI1267" s="146"/>
      <c r="AJ1267" s="146"/>
      <c r="AK1267" s="146"/>
      <c r="AL1267" s="146">
        <v>657.39692457586682</v>
      </c>
      <c r="AM1267" s="146">
        <v>0.26125658310832506</v>
      </c>
      <c r="AN1267" s="146">
        <v>0.2922557495693508</v>
      </c>
      <c r="AO1267" s="146">
        <v>359.35265595601635</v>
      </c>
      <c r="AP1267" s="146">
        <v>329.79220579644976</v>
      </c>
      <c r="AQ1267" t="s">
        <v>308</v>
      </c>
      <c r="AR1267">
        <v>0</v>
      </c>
      <c r="AS1267">
        <v>0</v>
      </c>
      <c r="AT1267">
        <v>0</v>
      </c>
      <c r="AU1267">
        <v>1</v>
      </c>
      <c r="AV1267">
        <v>0.1</v>
      </c>
      <c r="AW1267" s="146">
        <v>0.8</v>
      </c>
      <c r="AX1267" s="141">
        <v>5.8006921444092349E-2</v>
      </c>
      <c r="AY1267" s="141">
        <v>1E-8</v>
      </c>
      <c r="AZ1267" s="209">
        <v>329.79220579644976</v>
      </c>
      <c r="BA1267">
        <v>5.8006921444092349E-2</v>
      </c>
      <c r="BB1267" s="249">
        <v>39.801307363555978</v>
      </c>
      <c r="BC1267" s="243">
        <v>111.6969477691087</v>
      </c>
      <c r="BD1267" s="209">
        <v>56620.073046283527</v>
      </c>
      <c r="BE1267" s="243">
        <v>51.41934620112692</v>
      </c>
      <c r="BF1267">
        <v>610431.47165968339</v>
      </c>
      <c r="BG1267" t="s">
        <v>389</v>
      </c>
      <c r="BH1267">
        <v>4.6785638649156729E-6</v>
      </c>
      <c r="BI1267">
        <v>1766200.7304628352</v>
      </c>
      <c r="BJ1267">
        <f t="shared" si="73"/>
        <v>0.34561840063315963</v>
      </c>
    </row>
    <row r="1268" spans="1:62" x14ac:dyDescent="0.3">
      <c r="A1268">
        <v>-0.1</v>
      </c>
      <c r="B1268" s="146">
        <v>1000</v>
      </c>
      <c r="C1268" s="146">
        <v>25</v>
      </c>
      <c r="D1268" s="146">
        <v>400</v>
      </c>
      <c r="E1268" s="252">
        <v>10.475847944338831</v>
      </c>
      <c r="F1268" s="146">
        <v>3.17559845260873</v>
      </c>
      <c r="G1268" s="146">
        <v>12.412725522151305</v>
      </c>
      <c r="H1268" s="146">
        <v>0</v>
      </c>
      <c r="I1268" s="146"/>
      <c r="J1268" s="146">
        <v>6.0445144174541734E-2</v>
      </c>
      <c r="K1268" s="146">
        <v>1E-8</v>
      </c>
      <c r="L1268" s="146">
        <v>60.764494148192213</v>
      </c>
      <c r="M1268" s="146">
        <v>36.458696205347692</v>
      </c>
      <c r="N1268" s="146">
        <v>0.58567423515091166</v>
      </c>
      <c r="O1268" s="146"/>
      <c r="P1268" s="146"/>
      <c r="Q1268" s="146"/>
      <c r="R1268" s="146"/>
      <c r="S1268" s="146"/>
      <c r="T1268" s="146"/>
      <c r="U1268" s="146"/>
      <c r="V1268" s="146"/>
      <c r="W1268" s="146"/>
      <c r="X1268" s="146"/>
      <c r="Y1268" s="146"/>
      <c r="Z1268" s="146" t="s">
        <v>35</v>
      </c>
      <c r="AA1268" s="146"/>
      <c r="AB1268" s="146"/>
      <c r="AC1268" s="146"/>
      <c r="AD1268" s="146"/>
      <c r="AE1268" s="146"/>
      <c r="AF1268" s="146"/>
      <c r="AG1268" s="146"/>
      <c r="AH1268" s="146"/>
      <c r="AI1268" s="146"/>
      <c r="AJ1268" s="146"/>
      <c r="AK1268" s="146"/>
      <c r="AL1268" s="146">
        <v>631.13838968970015</v>
      </c>
      <c r="AM1268" s="146">
        <v>0.25583409920260225</v>
      </c>
      <c r="AN1268" s="146">
        <v>0.29400875714736274</v>
      </c>
      <c r="AO1268" s="146">
        <v>364.36892544976769</v>
      </c>
      <c r="AP1268" s="146">
        <v>338.3012721142444</v>
      </c>
      <c r="AQ1268" t="s">
        <v>308</v>
      </c>
      <c r="AR1268">
        <v>0</v>
      </c>
      <c r="AS1268">
        <v>0</v>
      </c>
      <c r="AT1268">
        <v>0</v>
      </c>
      <c r="AU1268">
        <v>1</v>
      </c>
      <c r="AV1268">
        <v>0.1</v>
      </c>
      <c r="AW1268" s="146">
        <v>0.6</v>
      </c>
      <c r="AX1268" s="141">
        <v>5.7574334493326072E-2</v>
      </c>
      <c r="AY1268" s="141">
        <v>1E-8</v>
      </c>
      <c r="AZ1268" s="209">
        <v>338.3012721142444</v>
      </c>
      <c r="BA1268">
        <v>5.7574334493326072E-2</v>
      </c>
      <c r="BB1268" s="249">
        <v>34.492431561501924</v>
      </c>
      <c r="BC1268" s="243">
        <v>95.362448828511631</v>
      </c>
      <c r="BD1268" s="209">
        <v>46856.415995761345</v>
      </c>
      <c r="BE1268" s="243">
        <v>44.268891774731571</v>
      </c>
      <c r="BF1268">
        <v>631772.90153308958</v>
      </c>
      <c r="BG1268" t="s">
        <v>389</v>
      </c>
      <c r="BH1268">
        <v>4.2258820851638058E-6</v>
      </c>
      <c r="BI1268">
        <v>1668564.1599576133</v>
      </c>
      <c r="BJ1268">
        <f t="shared" si="73"/>
        <v>0.37863266915018634</v>
      </c>
    </row>
    <row r="1269" spans="1:62" x14ac:dyDescent="0.3">
      <c r="A1269">
        <v>-0.1</v>
      </c>
      <c r="B1269" s="146">
        <v>1000</v>
      </c>
      <c r="C1269" s="146">
        <v>25</v>
      </c>
      <c r="D1269" s="146">
        <v>400</v>
      </c>
      <c r="E1269" s="252">
        <v>8.6738426683698684</v>
      </c>
      <c r="F1269" s="146">
        <v>2.5503747174982117</v>
      </c>
      <c r="G1269" s="146">
        <v>10.228220867471814</v>
      </c>
      <c r="H1269" s="146">
        <v>0</v>
      </c>
      <c r="I1269" s="146"/>
      <c r="J1269" s="146">
        <v>5.9650535698153727E-2</v>
      </c>
      <c r="K1269" s="146">
        <v>1E-8</v>
      </c>
      <c r="L1269" s="146">
        <v>50.072251927103437</v>
      </c>
      <c r="M1269" s="146">
        <v>30.043350922591546</v>
      </c>
      <c r="N1269" s="146">
        <v>0.49501122996135483</v>
      </c>
      <c r="O1269" s="146"/>
      <c r="P1269" s="146"/>
      <c r="Q1269" s="146"/>
      <c r="R1269" s="146"/>
      <c r="S1269" s="146"/>
      <c r="T1269" s="146"/>
      <c r="U1269" s="146"/>
      <c r="V1269" s="146"/>
      <c r="W1269" s="146"/>
      <c r="X1269" s="146"/>
      <c r="Y1269" s="146"/>
      <c r="Z1269" s="146" t="s">
        <v>35</v>
      </c>
      <c r="AA1269" s="146"/>
      <c r="AB1269" s="146"/>
      <c r="AC1269" s="146"/>
      <c r="AD1269" s="146"/>
      <c r="AE1269" s="146"/>
      <c r="AF1269" s="146"/>
      <c r="AG1269" s="146"/>
      <c r="AH1269" s="146"/>
      <c r="AI1269" s="146"/>
      <c r="AJ1269" s="146"/>
      <c r="AK1269" s="146"/>
      <c r="AL1269" s="146">
        <v>596.61518994034941</v>
      </c>
      <c r="AM1269" s="146">
        <v>0.24934685616821325</v>
      </c>
      <c r="AN1269" s="146">
        <v>0.29596676296475399</v>
      </c>
      <c r="AO1269" s="146">
        <v>370.69318668933505</v>
      </c>
      <c r="AP1269" s="146">
        <v>349.10957495967216</v>
      </c>
      <c r="AQ1269" t="s">
        <v>308</v>
      </c>
      <c r="AR1269">
        <v>0</v>
      </c>
      <c r="AS1269">
        <v>0</v>
      </c>
      <c r="AT1269">
        <v>0</v>
      </c>
      <c r="AU1269">
        <v>1</v>
      </c>
      <c r="AV1269">
        <v>0.1</v>
      </c>
      <c r="AW1269" s="146">
        <v>0.4</v>
      </c>
      <c r="AX1269" s="141">
        <v>5.7057752408641797E-2</v>
      </c>
      <c r="AY1269" s="141">
        <v>1E-8</v>
      </c>
      <c r="AZ1269" s="209">
        <v>349.10957495967216</v>
      </c>
      <c r="BA1269">
        <v>5.7057752408641797E-2</v>
      </c>
      <c r="BB1269" s="249">
        <v>27.965380937119626</v>
      </c>
      <c r="BC1269" s="243">
        <v>76.039283082617928</v>
      </c>
      <c r="BD1269" s="209">
        <v>35762.604904598098</v>
      </c>
      <c r="BE1269" s="243">
        <v>35.637053058518013</v>
      </c>
      <c r="BF1269">
        <v>646259.89298525511</v>
      </c>
      <c r="BG1269" t="s">
        <v>389</v>
      </c>
      <c r="BH1269">
        <v>3.5988602579830886E-6</v>
      </c>
      <c r="BI1269">
        <v>1557626.0490459809</v>
      </c>
      <c r="BJ1269">
        <f t="shared" si="73"/>
        <v>0.41490054264377391</v>
      </c>
    </row>
    <row r="1270" spans="1:62" x14ac:dyDescent="0.3">
      <c r="A1270">
        <v>-0.1</v>
      </c>
      <c r="B1270" s="146">
        <v>1000</v>
      </c>
      <c r="C1270" s="146">
        <v>25</v>
      </c>
      <c r="D1270" s="146">
        <v>400</v>
      </c>
      <c r="E1270" s="252">
        <v>7.5341737456866671</v>
      </c>
      <c r="F1270" s="146">
        <v>2.1749254044181949</v>
      </c>
      <c r="G1270" s="146">
        <v>8.85931745464889</v>
      </c>
      <c r="H1270" s="146">
        <v>0</v>
      </c>
      <c r="I1270" s="146"/>
      <c r="J1270" s="146">
        <v>5.9128402526045024E-2</v>
      </c>
      <c r="K1270" s="146">
        <v>1E-8</v>
      </c>
      <c r="L1270" s="146">
        <v>43.370755181658204</v>
      </c>
      <c r="M1270" s="146">
        <v>26.022452906598065</v>
      </c>
      <c r="N1270" s="146">
        <v>0.43676075079249443</v>
      </c>
      <c r="O1270" s="146"/>
      <c r="P1270" s="146"/>
      <c r="Q1270" s="146"/>
      <c r="R1270" s="146"/>
      <c r="S1270" s="146"/>
      <c r="T1270" s="146"/>
      <c r="U1270" s="146"/>
      <c r="V1270" s="146"/>
      <c r="W1270" s="146"/>
      <c r="X1270" s="146"/>
      <c r="Y1270" s="146"/>
      <c r="Z1270" s="146" t="s">
        <v>35</v>
      </c>
      <c r="AA1270" s="146"/>
      <c r="AB1270" s="146"/>
      <c r="AC1270" s="146"/>
      <c r="AD1270" s="146"/>
      <c r="AE1270" s="146"/>
      <c r="AF1270" s="146"/>
      <c r="AG1270" s="146"/>
      <c r="AH1270" s="146"/>
      <c r="AI1270" s="146"/>
      <c r="AJ1270" s="146"/>
      <c r="AK1270" s="146"/>
      <c r="AL1270" s="146">
        <v>574.27323540552106</v>
      </c>
      <c r="AM1270" s="146">
        <v>0.24549582014096491</v>
      </c>
      <c r="AN1270" s="146">
        <v>0.29709560235749105</v>
      </c>
      <c r="AO1270" s="146">
        <v>374.64057466383866</v>
      </c>
      <c r="AP1270" s="146">
        <v>355.89286000927393</v>
      </c>
      <c r="AQ1270" t="s">
        <v>308</v>
      </c>
      <c r="AR1270">
        <v>0</v>
      </c>
      <c r="AS1270">
        <v>0</v>
      </c>
      <c r="AT1270">
        <v>0</v>
      </c>
      <c r="AU1270">
        <v>1</v>
      </c>
      <c r="AV1270">
        <v>0.1</v>
      </c>
      <c r="AW1270" s="146">
        <v>0.3</v>
      </c>
      <c r="AX1270" s="141">
        <v>5.6729473168950377E-2</v>
      </c>
      <c r="AY1270" s="141">
        <v>1E-8</v>
      </c>
      <c r="AZ1270" s="209">
        <v>355.89286000927393</v>
      </c>
      <c r="BA1270">
        <v>5.6729473168950377E-2</v>
      </c>
      <c r="BB1270" s="249">
        <v>23.987686629616114</v>
      </c>
      <c r="BC1270" s="243">
        <v>64.626017948418649</v>
      </c>
      <c r="BD1270" s="209">
        <v>29492.643109190685</v>
      </c>
      <c r="BE1270" s="243">
        <v>30.44638475283158</v>
      </c>
      <c r="BF1270">
        <v>647515.35643864213</v>
      </c>
      <c r="BG1270" t="s">
        <v>389</v>
      </c>
      <c r="BH1270">
        <v>3.1755875911185509E-6</v>
      </c>
      <c r="BI1270">
        <v>1494926.431091907</v>
      </c>
      <c r="BJ1270">
        <f t="shared" si="73"/>
        <v>0.43314195466173638</v>
      </c>
    </row>
    <row r="1271" spans="1:62" x14ac:dyDescent="0.3">
      <c r="A1271">
        <v>-0.1</v>
      </c>
      <c r="B1271" s="146">
        <v>1000</v>
      </c>
      <c r="C1271" s="146">
        <v>25</v>
      </c>
      <c r="D1271" s="146">
        <v>400</v>
      </c>
      <c r="E1271" s="252">
        <v>6.1295946204066425</v>
      </c>
      <c r="F1271" s="146">
        <v>1.7314866164596838</v>
      </c>
      <c r="G1271" s="146">
        <v>7.1842762315270479</v>
      </c>
      <c r="H1271" s="146">
        <v>0</v>
      </c>
      <c r="I1271" s="146"/>
      <c r="J1271" s="146">
        <v>5.8601040586002483E-2</v>
      </c>
      <c r="K1271" s="146">
        <v>1E-8</v>
      </c>
      <c r="L1271" s="146">
        <v>35.156823358476935</v>
      </c>
      <c r="M1271" s="146">
        <v>21.094093851020983</v>
      </c>
      <c r="N1271" s="146">
        <v>0.36242215309912051</v>
      </c>
      <c r="O1271" s="146"/>
      <c r="P1271" s="146"/>
      <c r="Q1271" s="146"/>
      <c r="R1271" s="146"/>
      <c r="S1271" s="146"/>
      <c r="T1271" s="146"/>
      <c r="U1271" s="146"/>
      <c r="V1271" s="146"/>
      <c r="W1271" s="146"/>
      <c r="X1271" s="146"/>
      <c r="Y1271" s="146"/>
      <c r="Z1271" s="146" t="s">
        <v>35</v>
      </c>
      <c r="AA1271" s="146"/>
      <c r="AB1271" s="146"/>
      <c r="AC1271" s="146"/>
      <c r="AD1271" s="146"/>
      <c r="AE1271" s="146"/>
      <c r="AF1271" s="146"/>
      <c r="AG1271" s="146"/>
      <c r="AH1271" s="146"/>
      <c r="AI1271" s="146"/>
      <c r="AJ1271" s="146"/>
      <c r="AK1271" s="146"/>
      <c r="AL1271" s="146">
        <v>545.40607842205634</v>
      </c>
      <c r="AM1271" s="146">
        <v>0.24101058487441387</v>
      </c>
      <c r="AN1271" s="146">
        <v>0.29824274015739466</v>
      </c>
      <c r="AO1271" s="146">
        <v>379.44763176072013</v>
      </c>
      <c r="AP1271" s="146">
        <v>364.19500187249611</v>
      </c>
      <c r="AQ1271" t="s">
        <v>308</v>
      </c>
      <c r="AR1271">
        <v>0</v>
      </c>
      <c r="AS1271">
        <v>0</v>
      </c>
      <c r="AT1271">
        <v>0</v>
      </c>
      <c r="AU1271">
        <v>1</v>
      </c>
      <c r="AV1271">
        <v>0.1</v>
      </c>
      <c r="AW1271" s="146">
        <v>0.2</v>
      </c>
      <c r="AX1271" s="141">
        <v>5.6463258367533214E-2</v>
      </c>
      <c r="AY1271" s="141">
        <v>1E-8</v>
      </c>
      <c r="AZ1271" s="209">
        <v>364.19500187249611</v>
      </c>
      <c r="BA1271">
        <v>5.6463258367533214E-2</v>
      </c>
      <c r="BB1271" s="249">
        <v>19.230339522508313</v>
      </c>
      <c r="BC1271" s="243">
        <v>51.262913974827896</v>
      </c>
      <c r="BD1271" s="209">
        <v>22487.278740250302</v>
      </c>
      <c r="BE1271" s="243">
        <v>24.312407181397617</v>
      </c>
      <c r="BF1271">
        <v>640534.78108321375</v>
      </c>
      <c r="BG1271" t="s">
        <v>389</v>
      </c>
      <c r="BH1271">
        <v>2.6230158919720244E-6</v>
      </c>
      <c r="BI1271">
        <v>1424872.787402503</v>
      </c>
      <c r="BJ1271">
        <f t="shared" si="73"/>
        <v>0.44953822316368885</v>
      </c>
    </row>
    <row r="1272" spans="1:62" s="140" customFormat="1" x14ac:dyDescent="0.3">
      <c r="A1272" s="140">
        <v>-0.1</v>
      </c>
      <c r="B1272" s="140">
        <v>1000</v>
      </c>
      <c r="C1272" s="140">
        <v>25</v>
      </c>
      <c r="D1272" s="140">
        <v>400</v>
      </c>
      <c r="E1272" s="253">
        <v>4.2139874146919052</v>
      </c>
      <c r="F1272" s="140">
        <v>1.1575415587031135</v>
      </c>
      <c r="G1272" s="140">
        <v>4.9189542779047013</v>
      </c>
      <c r="H1272" s="140">
        <v>0</v>
      </c>
      <c r="J1272" s="140">
        <v>5.7805002026332951E-2</v>
      </c>
      <c r="K1272" s="140">
        <v>1E-8</v>
      </c>
      <c r="L1272" s="140">
        <v>24.062265345936858</v>
      </c>
      <c r="M1272" s="140">
        <v>14.437359095271541</v>
      </c>
      <c r="N1272" s="140">
        <v>0.25775517919650531</v>
      </c>
      <c r="Z1272" s="140" t="s">
        <v>35</v>
      </c>
      <c r="AL1272" s="140">
        <v>504.33142012043453</v>
      </c>
      <c r="AM1272" s="140">
        <v>0.23532269122781618</v>
      </c>
      <c r="AN1272" s="140">
        <v>0.29970915815256105</v>
      </c>
      <c r="AO1272" s="140">
        <v>385.93974424849955</v>
      </c>
      <c r="AP1272" s="140">
        <v>375.45383052218187</v>
      </c>
      <c r="AQ1272" s="140" t="s">
        <v>308</v>
      </c>
      <c r="AR1272" s="140">
        <v>0</v>
      </c>
      <c r="AS1272" s="140">
        <v>0</v>
      </c>
      <c r="AT1272" s="140">
        <v>0</v>
      </c>
      <c r="AU1272" s="140">
        <v>1</v>
      </c>
      <c r="AV1272">
        <v>0.1</v>
      </c>
      <c r="AW1272" s="140">
        <v>0.1</v>
      </c>
      <c r="AX1272" s="141">
        <v>5.6105190440545696E-2</v>
      </c>
      <c r="AY1272" s="205">
        <v>1E-8</v>
      </c>
      <c r="AZ1272" s="209">
        <v>375.45383052218187</v>
      </c>
      <c r="BA1272" s="140">
        <v>5.6105190440545696E-2</v>
      </c>
      <c r="BB1272" s="253">
        <v>12.973916411116964</v>
      </c>
      <c r="BC1272" s="245">
        <v>34.154795101039589</v>
      </c>
      <c r="BD1272" s="210">
        <v>14114.145846251417</v>
      </c>
      <c r="BE1272" s="245">
        <v>16.323638443455945</v>
      </c>
      <c r="BF1272" s="140">
        <v>606127.77873629506</v>
      </c>
      <c r="BG1272" t="s">
        <v>389</v>
      </c>
      <c r="BH1272" s="140">
        <v>1.8187900622668819E-6</v>
      </c>
      <c r="BI1272" s="140">
        <v>1341141.4584625142</v>
      </c>
      <c r="BJ1272">
        <f t="shared" si="73"/>
        <v>0.45194917725618633</v>
      </c>
    </row>
    <row r="1273" spans="1:62" x14ac:dyDescent="0.3">
      <c r="A1273">
        <v>-0.1</v>
      </c>
      <c r="B1273" s="146">
        <v>1000</v>
      </c>
      <c r="C1273" s="146">
        <v>25</v>
      </c>
      <c r="D1273" s="146">
        <v>400</v>
      </c>
      <c r="E1273" s="252">
        <v>18.012261227748265</v>
      </c>
      <c r="F1273" s="146">
        <v>6.3545710339815562</v>
      </c>
      <c r="G1273" s="146">
        <v>21.923252489101657</v>
      </c>
      <c r="H1273" s="146">
        <v>0</v>
      </c>
      <c r="I1273" s="146"/>
      <c r="J1273" s="146">
        <v>6.41396494509439E-2</v>
      </c>
      <c r="K1273" s="146">
        <v>1E-8</v>
      </c>
      <c r="L1273" s="146">
        <v>106.91819481265961</v>
      </c>
      <c r="M1273" s="146">
        <v>64.150916388644177</v>
      </c>
      <c r="N1273" s="146">
        <v>0.95807461375259884</v>
      </c>
      <c r="O1273" s="146"/>
      <c r="P1273" s="146"/>
      <c r="Q1273" s="146"/>
      <c r="R1273" s="146"/>
      <c r="S1273" s="146"/>
      <c r="T1273" s="146"/>
      <c r="U1273" s="146"/>
      <c r="V1273" s="146"/>
      <c r="W1273" s="146"/>
      <c r="X1273" s="146"/>
      <c r="Y1273" s="146"/>
      <c r="Z1273" s="146" t="s">
        <v>35</v>
      </c>
      <c r="AA1273" s="146"/>
      <c r="AB1273" s="146"/>
      <c r="AC1273" s="146"/>
      <c r="AD1273" s="146"/>
      <c r="AE1273" s="146"/>
      <c r="AF1273" s="146"/>
      <c r="AG1273" s="146"/>
      <c r="AH1273" s="146"/>
      <c r="AI1273" s="146"/>
      <c r="AJ1273" s="146"/>
      <c r="AK1273" s="146"/>
      <c r="AL1273" s="146">
        <v>770.1195339473926</v>
      </c>
      <c r="AM1273" s="146">
        <v>0.28985530487050215</v>
      </c>
      <c r="AN1273" s="146">
        <v>0.28101638979468524</v>
      </c>
      <c r="AO1273" s="146">
        <v>335.90316479082128</v>
      </c>
      <c r="AP1273" s="146">
        <v>291.08222707109303</v>
      </c>
      <c r="AQ1273" t="s">
        <v>308</v>
      </c>
      <c r="AR1273">
        <v>0</v>
      </c>
      <c r="AS1273">
        <v>0</v>
      </c>
      <c r="AT1273">
        <v>0</v>
      </c>
      <c r="AU1273">
        <v>1</v>
      </c>
      <c r="AV1273">
        <v>0.1</v>
      </c>
      <c r="AW1273" s="146">
        <v>3</v>
      </c>
      <c r="AX1273" s="141">
        <v>6.0117786141734922E-2</v>
      </c>
      <c r="AY1273" s="141">
        <v>1E-8</v>
      </c>
      <c r="AZ1273" s="209">
        <v>291.08222707109303</v>
      </c>
      <c r="BA1273">
        <v>6.0117786141734922E-2</v>
      </c>
      <c r="BB1273" s="249">
        <v>66.048546453919002</v>
      </c>
      <c r="BC1273" s="243">
        <v>204.15974746084166</v>
      </c>
      <c r="BD1273" s="209">
        <v>115528.89488836823</v>
      </c>
      <c r="BE1273" s="243">
        <v>89.322550284204098</v>
      </c>
      <c r="BF1273">
        <v>351005.05331895442</v>
      </c>
      <c r="BG1273" t="s">
        <v>390</v>
      </c>
      <c r="BH1273">
        <v>6.3951662513407621E-6</v>
      </c>
      <c r="BI1273">
        <v>2355288.9488836825</v>
      </c>
      <c r="BJ1273">
        <f t="shared" si="73"/>
        <v>0.14902844658839737</v>
      </c>
    </row>
    <row r="1274" spans="1:62" x14ac:dyDescent="0.3">
      <c r="A1274">
        <v>-0.2</v>
      </c>
      <c r="B1274" s="146">
        <v>1000</v>
      </c>
      <c r="C1274" s="146">
        <v>25</v>
      </c>
      <c r="D1274" s="146">
        <v>400</v>
      </c>
      <c r="E1274" s="252">
        <v>17.869990952927896</v>
      </c>
      <c r="F1274" s="146">
        <v>6.4721104213897407</v>
      </c>
      <c r="G1274" s="146">
        <v>21.843350364873586</v>
      </c>
      <c r="H1274" s="146">
        <v>0</v>
      </c>
      <c r="I1274" s="146"/>
      <c r="J1274" s="146">
        <v>6.5171281484256674E-2</v>
      </c>
      <c r="K1274" s="146">
        <v>1E-8</v>
      </c>
      <c r="L1274" s="146">
        <v>107.08643738870722</v>
      </c>
      <c r="M1274" s="146">
        <v>64.251861933487632</v>
      </c>
      <c r="N1274" s="146">
        <v>0.96244854882654041</v>
      </c>
      <c r="O1274" s="146"/>
      <c r="P1274" s="146"/>
      <c r="Q1274" s="146"/>
      <c r="R1274" s="146"/>
      <c r="S1274" s="146"/>
      <c r="T1274" s="146"/>
      <c r="U1274" s="146"/>
      <c r="V1274" s="146"/>
      <c r="W1274" s="146"/>
      <c r="X1274" s="146"/>
      <c r="Y1274" s="146"/>
      <c r="Z1274" s="146" t="s">
        <v>35</v>
      </c>
      <c r="AA1274" s="146"/>
      <c r="AB1274" s="146"/>
      <c r="AC1274" s="146"/>
      <c r="AD1274" s="146"/>
      <c r="AE1274" s="146"/>
      <c r="AF1274" s="146"/>
      <c r="AG1274" s="146"/>
      <c r="AH1274" s="146"/>
      <c r="AI1274" s="146"/>
      <c r="AJ1274" s="146"/>
      <c r="AK1274" s="146"/>
      <c r="AL1274" s="146">
        <v>765.2534217201943</v>
      </c>
      <c r="AM1274" s="146">
        <v>0.29629659888611126</v>
      </c>
      <c r="AN1274" s="146">
        <v>0.24991616334530933</v>
      </c>
      <c r="AO1274" s="146">
        <v>328.49605758297065</v>
      </c>
      <c r="AP1274" s="146">
        <v>284.02914730692419</v>
      </c>
      <c r="AQ1274" t="s">
        <v>308</v>
      </c>
      <c r="AR1274">
        <v>0</v>
      </c>
      <c r="AS1274">
        <v>0</v>
      </c>
      <c r="AT1274">
        <v>0</v>
      </c>
      <c r="AU1274">
        <v>1</v>
      </c>
      <c r="AV1274">
        <v>0.1</v>
      </c>
      <c r="AW1274" s="146">
        <v>3</v>
      </c>
      <c r="AX1274" s="141">
        <v>6.1058302135386058E-2</v>
      </c>
      <c r="AY1274" s="141">
        <v>1E-8</v>
      </c>
      <c r="AZ1274" s="209">
        <v>284.02914730692419</v>
      </c>
      <c r="BA1274">
        <v>6.1058302135386058E-2</v>
      </c>
      <c r="BB1274" s="249">
        <v>66.78067030182261</v>
      </c>
      <c r="BC1274" s="243">
        <v>204.67353289266271</v>
      </c>
      <c r="BD1274" s="209">
        <v>116363.08330204041</v>
      </c>
      <c r="BE1274" s="243">
        <v>90.248147607664819</v>
      </c>
      <c r="BF1274">
        <v>349232.54228535673</v>
      </c>
      <c r="BG1274" t="s">
        <v>390</v>
      </c>
      <c r="BH1274">
        <v>6.3270576939881263E-6</v>
      </c>
      <c r="BI1274">
        <v>2363630.833020404</v>
      </c>
      <c r="BJ1274">
        <f t="shared" si="73"/>
        <v>0.14775257515112217</v>
      </c>
    </row>
    <row r="1275" spans="1:62" x14ac:dyDescent="0.3">
      <c r="A1275">
        <v>-0.3</v>
      </c>
      <c r="B1275" s="146">
        <v>1000</v>
      </c>
      <c r="C1275" s="146">
        <v>25</v>
      </c>
      <c r="D1275" s="146">
        <v>400</v>
      </c>
      <c r="E1275" s="252">
        <v>17.67402853856666</v>
      </c>
      <c r="F1275" s="146">
        <v>6.6184663509747619</v>
      </c>
      <c r="G1275" s="146">
        <v>21.724591454239174</v>
      </c>
      <c r="H1275" s="146">
        <v>0</v>
      </c>
      <c r="I1275" s="146"/>
      <c r="J1275" s="146">
        <v>6.630606446720351E-2</v>
      </c>
      <c r="K1275" s="146">
        <v>1E-8</v>
      </c>
      <c r="L1275" s="146">
        <v>107.27484925228087</v>
      </c>
      <c r="M1275" s="146">
        <v>64.364909050752559</v>
      </c>
      <c r="N1275" s="146">
        <v>0.9710319532017353</v>
      </c>
      <c r="O1275" s="146"/>
      <c r="P1275" s="146"/>
      <c r="Q1275" s="146"/>
      <c r="R1275" s="146"/>
      <c r="S1275" s="146"/>
      <c r="T1275" s="146"/>
      <c r="U1275" s="146"/>
      <c r="V1275" s="146"/>
      <c r="W1275" s="146"/>
      <c r="X1275" s="146"/>
      <c r="Y1275" s="146"/>
      <c r="Z1275" s="146" t="s">
        <v>35</v>
      </c>
      <c r="AA1275" s="146"/>
      <c r="AB1275" s="146"/>
      <c r="AC1275" s="146"/>
      <c r="AD1275" s="146"/>
      <c r="AE1275" s="146"/>
      <c r="AF1275" s="146"/>
      <c r="AG1275" s="146"/>
      <c r="AH1275" s="146"/>
      <c r="AI1275" s="146"/>
      <c r="AJ1275" s="146"/>
      <c r="AK1275" s="146"/>
      <c r="AL1275" s="146">
        <v>760.83086576007224</v>
      </c>
      <c r="AM1275" s="146">
        <v>0.30465320210582297</v>
      </c>
      <c r="AN1275" s="146">
        <v>0.21899330240091258</v>
      </c>
      <c r="AO1275" s="146">
        <v>319.29420514326648</v>
      </c>
      <c r="AP1275" s="146">
        <v>275.31488915920482</v>
      </c>
      <c r="AQ1275" t="s">
        <v>308</v>
      </c>
      <c r="AR1275">
        <v>0</v>
      </c>
      <c r="AS1275">
        <v>0</v>
      </c>
      <c r="AT1275">
        <v>0</v>
      </c>
      <c r="AU1275">
        <v>1</v>
      </c>
      <c r="AV1275">
        <v>0.1</v>
      </c>
      <c r="AW1275" s="146">
        <v>3</v>
      </c>
      <c r="AX1275" s="141">
        <v>6.2098021096567396E-2</v>
      </c>
      <c r="AY1275" s="141">
        <v>1E-8</v>
      </c>
      <c r="AZ1275" s="209">
        <v>275.31488915920482</v>
      </c>
      <c r="BA1275">
        <v>6.2098021096567396E-2</v>
      </c>
      <c r="BB1275" s="249">
        <v>67.673321321076827</v>
      </c>
      <c r="BC1275" s="243">
        <v>205.25038002340773</v>
      </c>
      <c r="BD1275" s="209">
        <v>117296.5377858701</v>
      </c>
      <c r="BE1275" s="243">
        <v>91.281516050645394</v>
      </c>
      <c r="BF1275">
        <v>346334.71707265405</v>
      </c>
      <c r="BG1275" t="s">
        <v>390</v>
      </c>
      <c r="BH1275">
        <v>6.2400415765960169E-6</v>
      </c>
      <c r="BI1275">
        <v>2372965.3778587012</v>
      </c>
      <c r="BJ1275">
        <f t="shared" si="73"/>
        <v>0.1459501770671332</v>
      </c>
    </row>
    <row r="1276" spans="1:62" x14ac:dyDescent="0.3">
      <c r="A1276">
        <v>-0.4</v>
      </c>
      <c r="B1276" s="146">
        <v>1000</v>
      </c>
      <c r="C1276" s="146">
        <v>25</v>
      </c>
      <c r="D1276" s="146">
        <v>400</v>
      </c>
      <c r="E1276" s="252">
        <v>17.417917621729188</v>
      </c>
      <c r="F1276" s="146">
        <v>6.8235398269551775</v>
      </c>
      <c r="G1276" s="146">
        <v>21.577103862656635</v>
      </c>
      <c r="H1276" s="146">
        <v>0</v>
      </c>
      <c r="I1276" s="146"/>
      <c r="J1276" s="146">
        <v>6.7998920718300201E-2</v>
      </c>
      <c r="K1276" s="146">
        <v>1E-8</v>
      </c>
      <c r="L1276" s="146">
        <v>107.55999645197912</v>
      </c>
      <c r="M1276" s="146">
        <v>64.535997369240818</v>
      </c>
      <c r="N1276" s="146">
        <v>0.97931559567624937</v>
      </c>
      <c r="O1276" s="146"/>
      <c r="P1276" s="146"/>
      <c r="Q1276" s="146"/>
      <c r="R1276" s="146"/>
      <c r="S1276" s="146"/>
      <c r="T1276" s="146"/>
      <c r="U1276" s="146"/>
      <c r="V1276" s="146"/>
      <c r="W1276" s="146"/>
      <c r="X1276" s="146"/>
      <c r="Y1276" s="146"/>
      <c r="Z1276" s="146" t="s">
        <v>35</v>
      </c>
      <c r="AA1276" s="146"/>
      <c r="AB1276" s="146"/>
      <c r="AC1276" s="146"/>
      <c r="AD1276" s="146"/>
      <c r="AE1276" s="146"/>
      <c r="AF1276" s="146"/>
      <c r="AG1276" s="146"/>
      <c r="AH1276" s="146"/>
      <c r="AI1276" s="146"/>
      <c r="AJ1276" s="146"/>
      <c r="AK1276" s="146"/>
      <c r="AL1276" s="146">
        <v>753.63482167227107</v>
      </c>
      <c r="AM1276" s="146">
        <v>0.31623983785723148</v>
      </c>
      <c r="AN1276" s="146">
        <v>0.18793419246001158</v>
      </c>
      <c r="AO1276" s="146">
        <v>307.31905996597533</v>
      </c>
      <c r="AP1276" s="146">
        <v>263.97702383414656</v>
      </c>
      <c r="AQ1276" t="s">
        <v>308</v>
      </c>
      <c r="AR1276">
        <v>0</v>
      </c>
      <c r="AS1276">
        <v>0</v>
      </c>
      <c r="AT1276">
        <v>0</v>
      </c>
      <c r="AU1276">
        <v>1</v>
      </c>
      <c r="AV1276">
        <v>0.1</v>
      </c>
      <c r="AW1276" s="146">
        <v>3</v>
      </c>
      <c r="AX1276" s="141">
        <v>6.3646638258208876E-2</v>
      </c>
      <c r="AY1276" s="141">
        <v>1E-8</v>
      </c>
      <c r="AZ1276" s="209">
        <v>263.97702383414656</v>
      </c>
      <c r="BA1276">
        <v>6.3646638258208876E-2</v>
      </c>
      <c r="BB1276" s="249">
        <v>68.941972741623346</v>
      </c>
      <c r="BC1276" s="243">
        <v>206.12636319711243</v>
      </c>
      <c r="BD1276" s="209">
        <v>118708.51421097659</v>
      </c>
      <c r="BE1276" s="243">
        <v>92.840167782831003</v>
      </c>
      <c r="BF1276">
        <v>342824.95060859632</v>
      </c>
      <c r="BG1276" t="s">
        <v>390</v>
      </c>
      <c r="BH1276">
        <v>6.1217952454960098E-6</v>
      </c>
      <c r="BI1276">
        <v>2387085.1421097657</v>
      </c>
      <c r="BJ1276">
        <f t="shared" si="73"/>
        <v>0.14361655751650276</v>
      </c>
    </row>
    <row r="1277" spans="1:62" x14ac:dyDescent="0.3">
      <c r="A1277">
        <v>-0.5</v>
      </c>
      <c r="B1277" s="146">
        <v>1000</v>
      </c>
      <c r="C1277" s="146">
        <v>25</v>
      </c>
      <c r="D1277" s="146">
        <v>400</v>
      </c>
      <c r="E1277" s="252">
        <v>17.069090749016372</v>
      </c>
      <c r="F1277" s="146">
        <v>7.1338434843185654</v>
      </c>
      <c r="G1277" s="146">
        <v>21.393590323771679</v>
      </c>
      <c r="H1277" s="146">
        <v>0</v>
      </c>
      <c r="I1277" s="146"/>
      <c r="J1277" s="146">
        <v>7.0768764179184804E-2</v>
      </c>
      <c r="K1277" s="146">
        <v>1E-8</v>
      </c>
      <c r="L1277" s="146">
        <v>108.03653954714389</v>
      </c>
      <c r="M1277" s="146">
        <v>64.821923224115821</v>
      </c>
      <c r="N1277" s="146">
        <v>0.98432568873823145</v>
      </c>
      <c r="O1277" s="146"/>
      <c r="P1277" s="146"/>
      <c r="Q1277" s="146"/>
      <c r="R1277" s="146"/>
      <c r="S1277" s="146"/>
      <c r="T1277" s="146"/>
      <c r="U1277" s="146"/>
      <c r="V1277" s="146"/>
      <c r="W1277" s="146"/>
      <c r="X1277" s="146"/>
      <c r="Y1277" s="146"/>
      <c r="Z1277" s="146" t="s">
        <v>35</v>
      </c>
      <c r="AA1277" s="146"/>
      <c r="AB1277" s="146"/>
      <c r="AC1277" s="146"/>
      <c r="AD1277" s="146"/>
      <c r="AE1277" s="146"/>
      <c r="AF1277" s="146"/>
      <c r="AG1277" s="146"/>
      <c r="AH1277" s="146"/>
      <c r="AI1277" s="146"/>
      <c r="AJ1277" s="146"/>
      <c r="AK1277" s="146"/>
      <c r="AL1277" s="146">
        <v>740.71419945419029</v>
      </c>
      <c r="AM1277" s="146">
        <v>0.33345704841284779</v>
      </c>
      <c r="AN1277" s="146">
        <v>0.15663361751464452</v>
      </c>
      <c r="AO1277" s="146">
        <v>291.02536850098295</v>
      </c>
      <c r="AP1277" s="146">
        <v>248.55135508507456</v>
      </c>
      <c r="AQ1277" t="s">
        <v>308</v>
      </c>
      <c r="AR1277">
        <v>0</v>
      </c>
      <c r="AS1277">
        <v>0</v>
      </c>
      <c r="AT1277">
        <v>0</v>
      </c>
      <c r="AU1277">
        <v>1</v>
      </c>
      <c r="AV1277">
        <v>0.1</v>
      </c>
      <c r="AW1277" s="146">
        <v>3</v>
      </c>
      <c r="AX1277" s="141">
        <v>6.6173129722800345E-2</v>
      </c>
      <c r="AY1277" s="141">
        <v>1E-8</v>
      </c>
      <c r="AZ1277" s="209">
        <v>248.55135508507456</v>
      </c>
      <c r="BA1277">
        <v>6.6173129722800345E-2</v>
      </c>
      <c r="BB1277" s="249">
        <v>70.898788285946239</v>
      </c>
      <c r="BC1277" s="243">
        <v>207.5983754364247</v>
      </c>
      <c r="BD1277" s="209">
        <v>121067.44559287927</v>
      </c>
      <c r="BE1277" s="243">
        <v>95.432757601984846</v>
      </c>
      <c r="BF1277">
        <v>338644.90792064654</v>
      </c>
      <c r="BG1277" t="s">
        <v>390</v>
      </c>
      <c r="BH1277">
        <v>5.9509974726892083E-6</v>
      </c>
      <c r="BI1277">
        <v>2410674.4559287927</v>
      </c>
      <c r="BJ1277">
        <f t="shared" si="73"/>
        <v>0.14047724573004292</v>
      </c>
    </row>
    <row r="1278" spans="1:62" x14ac:dyDescent="0.3">
      <c r="A1278">
        <v>-0.6</v>
      </c>
      <c r="B1278" s="146">
        <v>1000</v>
      </c>
      <c r="C1278" s="146">
        <v>25</v>
      </c>
      <c r="D1278" s="146">
        <v>400</v>
      </c>
      <c r="E1278" s="252">
        <v>16.485148357652783</v>
      </c>
      <c r="F1278" s="146">
        <v>7.5602821419399389</v>
      </c>
      <c r="G1278" s="146">
        <v>21.034258651139652</v>
      </c>
      <c r="H1278" s="146">
        <v>0</v>
      </c>
      <c r="I1278" s="146"/>
      <c r="J1278" s="146">
        <v>7.374273657733714E-2</v>
      </c>
      <c r="K1278" s="146">
        <v>1E-8</v>
      </c>
      <c r="L1278" s="146">
        <v>108.57095075138722</v>
      </c>
      <c r="M1278" s="146">
        <v>65.142569944167903</v>
      </c>
      <c r="N1278" s="146">
        <v>1.0073118267495293</v>
      </c>
      <c r="O1278" s="146"/>
      <c r="P1278" s="146"/>
      <c r="Q1278" s="146"/>
      <c r="R1278" s="146"/>
      <c r="S1278" s="146"/>
      <c r="T1278" s="146"/>
      <c r="U1278" s="146"/>
      <c r="V1278" s="146"/>
      <c r="W1278" s="146"/>
      <c r="X1278" s="146"/>
      <c r="Y1278" s="146"/>
      <c r="Z1278" s="146" t="s">
        <v>35</v>
      </c>
      <c r="AA1278" s="146"/>
      <c r="AB1278" s="146"/>
      <c r="AC1278" s="146"/>
      <c r="AD1278" s="146"/>
      <c r="AE1278" s="146"/>
      <c r="AF1278" s="146"/>
      <c r="AG1278" s="146"/>
      <c r="AH1278" s="146"/>
      <c r="AI1278" s="146"/>
      <c r="AJ1278" s="146"/>
      <c r="AK1278" s="146"/>
      <c r="AL1278" s="146">
        <v>731.6838210101057</v>
      </c>
      <c r="AM1278" s="146">
        <v>0.35942707881127617</v>
      </c>
      <c r="AN1278" s="146">
        <v>0.1258877676860817</v>
      </c>
      <c r="AO1278" s="146">
        <v>269.04884675721041</v>
      </c>
      <c r="AP1278" s="146">
        <v>228.02790763534105</v>
      </c>
      <c r="AQ1278" t="s">
        <v>308</v>
      </c>
      <c r="AR1278">
        <v>0</v>
      </c>
      <c r="AS1278">
        <v>0</v>
      </c>
      <c r="AT1278">
        <v>0</v>
      </c>
      <c r="AU1278">
        <v>1</v>
      </c>
      <c r="AV1278">
        <v>0.1</v>
      </c>
      <c r="AW1278" s="146">
        <v>3</v>
      </c>
      <c r="AX1278" s="141">
        <v>6.8926402673978635E-2</v>
      </c>
      <c r="AY1278" s="141">
        <v>1E-8</v>
      </c>
      <c r="AZ1278" s="209">
        <v>228.02790763534105</v>
      </c>
      <c r="BA1278">
        <v>6.8926402673978635E-2</v>
      </c>
      <c r="BB1278" s="249">
        <v>73.482248555212664</v>
      </c>
      <c r="BC1278" s="243">
        <v>209.26127890019902</v>
      </c>
      <c r="BD1278" s="209">
        <v>123714.50749420328</v>
      </c>
      <c r="BE1278" s="243">
        <v>98.32641010656171</v>
      </c>
      <c r="BF1278">
        <v>329024.67233612004</v>
      </c>
      <c r="BG1278" t="s">
        <v>390</v>
      </c>
      <c r="BH1278">
        <v>5.7040496436028602E-6</v>
      </c>
      <c r="BI1278">
        <v>2437145.0749420328</v>
      </c>
      <c r="BJ1278">
        <f t="shared" si="73"/>
        <v>0.13500413894890761</v>
      </c>
    </row>
    <row r="1279" spans="1:62" x14ac:dyDescent="0.3">
      <c r="A1279">
        <v>-0.7</v>
      </c>
      <c r="B1279" s="146">
        <v>1000</v>
      </c>
      <c r="C1279" s="146">
        <v>25</v>
      </c>
      <c r="D1279" s="146">
        <v>400</v>
      </c>
      <c r="E1279" s="252">
        <v>15.54878867702743</v>
      </c>
      <c r="F1279" s="146">
        <v>8.3565733135411886</v>
      </c>
      <c r="G1279" s="146">
        <v>20.521127328141894</v>
      </c>
      <c r="H1279" s="146">
        <v>0</v>
      </c>
      <c r="I1279" s="146"/>
      <c r="J1279" s="146">
        <v>8.0066009070889246E-2</v>
      </c>
      <c r="K1279" s="146">
        <v>1E-8</v>
      </c>
      <c r="L1279" s="146">
        <v>109.74471065550343</v>
      </c>
      <c r="M1279" s="146">
        <v>65.846825881160072</v>
      </c>
      <c r="N1279" s="146">
        <v>1.019627148638202</v>
      </c>
      <c r="O1279" s="146"/>
      <c r="P1279" s="146"/>
      <c r="Q1279" s="146"/>
      <c r="R1279" s="146"/>
      <c r="S1279" s="146"/>
      <c r="T1279" s="146"/>
      <c r="U1279" s="146"/>
      <c r="V1279" s="146"/>
      <c r="W1279" s="146"/>
      <c r="X1279" s="146"/>
      <c r="Y1279" s="146"/>
      <c r="Z1279" s="146" t="s">
        <v>35</v>
      </c>
      <c r="AA1279" s="146"/>
      <c r="AB1279" s="146"/>
      <c r="AC1279" s="146"/>
      <c r="AD1279" s="146"/>
      <c r="AE1279" s="146"/>
      <c r="AF1279" s="146"/>
      <c r="AG1279" s="146"/>
      <c r="AH1279" s="146"/>
      <c r="AI1279" s="146"/>
      <c r="AJ1279" s="146"/>
      <c r="AK1279" s="146"/>
      <c r="AL1279" s="146">
        <v>706.76459459773571</v>
      </c>
      <c r="AM1279" s="146">
        <v>0.40721804313748894</v>
      </c>
      <c r="AN1279" s="146">
        <v>9.46031507267482E-2</v>
      </c>
      <c r="AO1279" s="146">
        <v>235.64195740225861</v>
      </c>
      <c r="AP1279" s="146">
        <v>196.95102027863433</v>
      </c>
      <c r="AQ1279" t="s">
        <v>308</v>
      </c>
      <c r="AR1279">
        <v>0</v>
      </c>
      <c r="AS1279">
        <v>0</v>
      </c>
      <c r="AT1279">
        <v>0</v>
      </c>
      <c r="AU1279">
        <v>1</v>
      </c>
      <c r="AV1279">
        <v>0.1</v>
      </c>
      <c r="AW1279" s="146">
        <v>3</v>
      </c>
      <c r="AX1279" s="141">
        <v>7.4747835356617137E-2</v>
      </c>
      <c r="AY1279" s="141">
        <v>1E-8</v>
      </c>
      <c r="AZ1279" s="209">
        <v>196.95102027863433</v>
      </c>
      <c r="BA1279">
        <v>7.4747835356617137E-2</v>
      </c>
      <c r="BB1279" s="249">
        <v>78.450799505619941</v>
      </c>
      <c r="BC1279" s="243">
        <v>212.95965053272309</v>
      </c>
      <c r="BD1279" s="209">
        <v>129554.38130012435</v>
      </c>
      <c r="BE1279" s="243">
        <v>104.6611472048244</v>
      </c>
      <c r="BF1279">
        <v>315232.42873089382</v>
      </c>
      <c r="BG1279" t="s">
        <v>390</v>
      </c>
      <c r="BH1279">
        <v>5.2795113113646783E-6</v>
      </c>
      <c r="BI1279">
        <v>2495543.8130012434</v>
      </c>
      <c r="BJ1279">
        <f t="shared" si="73"/>
        <v>0.12631813037647388</v>
      </c>
    </row>
    <row r="1280" spans="1:62" x14ac:dyDescent="0.3">
      <c r="A1280">
        <v>-0.8</v>
      </c>
      <c r="B1280" s="146">
        <v>1000</v>
      </c>
      <c r="C1280" s="146">
        <v>25</v>
      </c>
      <c r="D1280" s="146">
        <v>400</v>
      </c>
      <c r="E1280" s="252">
        <v>13.662256894988973</v>
      </c>
      <c r="F1280" s="146">
        <v>9.8310589551080607</v>
      </c>
      <c r="G1280" s="146">
        <v>19.413787548309564</v>
      </c>
      <c r="H1280" s="146">
        <v>0</v>
      </c>
      <c r="I1280" s="146"/>
      <c r="J1280" s="146">
        <v>9.0800999981533403E-2</v>
      </c>
      <c r="K1280" s="146">
        <v>1E-8</v>
      </c>
      <c r="L1280" s="146">
        <v>111.54517084560915</v>
      </c>
      <c r="M1280" s="146">
        <v>66.927101986821356</v>
      </c>
      <c r="N1280" s="146">
        <v>1.0374678964138138</v>
      </c>
      <c r="O1280" s="146"/>
      <c r="P1280" s="146"/>
      <c r="Q1280" s="146"/>
      <c r="R1280" s="146"/>
      <c r="S1280" s="146"/>
      <c r="T1280" s="146"/>
      <c r="U1280" s="146"/>
      <c r="V1280" s="146"/>
      <c r="W1280" s="146"/>
      <c r="X1280" s="146"/>
      <c r="Y1280" s="146"/>
      <c r="Z1280" s="146" t="s">
        <v>35</v>
      </c>
      <c r="AA1280" s="146"/>
      <c r="AB1280" s="146"/>
      <c r="AC1280" s="146"/>
      <c r="AD1280" s="146"/>
      <c r="AE1280" s="146"/>
      <c r="AF1280" s="146"/>
      <c r="AG1280" s="146"/>
      <c r="AH1280" s="146"/>
      <c r="AI1280" s="146"/>
      <c r="AJ1280" s="146"/>
      <c r="AK1280" s="146"/>
      <c r="AL1280" s="146">
        <v>669.57518148529459</v>
      </c>
      <c r="AM1280" s="146">
        <v>0.50639572163053215</v>
      </c>
      <c r="AN1280" s="146">
        <v>6.3497477416276635E-2</v>
      </c>
      <c r="AO1280" s="146">
        <v>184.83780063541775</v>
      </c>
      <c r="AP1280" s="146">
        <v>150.84123327838731</v>
      </c>
      <c r="AQ1280" t="s">
        <v>308</v>
      </c>
      <c r="AR1280">
        <v>0</v>
      </c>
      <c r="AS1280">
        <v>0</v>
      </c>
      <c r="AT1280">
        <v>0</v>
      </c>
      <c r="AU1280">
        <v>1</v>
      </c>
      <c r="AV1280">
        <v>0.1</v>
      </c>
      <c r="AW1280" s="146">
        <v>3</v>
      </c>
      <c r="AX1280" s="141">
        <v>8.4774699202599335E-2</v>
      </c>
      <c r="AY1280" s="141">
        <v>1E-8</v>
      </c>
      <c r="AZ1280" s="209">
        <v>150.84123327838731</v>
      </c>
      <c r="BA1280">
        <v>8.4774699202599335E-2</v>
      </c>
      <c r="BB1280" s="249">
        <v>87.466610351785675</v>
      </c>
      <c r="BC1280" s="243">
        <v>218.76001118901459</v>
      </c>
      <c r="BD1280" s="209">
        <v>139498.67480737279</v>
      </c>
      <c r="BE1280" s="243">
        <v>115.64045911760972</v>
      </c>
      <c r="BF1280">
        <v>288624.11753889534</v>
      </c>
      <c r="BG1280" t="s">
        <v>390</v>
      </c>
      <c r="BH1280">
        <v>4.4911897168425867E-6</v>
      </c>
      <c r="BI1280">
        <v>2594986.7480737278</v>
      </c>
      <c r="BJ1280">
        <f t="shared" si="73"/>
        <v>0.11122373466960574</v>
      </c>
    </row>
    <row r="1281" spans="1:62" x14ac:dyDescent="0.3">
      <c r="A1281">
        <v>-0.85</v>
      </c>
      <c r="B1281" s="146">
        <v>1000</v>
      </c>
      <c r="C1281" s="146">
        <v>25</v>
      </c>
      <c r="D1281" s="146">
        <v>400</v>
      </c>
      <c r="E1281" s="252">
        <v>9.3222736732525124</v>
      </c>
      <c r="F1281" s="146">
        <v>5.3232588254288302</v>
      </c>
      <c r="G1281" s="146">
        <v>12.42171532350153</v>
      </c>
      <c r="H1281" s="146">
        <v>0</v>
      </c>
      <c r="I1281" s="146"/>
      <c r="J1281" s="146">
        <v>8.8008584434526679E-2</v>
      </c>
      <c r="K1281" s="146">
        <v>1E-8</v>
      </c>
      <c r="L1281" s="146">
        <v>69.682534721018314</v>
      </c>
      <c r="M1281" s="146">
        <v>41.809520507425823</v>
      </c>
      <c r="N1281" s="146">
        <v>0.71746915331156624</v>
      </c>
      <c r="O1281" s="146"/>
      <c r="P1281" s="146"/>
      <c r="Q1281" s="146"/>
      <c r="R1281" s="146"/>
      <c r="S1281" s="146"/>
      <c r="T1281" s="146"/>
      <c r="U1281" s="146"/>
      <c r="V1281" s="146"/>
      <c r="W1281" s="146"/>
      <c r="X1281" s="146"/>
      <c r="Y1281" s="146"/>
      <c r="Z1281" s="146" t="s">
        <v>35</v>
      </c>
      <c r="AA1281" s="146"/>
      <c r="AB1281" s="146"/>
      <c r="AC1281" s="146"/>
      <c r="AD1281" s="146"/>
      <c r="AE1281" s="146"/>
      <c r="AF1281" s="146"/>
      <c r="AG1281" s="146"/>
      <c r="AH1281" s="146"/>
      <c r="AI1281" s="146"/>
      <c r="AJ1281" s="146"/>
      <c r="AK1281" s="146"/>
      <c r="AL1281" s="146">
        <v>547.43017997385641</v>
      </c>
      <c r="AM1281" s="146">
        <v>0.42854458396396966</v>
      </c>
      <c r="AN1281" s="146">
        <v>4.9558329662753829E-2</v>
      </c>
      <c r="AO1281" s="146">
        <v>211.89290000912234</v>
      </c>
      <c r="AP1281" s="146">
        <v>188.69560331807324</v>
      </c>
      <c r="AQ1281" t="s">
        <v>308</v>
      </c>
      <c r="AR1281">
        <v>0</v>
      </c>
      <c r="AS1281">
        <v>0</v>
      </c>
      <c r="AT1281">
        <v>0</v>
      </c>
      <c r="AU1281">
        <v>1</v>
      </c>
      <c r="AV1281">
        <v>0.1</v>
      </c>
      <c r="AW1281" s="146">
        <v>3</v>
      </c>
      <c r="AX1281" s="141">
        <v>8.2863484858483688E-2</v>
      </c>
      <c r="AY1281" s="141">
        <v>1E-8</v>
      </c>
      <c r="AZ1281" s="209">
        <v>188.69560331807324</v>
      </c>
      <c r="BA1281">
        <v>8.2863484858483688E-2</v>
      </c>
      <c r="BB1281" s="249">
        <v>49.362708444060864</v>
      </c>
      <c r="BC1281" s="243">
        <v>112.72245313024467</v>
      </c>
      <c r="BD1281" s="209">
        <v>63717.015229787321</v>
      </c>
      <c r="BE1281" s="243">
        <v>62.402441883596083</v>
      </c>
      <c r="BF1281">
        <v>662725.0403069231</v>
      </c>
      <c r="BG1281" t="s">
        <v>390</v>
      </c>
      <c r="BH1281">
        <v>3.4053519421287185E-6</v>
      </c>
      <c r="BI1281">
        <v>1837170.152297873</v>
      </c>
      <c r="BJ1281">
        <f t="shared" si="73"/>
        <v>0.36073144312627115</v>
      </c>
    </row>
    <row r="1282" spans="1:62" s="160" customFormat="1" ht="15" thickBot="1" x14ac:dyDescent="0.35">
      <c r="A1282" s="160">
        <v>-0.87</v>
      </c>
      <c r="B1282" s="160">
        <v>1000</v>
      </c>
      <c r="C1282" s="160">
        <v>25</v>
      </c>
      <c r="D1282" s="160">
        <v>400</v>
      </c>
      <c r="E1282" s="250">
        <v>3.3440892940397595</v>
      </c>
      <c r="F1282" s="160">
        <v>1.1190703456033566</v>
      </c>
      <c r="G1282" s="160">
        <v>4.0124097922987056</v>
      </c>
      <c r="H1282" s="160">
        <v>0</v>
      </c>
      <c r="J1282" s="160">
        <v>6.77158231130396E-2</v>
      </c>
      <c r="K1282" s="160">
        <v>1E-8</v>
      </c>
      <c r="L1282" s="160">
        <v>20.463272920264071</v>
      </c>
      <c r="M1282" s="160">
        <v>12.277963656663168</v>
      </c>
      <c r="N1282" s="160">
        <v>0.24309728278307613</v>
      </c>
      <c r="Z1282" s="160" t="s">
        <v>35</v>
      </c>
      <c r="AL1282" s="160">
        <v>436.63592569291899</v>
      </c>
      <c r="AM1282" s="160">
        <v>0.27890230647708653</v>
      </c>
      <c r="AN1282" s="160">
        <v>4.3661411102470682E-2</v>
      </c>
      <c r="AO1282" s="160">
        <v>323.40858415704008</v>
      </c>
      <c r="AP1282" s="160">
        <v>315.08728430138092</v>
      </c>
      <c r="AQ1282" s="160" t="s">
        <v>308</v>
      </c>
      <c r="AR1282" s="160">
        <v>0</v>
      </c>
      <c r="AS1282" s="160">
        <v>0</v>
      </c>
      <c r="AT1282" s="160">
        <v>0</v>
      </c>
      <c r="AU1282" s="160">
        <v>1</v>
      </c>
      <c r="AV1282" s="160">
        <v>0.1</v>
      </c>
      <c r="AW1282" s="160">
        <v>3</v>
      </c>
      <c r="AX1282" s="238">
        <v>6.5540879220981396E-2</v>
      </c>
      <c r="AY1282" s="238">
        <v>1E-8</v>
      </c>
      <c r="AZ1282" s="248">
        <v>315.08728430138092</v>
      </c>
      <c r="BA1282" s="160">
        <v>6.5540879220981396E-2</v>
      </c>
      <c r="BB1282" s="250">
        <v>11.7991916936884</v>
      </c>
      <c r="BC1282" s="246">
        <v>28.809359894586116</v>
      </c>
      <c r="BD1282" s="248">
        <v>12051.085508307922</v>
      </c>
      <c r="BE1282" s="246">
        <v>14.704770288321006</v>
      </c>
      <c r="BF1282" s="160">
        <v>814531.79570033262</v>
      </c>
      <c r="BG1282" s="254" t="s">
        <v>390</v>
      </c>
      <c r="BH1282" s="160">
        <v>1.1882507007336356E-6</v>
      </c>
      <c r="BI1282" s="160">
        <v>1320510.8550830793</v>
      </c>
      <c r="BJ1282">
        <f t="shared" si="73"/>
        <v>0.61683082162099057</v>
      </c>
    </row>
    <row r="1283" spans="1:62" x14ac:dyDescent="0.3">
      <c r="A1283">
        <v>-0.1</v>
      </c>
      <c r="B1283" s="146">
        <v>100</v>
      </c>
      <c r="C1283" s="146">
        <v>25</v>
      </c>
      <c r="D1283" s="146">
        <v>400</v>
      </c>
      <c r="E1283" s="249">
        <v>3.2970807889183709</v>
      </c>
      <c r="F1283">
        <v>0.86787645648839762</v>
      </c>
      <c r="G1283">
        <v>3.9541012648012632</v>
      </c>
      <c r="H1283">
        <v>0.89188607326356084</v>
      </c>
      <c r="J1283">
        <v>0.18589873382104005</v>
      </c>
      <c r="K1283">
        <v>0.08</v>
      </c>
      <c r="L1283">
        <v>17.941153428366594</v>
      </c>
      <c r="M1283">
        <v>10.021625212030386</v>
      </c>
      <c r="N1283">
        <v>0.46421940452193688</v>
      </c>
      <c r="Z1283">
        <v>0.52049181889709317</v>
      </c>
      <c r="AL1283">
        <v>607.95099172119558</v>
      </c>
      <c r="AM1283">
        <v>0.21948766568375125</v>
      </c>
      <c r="AN1283">
        <v>0.2066567526186836</v>
      </c>
      <c r="AO1283">
        <v>384.04561792857533</v>
      </c>
      <c r="AP1283">
        <v>375.84128946022724</v>
      </c>
      <c r="AQ1283" t="s">
        <v>325</v>
      </c>
      <c r="AR1283">
        <f t="shared" ref="AR1283:AR1322" si="74">0.15*Jsat_t</f>
        <v>4.8813386259591285</v>
      </c>
      <c r="AS1283">
        <f t="shared" ref="AS1283:AS1322" si="75">0.05*Jatp</f>
        <v>1.3321822791215501</v>
      </c>
      <c r="AT1283">
        <v>0.1</v>
      </c>
      <c r="AU1283">
        <v>1</v>
      </c>
      <c r="AV1283">
        <v>0.2</v>
      </c>
      <c r="AW1283">
        <v>3</v>
      </c>
      <c r="AX1283">
        <v>0.11434954140636942</v>
      </c>
      <c r="AY1283">
        <v>0.08</v>
      </c>
      <c r="AZ1283" s="209">
        <v>375.84128946022724</v>
      </c>
      <c r="BA1283">
        <v>0.11434954140636942</v>
      </c>
      <c r="BB1283" s="249">
        <v>9.9742875636827844</v>
      </c>
      <c r="BC1283" s="243">
        <v>70.241290263155236</v>
      </c>
      <c r="BD1283" s="209">
        <v>25984.932992927512</v>
      </c>
      <c r="BE1283" s="243">
        <v>18.991608792322051</v>
      </c>
      <c r="BF1283">
        <v>18877.619469293015</v>
      </c>
      <c r="BG1283" t="s">
        <v>387</v>
      </c>
      <c r="BH1283">
        <v>2.0237176609944445E-6</v>
      </c>
      <c r="BI1283">
        <v>1459849.3299292752</v>
      </c>
      <c r="BJ1283">
        <f t="shared" si="73"/>
        <v>1.2931210832701188E-2</v>
      </c>
    </row>
    <row r="1284" spans="1:62" x14ac:dyDescent="0.3">
      <c r="A1284">
        <v>-0.1</v>
      </c>
      <c r="B1284" s="146">
        <v>200</v>
      </c>
      <c r="C1284" s="146">
        <v>25</v>
      </c>
      <c r="D1284" s="146">
        <v>400</v>
      </c>
      <c r="E1284" s="252">
        <v>6.0473435332636454</v>
      </c>
      <c r="F1284" s="146">
        <v>1.5890195824653868</v>
      </c>
      <c r="G1284" s="146">
        <v>7.1717502977055982</v>
      </c>
      <c r="H1284" s="146">
        <v>1.6483102029922081</v>
      </c>
      <c r="I1284" s="146"/>
      <c r="J1284" s="146">
        <v>0.18468857861823693</v>
      </c>
      <c r="K1284" s="146">
        <v>0.08</v>
      </c>
      <c r="L1284" s="146">
        <v>33.219396176322526</v>
      </c>
      <c r="M1284" s="146">
        <v>18.55579350448534</v>
      </c>
      <c r="N1284" s="146">
        <v>0.73451682299842691</v>
      </c>
      <c r="O1284" s="146"/>
      <c r="P1284" s="146"/>
      <c r="Q1284" s="146"/>
      <c r="R1284" s="146"/>
      <c r="S1284" s="146"/>
      <c r="T1284" s="146"/>
      <c r="U1284" s="146"/>
      <c r="V1284" s="146"/>
      <c r="W1284" s="146"/>
      <c r="X1284" s="146"/>
      <c r="Y1284" s="146"/>
      <c r="Z1284" s="146">
        <v>0.44561807702521339</v>
      </c>
      <c r="AA1284" s="146"/>
      <c r="AB1284" s="146"/>
      <c r="AC1284" s="146"/>
      <c r="AD1284" s="146"/>
      <c r="AE1284" s="146"/>
      <c r="AF1284" s="146"/>
      <c r="AG1284" s="146"/>
      <c r="AH1284" s="146"/>
      <c r="AI1284" s="146"/>
      <c r="AJ1284" s="146"/>
      <c r="AK1284" s="146"/>
      <c r="AL1284" s="146">
        <v>725.99321671088603</v>
      </c>
      <c r="AM1284" s="146">
        <v>0.22156649583488</v>
      </c>
      <c r="AN1284" s="146">
        <v>0.23066563232013126</v>
      </c>
      <c r="AO1284" s="146">
        <v>373.78307521394959</v>
      </c>
      <c r="AP1284" s="146">
        <v>358.73480521167232</v>
      </c>
      <c r="AQ1284" t="s">
        <v>325</v>
      </c>
      <c r="AR1284">
        <f t="shared" si="74"/>
        <v>4.8813386259591285</v>
      </c>
      <c r="AS1284">
        <f t="shared" si="75"/>
        <v>1.3321822791215501</v>
      </c>
      <c r="AT1284">
        <v>0.1</v>
      </c>
      <c r="AU1284">
        <v>1</v>
      </c>
      <c r="AV1284">
        <v>0.2</v>
      </c>
      <c r="AW1284">
        <v>3</v>
      </c>
      <c r="AX1284">
        <v>0.11817637411157933</v>
      </c>
      <c r="AY1284">
        <v>0.08</v>
      </c>
      <c r="AZ1284" s="209">
        <v>358.73480521167232</v>
      </c>
      <c r="BA1284">
        <v>0.11817637411157933</v>
      </c>
      <c r="BB1284" s="249">
        <v>18.162527984645699</v>
      </c>
      <c r="BC1284" s="243">
        <v>102.16003230498031</v>
      </c>
      <c r="BD1284" s="209">
        <v>42004.862889497323</v>
      </c>
      <c r="BE1284" s="243">
        <v>29.798756978723368</v>
      </c>
      <c r="BF1284">
        <v>52274.620854973487</v>
      </c>
      <c r="BG1284" t="s">
        <v>387</v>
      </c>
      <c r="BH1284">
        <v>3.4015457604255459E-6</v>
      </c>
      <c r="BI1284">
        <v>1620048.6288949731</v>
      </c>
      <c r="BJ1284">
        <f t="shared" ref="BJ1284:BJ1347" si="76">BF1284/BI1284</f>
        <v>3.2267315883369341E-2</v>
      </c>
    </row>
    <row r="1285" spans="1:62" x14ac:dyDescent="0.3">
      <c r="A1285">
        <v>-0.1</v>
      </c>
      <c r="B1285" s="146">
        <v>300</v>
      </c>
      <c r="C1285" s="146">
        <v>25</v>
      </c>
      <c r="D1285" s="146">
        <v>400</v>
      </c>
      <c r="E1285" s="252">
        <v>8.3909955453148903</v>
      </c>
      <c r="F1285" s="146">
        <v>2.2318897398826683</v>
      </c>
      <c r="G1285" s="146">
        <v>9.9160123509425357</v>
      </c>
      <c r="H1285" s="146">
        <v>2.3141491093889144</v>
      </c>
      <c r="I1285" s="146"/>
      <c r="J1285" s="146">
        <v>0.18461865153671325</v>
      </c>
      <c r="K1285" s="146">
        <v>0.08</v>
      </c>
      <c r="L1285" s="146">
        <v>46.703645053773151</v>
      </c>
      <c r="M1285" s="146">
        <v>26.087867128129417</v>
      </c>
      <c r="N1285" s="146">
        <v>0.93043627541151253</v>
      </c>
      <c r="O1285" s="146"/>
      <c r="P1285" s="146"/>
      <c r="Q1285" s="146"/>
      <c r="R1285" s="146"/>
      <c r="S1285" s="146"/>
      <c r="T1285" s="146"/>
      <c r="U1285" s="146"/>
      <c r="V1285" s="146"/>
      <c r="W1285" s="146"/>
      <c r="X1285" s="146"/>
      <c r="Y1285" s="146"/>
      <c r="Z1285" s="146">
        <v>0.40206409847860153</v>
      </c>
      <c r="AA1285" s="146"/>
      <c r="AB1285" s="146"/>
      <c r="AC1285" s="146"/>
      <c r="AD1285" s="146"/>
      <c r="AE1285" s="146"/>
      <c r="AF1285" s="146"/>
      <c r="AG1285" s="146"/>
      <c r="AH1285" s="146"/>
      <c r="AI1285" s="146"/>
      <c r="AJ1285" s="146"/>
      <c r="AK1285" s="146"/>
      <c r="AL1285" s="146">
        <v>809.93401026226502</v>
      </c>
      <c r="AM1285" s="146">
        <v>0.22507936264021725</v>
      </c>
      <c r="AN1285" s="146">
        <v>0.24389371876463661</v>
      </c>
      <c r="AO1285" s="146">
        <v>365.5956882046134</v>
      </c>
      <c r="AP1285" s="146">
        <v>344.71587255650832</v>
      </c>
      <c r="AQ1285" t="s">
        <v>325</v>
      </c>
      <c r="AR1285">
        <f t="shared" si="74"/>
        <v>4.8813386259591285</v>
      </c>
      <c r="AS1285">
        <f t="shared" si="75"/>
        <v>1.3321822791215501</v>
      </c>
      <c r="AT1285">
        <v>0.1</v>
      </c>
      <c r="AU1285">
        <v>1</v>
      </c>
      <c r="AV1285">
        <v>0.2</v>
      </c>
      <c r="AW1285">
        <v>3</v>
      </c>
      <c r="AX1285">
        <v>0.12123344084478638</v>
      </c>
      <c r="AY1285">
        <v>0.08</v>
      </c>
      <c r="AZ1285" s="209">
        <v>344.71587255650832</v>
      </c>
      <c r="BA1285">
        <v>0.12123344084478638</v>
      </c>
      <c r="BB1285" s="249">
        <v>25.316493869551284</v>
      </c>
      <c r="BC1285" s="243">
        <v>125.08022866686812</v>
      </c>
      <c r="BD1285" s="209">
        <v>55047.550647755459</v>
      </c>
      <c r="BE1285" s="243">
        <v>38.548545607656798</v>
      </c>
      <c r="BF1285">
        <v>90364.129697133743</v>
      </c>
      <c r="BG1285" t="s">
        <v>387</v>
      </c>
      <c r="BH1285">
        <v>4.3353356447017659E-6</v>
      </c>
      <c r="BI1285">
        <v>1750475.5064775546</v>
      </c>
      <c r="BJ1285">
        <f t="shared" si="76"/>
        <v>5.1622618747160648E-2</v>
      </c>
    </row>
    <row r="1286" spans="1:62" x14ac:dyDescent="0.3">
      <c r="A1286">
        <v>-0.1</v>
      </c>
      <c r="B1286" s="146">
        <v>400</v>
      </c>
      <c r="C1286" s="146">
        <v>25</v>
      </c>
      <c r="D1286" s="146">
        <v>400</v>
      </c>
      <c r="E1286" s="252">
        <v>10.420861351700179</v>
      </c>
      <c r="F1286" s="146">
        <v>2.8169463932206043</v>
      </c>
      <c r="G1286" s="146">
        <v>12.302715951148635</v>
      </c>
      <c r="H1286" s="146">
        <v>2.9089131897624956</v>
      </c>
      <c r="I1286" s="146"/>
      <c r="J1286" s="146">
        <v>0.18482048669484716</v>
      </c>
      <c r="K1286" s="146">
        <v>0.08</v>
      </c>
      <c r="L1286" s="146">
        <v>58.773774880472551</v>
      </c>
      <c r="M1286" s="146">
        <v>32.830037739773495</v>
      </c>
      <c r="N1286" s="146">
        <v>1.0845299428604269</v>
      </c>
      <c r="O1286" s="146"/>
      <c r="P1286" s="146"/>
      <c r="Q1286" s="146"/>
      <c r="R1286" s="146"/>
      <c r="S1286" s="146"/>
      <c r="T1286" s="146"/>
      <c r="U1286" s="146"/>
      <c r="V1286" s="146"/>
      <c r="W1286" s="146"/>
      <c r="X1286" s="146"/>
      <c r="Y1286" s="146"/>
      <c r="Z1286" s="146">
        <v>0.37282994441954304</v>
      </c>
      <c r="AA1286" s="146"/>
      <c r="AB1286" s="146"/>
      <c r="AC1286" s="146"/>
      <c r="AD1286" s="146"/>
      <c r="AE1286" s="146"/>
      <c r="AF1286" s="146"/>
      <c r="AG1286" s="146"/>
      <c r="AH1286" s="146"/>
      <c r="AI1286" s="146"/>
      <c r="AJ1286" s="146"/>
      <c r="AK1286" s="146"/>
      <c r="AL1286" s="146">
        <v>875.08897627709314</v>
      </c>
      <c r="AM1286" s="146">
        <v>0.22896947344034241</v>
      </c>
      <c r="AN1286" s="146">
        <v>0.25265651497600716</v>
      </c>
      <c r="AO1286" s="146">
        <v>358.75482825887246</v>
      </c>
      <c r="AP1286" s="146">
        <v>332.82400484687946</v>
      </c>
      <c r="AQ1286" t="s">
        <v>325</v>
      </c>
      <c r="AR1286">
        <f t="shared" si="74"/>
        <v>4.8813386259591285</v>
      </c>
      <c r="AS1286">
        <f t="shared" si="75"/>
        <v>1.3321822791215501</v>
      </c>
      <c r="AT1286">
        <v>0.1</v>
      </c>
      <c r="AU1286">
        <v>1</v>
      </c>
      <c r="AV1286">
        <v>0.2</v>
      </c>
      <c r="AW1286">
        <v>3</v>
      </c>
      <c r="AX1286">
        <v>0.12355473507542779</v>
      </c>
      <c r="AY1286">
        <v>0.08</v>
      </c>
      <c r="AZ1286" s="209">
        <v>332.82400484687946</v>
      </c>
      <c r="BA1286">
        <v>0.12355473507542779</v>
      </c>
      <c r="BB1286" s="249">
        <v>31.700925261176163</v>
      </c>
      <c r="BC1286" s="243">
        <v>143.27641681581377</v>
      </c>
      <c r="BD1286" s="209">
        <v>66257.530850767216</v>
      </c>
      <c r="BE1286" s="243">
        <v>46.076144319447657</v>
      </c>
      <c r="BF1286">
        <v>130154.07939962692</v>
      </c>
      <c r="BG1286" t="s">
        <v>387</v>
      </c>
      <c r="BH1286">
        <v>4.9989612057628943E-6</v>
      </c>
      <c r="BI1286">
        <v>1862575.308507672</v>
      </c>
      <c r="BJ1286">
        <f t="shared" si="76"/>
        <v>6.9878559436025514E-2</v>
      </c>
    </row>
    <row r="1287" spans="1:62" x14ac:dyDescent="0.3">
      <c r="A1287">
        <v>-0.1</v>
      </c>
      <c r="B1287" s="146">
        <v>600</v>
      </c>
      <c r="C1287" s="146">
        <v>25</v>
      </c>
      <c r="D1287" s="146">
        <v>400</v>
      </c>
      <c r="E1287" s="252">
        <v>13.75117835456884</v>
      </c>
      <c r="F1287" s="146">
        <v>3.8446336202955562</v>
      </c>
      <c r="G1287" s="146">
        <v>16.247099941648045</v>
      </c>
      <c r="H1287" s="146">
        <v>3.926061260516633</v>
      </c>
      <c r="I1287" s="146"/>
      <c r="J1287" s="146">
        <v>0.18546810798495669</v>
      </c>
      <c r="K1287" s="146">
        <v>0.08</v>
      </c>
      <c r="L1287" s="146">
        <v>79.46943339016245</v>
      </c>
      <c r="M1287" s="146">
        <v>44.390282956357773</v>
      </c>
      <c r="N1287" s="146">
        <v>1.3164505649990552</v>
      </c>
      <c r="O1287" s="146"/>
      <c r="P1287" s="146"/>
      <c r="Q1287" s="146"/>
      <c r="R1287" s="146"/>
      <c r="S1287" s="146"/>
      <c r="T1287" s="146"/>
      <c r="U1287" s="146"/>
      <c r="V1287" s="146"/>
      <c r="W1287" s="146"/>
      <c r="X1287" s="146"/>
      <c r="Y1287" s="146"/>
      <c r="Z1287" s="146">
        <v>0.33531075488766637</v>
      </c>
      <c r="AA1287" s="146"/>
      <c r="AB1287" s="146"/>
      <c r="AC1287" s="146"/>
      <c r="AD1287" s="146"/>
      <c r="AE1287" s="146"/>
      <c r="AF1287" s="146"/>
      <c r="AG1287" s="146"/>
      <c r="AH1287" s="146"/>
      <c r="AI1287" s="146"/>
      <c r="AJ1287" s="146"/>
      <c r="AK1287" s="146"/>
      <c r="AL1287" s="146">
        <v>971.94080011600784</v>
      </c>
      <c r="AM1287" s="146">
        <v>0.23663506928028233</v>
      </c>
      <c r="AN1287" s="146">
        <v>0.26410728248983451</v>
      </c>
      <c r="AO1287" s="146">
        <v>347.93336168192133</v>
      </c>
      <c r="AP1287" s="146">
        <v>313.71551761648067</v>
      </c>
      <c r="AQ1287" t="s">
        <v>325</v>
      </c>
      <c r="AR1287">
        <f t="shared" si="74"/>
        <v>4.8813386259591285</v>
      </c>
      <c r="AS1287">
        <f t="shared" si="75"/>
        <v>1.3321822791215501</v>
      </c>
      <c r="AT1287">
        <v>0.1</v>
      </c>
      <c r="AU1287">
        <v>1</v>
      </c>
      <c r="AV1287">
        <v>0.2</v>
      </c>
      <c r="AW1287">
        <v>3</v>
      </c>
      <c r="AX1287">
        <v>0.12688289878616391</v>
      </c>
      <c r="AY1287">
        <v>0.08</v>
      </c>
      <c r="AZ1287" s="209">
        <v>313.71551761648067</v>
      </c>
      <c r="BA1287">
        <v>0.12688289878616391</v>
      </c>
      <c r="BB1287" s="249">
        <v>42.636336498379926</v>
      </c>
      <c r="BC1287" s="243">
        <v>170.91345687742648</v>
      </c>
      <c r="BD1287" s="209">
        <v>84660.393524627943</v>
      </c>
      <c r="BE1287" s="243">
        <v>58.528453895144644</v>
      </c>
      <c r="BF1287">
        <v>209170.86658821104</v>
      </c>
      <c r="BG1287" t="s">
        <v>387</v>
      </c>
      <c r="BH1287">
        <v>5.8527164646004078E-6</v>
      </c>
      <c r="BI1287">
        <v>2046603.9352462795</v>
      </c>
      <c r="BJ1287">
        <f t="shared" si="76"/>
        <v>0.10220388175059397</v>
      </c>
    </row>
    <row r="1288" spans="1:62" x14ac:dyDescent="0.3">
      <c r="A1288">
        <v>-0.1</v>
      </c>
      <c r="B1288" s="146">
        <v>800</v>
      </c>
      <c r="C1288" s="146">
        <v>25</v>
      </c>
      <c r="D1288" s="146">
        <v>400</v>
      </c>
      <c r="E1288" s="252">
        <v>16.325167955275102</v>
      </c>
      <c r="F1288" s="146">
        <v>4.7047850163530525</v>
      </c>
      <c r="G1288" s="146">
        <v>19.32497107645947</v>
      </c>
      <c r="H1288" s="146">
        <v>4.7530689893763336</v>
      </c>
      <c r="I1288" s="146"/>
      <c r="J1288" s="146">
        <v>0.18625439970801311</v>
      </c>
      <c r="K1288" s="146">
        <v>0.08</v>
      </c>
      <c r="L1288" s="146">
        <v>96.349235927467319</v>
      </c>
      <c r="M1288" s="146">
        <v>53.819055490819622</v>
      </c>
      <c r="N1288" s="146">
        <v>1.4825896968334717</v>
      </c>
      <c r="O1288" s="146"/>
      <c r="P1288" s="146"/>
      <c r="Q1288" s="146"/>
      <c r="R1288" s="146"/>
      <c r="S1288" s="146"/>
      <c r="T1288" s="146"/>
      <c r="U1288" s="146"/>
      <c r="V1288" s="146"/>
      <c r="W1288" s="146"/>
      <c r="X1288" s="146"/>
      <c r="Y1288" s="146"/>
      <c r="Z1288" s="146">
        <v>0.31192261255774606</v>
      </c>
      <c r="AA1288" s="146"/>
      <c r="AB1288" s="146"/>
      <c r="AC1288" s="146"/>
      <c r="AD1288" s="146"/>
      <c r="AE1288" s="146"/>
      <c r="AF1288" s="146"/>
      <c r="AG1288" s="146"/>
      <c r="AH1288" s="146"/>
      <c r="AI1288" s="146"/>
      <c r="AJ1288" s="146"/>
      <c r="AK1288" s="146"/>
      <c r="AL1288" s="146">
        <v>1040.5667294675661</v>
      </c>
      <c r="AM1288" s="146">
        <v>0.24345625138265495</v>
      </c>
      <c r="AN1288" s="146">
        <v>0.27160953455096754</v>
      </c>
      <c r="AO1288" s="146">
        <v>339.89471694259805</v>
      </c>
      <c r="AP1288" s="146">
        <v>299.27188105083025</v>
      </c>
      <c r="AQ1288" t="s">
        <v>325</v>
      </c>
      <c r="AR1288">
        <f t="shared" si="74"/>
        <v>4.8813386259591285</v>
      </c>
      <c r="AS1288">
        <f t="shared" si="75"/>
        <v>1.3321822791215501</v>
      </c>
      <c r="AT1288">
        <v>0.1</v>
      </c>
      <c r="AU1288">
        <v>1</v>
      </c>
      <c r="AV1288">
        <v>0.2</v>
      </c>
      <c r="AW1288">
        <v>3</v>
      </c>
      <c r="AX1288">
        <v>0.12923949017580669</v>
      </c>
      <c r="AY1288">
        <v>0.08</v>
      </c>
      <c r="AZ1288" s="209">
        <v>299.27188105083025</v>
      </c>
      <c r="BA1288">
        <v>0.12923949017580669</v>
      </c>
      <c r="BB1288" s="249">
        <v>51.537959479885728</v>
      </c>
      <c r="BC1288" s="243">
        <v>190.66095807469111</v>
      </c>
      <c r="BD1288" s="209">
        <v>98844.349855612862</v>
      </c>
      <c r="BE1288" s="243">
        <v>68.303287128446385</v>
      </c>
      <c r="BF1288">
        <v>282332.80477935984</v>
      </c>
      <c r="BG1288" t="s">
        <v>387</v>
      </c>
      <c r="BH1288">
        <v>6.3539776403543078E-6</v>
      </c>
      <c r="BI1288">
        <v>2188443.4985561287</v>
      </c>
      <c r="BJ1288">
        <f t="shared" si="76"/>
        <v>0.1290107809343192</v>
      </c>
    </row>
    <row r="1289" spans="1:62" x14ac:dyDescent="0.3">
      <c r="A1289">
        <v>-0.1</v>
      </c>
      <c r="B1289" s="146">
        <v>1000</v>
      </c>
      <c r="C1289" s="146">
        <v>25</v>
      </c>
      <c r="D1289" s="146">
        <v>400</v>
      </c>
      <c r="E1289" s="252">
        <v>18.326700481769464</v>
      </c>
      <c r="F1289" s="146">
        <v>5.4189652590899478</v>
      </c>
      <c r="G1289" s="146">
        <v>21.738808620719677</v>
      </c>
      <c r="H1289" s="146">
        <v>5.4239488093024484</v>
      </c>
      <c r="I1289" s="146"/>
      <c r="J1289" s="146">
        <v>0.18716372660187319</v>
      </c>
      <c r="K1289" s="146">
        <v>0.08</v>
      </c>
      <c r="L1289" s="146">
        <v>110.08188609881644</v>
      </c>
      <c r="M1289" s="146">
        <v>61.489881880810273</v>
      </c>
      <c r="N1289" s="146">
        <v>1.6034067553052687</v>
      </c>
      <c r="O1289" s="146"/>
      <c r="P1289" s="146"/>
      <c r="Q1289" s="146"/>
      <c r="R1289" s="146"/>
      <c r="S1289" s="146"/>
      <c r="T1289" s="146"/>
      <c r="U1289" s="146"/>
      <c r="V1289" s="146"/>
      <c r="W1289" s="146"/>
      <c r="X1289" s="146"/>
      <c r="Y1289" s="146"/>
      <c r="Z1289" s="146">
        <v>0.29561612981216101</v>
      </c>
      <c r="AA1289" s="146"/>
      <c r="AB1289" s="146"/>
      <c r="AC1289" s="146"/>
      <c r="AD1289" s="146"/>
      <c r="AE1289" s="146"/>
      <c r="AF1289" s="146"/>
      <c r="AG1289" s="146"/>
      <c r="AH1289" s="146"/>
      <c r="AI1289" s="146"/>
      <c r="AJ1289" s="146"/>
      <c r="AK1289" s="146"/>
      <c r="AL1289" s="146">
        <v>1089.9099687602175</v>
      </c>
      <c r="AM1289" s="146">
        <v>0.2492760920635286</v>
      </c>
      <c r="AN1289" s="146">
        <v>0.27688025380695136</v>
      </c>
      <c r="AO1289" s="146">
        <v>333.8100127048159</v>
      </c>
      <c r="AP1289" s="146">
        <v>288.20659110758288</v>
      </c>
      <c r="AQ1289" t="s">
        <v>325</v>
      </c>
      <c r="AR1289">
        <f t="shared" si="74"/>
        <v>4.8813386259591285</v>
      </c>
      <c r="AS1289">
        <f t="shared" si="75"/>
        <v>1.3321822791215501</v>
      </c>
      <c r="AT1289">
        <v>0.1</v>
      </c>
      <c r="AU1289">
        <v>1</v>
      </c>
      <c r="AV1289">
        <v>0.2</v>
      </c>
      <c r="AW1289">
        <v>3</v>
      </c>
      <c r="AX1289">
        <v>0.13107079975014613</v>
      </c>
      <c r="AY1289">
        <v>0.08</v>
      </c>
      <c r="AZ1289" s="209">
        <v>288.20659110758288</v>
      </c>
      <c r="BA1289">
        <v>0.13107079975014613</v>
      </c>
      <c r="BB1289" s="249">
        <v>58.768718054768414</v>
      </c>
      <c r="BC1289" s="243">
        <v>204.98503646602856</v>
      </c>
      <c r="BD1289" s="209">
        <v>109788.62208646035</v>
      </c>
      <c r="BE1289" s="243">
        <v>76.065167296066249</v>
      </c>
      <c r="BF1289">
        <v>346920.29247184342</v>
      </c>
      <c r="BG1289" t="s">
        <v>387</v>
      </c>
      <c r="BH1289">
        <v>6.6681033012004899E-6</v>
      </c>
      <c r="BI1289">
        <v>2297886.2208646033</v>
      </c>
      <c r="BJ1289">
        <f t="shared" si="76"/>
        <v>0.15097365975818902</v>
      </c>
    </row>
    <row r="1290" spans="1:62" x14ac:dyDescent="0.3">
      <c r="A1290">
        <v>-0.1</v>
      </c>
      <c r="B1290" s="146">
        <v>1300</v>
      </c>
      <c r="C1290" s="146">
        <v>25</v>
      </c>
      <c r="D1290" s="146">
        <v>400</v>
      </c>
      <c r="E1290" s="252">
        <v>20.515940919808514</v>
      </c>
      <c r="F1290" s="146">
        <v>6.2465330370540233</v>
      </c>
      <c r="G1290" s="146">
        <v>24.398979968799356</v>
      </c>
      <c r="H1290" s="146">
        <v>6.1933033012656766</v>
      </c>
      <c r="I1290" s="146"/>
      <c r="J1290" s="146">
        <v>0.18847012002052754</v>
      </c>
      <c r="K1290" s="146">
        <v>0.08</v>
      </c>
      <c r="L1290" s="146">
        <v>125.8832687166981</v>
      </c>
      <c r="M1290" s="146">
        <v>70.316267266820461</v>
      </c>
      <c r="N1290" s="146">
        <v>1.7296178480682558</v>
      </c>
      <c r="O1290" s="146"/>
      <c r="P1290" s="146"/>
      <c r="Q1290" s="146"/>
      <c r="R1290" s="146"/>
      <c r="S1290" s="146"/>
      <c r="T1290" s="146"/>
      <c r="U1290" s="146"/>
      <c r="V1290" s="146"/>
      <c r="W1290" s="146"/>
      <c r="X1290" s="146"/>
      <c r="Y1290" s="146"/>
      <c r="Z1290" s="146">
        <v>0.27927226617737055</v>
      </c>
      <c r="AA1290" s="146"/>
      <c r="AB1290" s="146"/>
      <c r="AC1290" s="146"/>
      <c r="AD1290" s="146"/>
      <c r="AE1290" s="146"/>
      <c r="AF1290" s="146"/>
      <c r="AG1290" s="146"/>
      <c r="AH1290" s="146"/>
      <c r="AI1290" s="146"/>
      <c r="AJ1290" s="146"/>
      <c r="AK1290" s="146"/>
      <c r="AL1290" s="146">
        <v>1141.1786883316497</v>
      </c>
      <c r="AM1290" s="146">
        <v>0.2560161549803267</v>
      </c>
      <c r="AN1290" s="146">
        <v>0.28266946321000236</v>
      </c>
      <c r="AO1290" s="146">
        <v>327.42073838882732</v>
      </c>
      <c r="AP1290" s="146">
        <v>276.36976429752207</v>
      </c>
      <c r="AQ1290" t="s">
        <v>325</v>
      </c>
      <c r="AR1290">
        <f t="shared" si="74"/>
        <v>4.8813386259591285</v>
      </c>
      <c r="AS1290">
        <f t="shared" si="75"/>
        <v>1.3321822791215501</v>
      </c>
      <c r="AT1290">
        <v>0.1</v>
      </c>
      <c r="AU1290">
        <v>1</v>
      </c>
      <c r="AV1290">
        <v>0.2</v>
      </c>
      <c r="AW1290" s="146">
        <v>3</v>
      </c>
      <c r="AX1290">
        <v>0.13317368011403574</v>
      </c>
      <c r="AY1290">
        <v>0.08</v>
      </c>
      <c r="AZ1290" s="209">
        <v>276.36976429752207</v>
      </c>
      <c r="BA1290">
        <v>0.13317368011403574</v>
      </c>
      <c r="BB1290" s="249">
        <v>66.989826256720505</v>
      </c>
      <c r="BC1290" s="243">
        <v>219.34102802090507</v>
      </c>
      <c r="BD1290" s="209">
        <v>121404.11158073017</v>
      </c>
      <c r="BE1290" s="243">
        <v>84.567984164627347</v>
      </c>
      <c r="BF1290">
        <v>425274.04625420889</v>
      </c>
      <c r="BG1290" t="s">
        <v>387</v>
      </c>
      <c r="BH1290">
        <v>6.9557676899353187E-6</v>
      </c>
      <c r="BI1290">
        <v>2414041.1158073014</v>
      </c>
      <c r="BJ1290">
        <f t="shared" si="76"/>
        <v>0.17616686123094019</v>
      </c>
    </row>
    <row r="1291" spans="1:62" x14ac:dyDescent="0.3">
      <c r="A1291">
        <v>-0.1</v>
      </c>
      <c r="B1291" s="227">
        <v>1600</v>
      </c>
      <c r="C1291" s="146">
        <v>25</v>
      </c>
      <c r="D1291" s="146">
        <v>400</v>
      </c>
      <c r="E1291" s="252">
        <v>22.037521845501207</v>
      </c>
      <c r="F1291" s="146">
        <v>6.8535341339571278</v>
      </c>
      <c r="G1291" s="146">
        <v>26.261481976732114</v>
      </c>
      <c r="H1291" s="146">
        <v>6.7516694032310669</v>
      </c>
      <c r="I1291" s="146"/>
      <c r="J1291" s="146">
        <v>0.18972845145068509</v>
      </c>
      <c r="K1291" s="146">
        <v>0.08</v>
      </c>
      <c r="L1291" s="146">
        <v>137.39374721918912</v>
      </c>
      <c r="M1291" s="146">
        <v>76.745826103361779</v>
      </c>
      <c r="N1291" s="146">
        <v>1.8106673816967671</v>
      </c>
      <c r="O1291" s="146"/>
      <c r="P1291" s="146"/>
      <c r="Q1291" s="146"/>
      <c r="R1291" s="146"/>
      <c r="S1291" s="146"/>
      <c r="T1291" s="146"/>
      <c r="U1291" s="146"/>
      <c r="V1291" s="146"/>
      <c r="W1291" s="146"/>
      <c r="X1291" s="146"/>
      <c r="Y1291" s="146"/>
      <c r="Z1291" s="146">
        <v>0.2681806933304906</v>
      </c>
      <c r="AA1291" s="146"/>
      <c r="AB1291" s="146"/>
      <c r="AC1291" s="146"/>
      <c r="AD1291" s="146"/>
      <c r="AE1291" s="146"/>
      <c r="AF1291" s="146"/>
      <c r="AG1291" s="146"/>
      <c r="AH1291" s="146"/>
      <c r="AI1291" s="146"/>
      <c r="AJ1291" s="146"/>
      <c r="AK1291" s="146"/>
      <c r="AL1291" s="146">
        <v>1173.6048143701519</v>
      </c>
      <c r="AM1291" s="146">
        <v>0.26097286284260024</v>
      </c>
      <c r="AN1291" s="146">
        <v>0.2866049258033353</v>
      </c>
      <c r="AO1291" s="146">
        <v>323.10836325045204</v>
      </c>
      <c r="AP1291" s="146">
        <v>268.27112352176886</v>
      </c>
      <c r="AQ1291" t="s">
        <v>325</v>
      </c>
      <c r="AR1291">
        <f t="shared" si="74"/>
        <v>4.8813386259591285</v>
      </c>
      <c r="AS1291">
        <f t="shared" si="75"/>
        <v>1.3321822791215501</v>
      </c>
      <c r="AT1291">
        <v>0.1</v>
      </c>
      <c r="AU1291">
        <v>1</v>
      </c>
      <c r="AV1291">
        <v>0.2</v>
      </c>
      <c r="AW1291" s="146">
        <v>3</v>
      </c>
      <c r="AX1291">
        <v>0.13478239790857988</v>
      </c>
      <c r="AY1291">
        <v>0.08</v>
      </c>
      <c r="AZ1291" s="209">
        <v>268.27112352176886</v>
      </c>
      <c r="BA1291">
        <v>0.13478239790857988</v>
      </c>
      <c r="BB1291" s="249">
        <v>72.915225645165876</v>
      </c>
      <c r="BC1291" s="243">
        <v>228.32765149571597</v>
      </c>
      <c r="BD1291" s="209">
        <v>129201.31415753927</v>
      </c>
      <c r="BE1291" s="243">
        <v>90.549574205222058</v>
      </c>
      <c r="BF1291">
        <v>484617.44598547206</v>
      </c>
      <c r="BG1291" t="s">
        <v>387</v>
      </c>
      <c r="BH1291">
        <v>7.12753574747329E-6</v>
      </c>
      <c r="BI1291">
        <v>2492013.1415753923</v>
      </c>
      <c r="BJ1291">
        <f t="shared" si="76"/>
        <v>0.19446825456109282</v>
      </c>
    </row>
    <row r="1292" spans="1:62" s="140" customFormat="1" x14ac:dyDescent="0.3">
      <c r="A1292" s="140">
        <v>-0.1</v>
      </c>
      <c r="B1292" s="140">
        <v>1900</v>
      </c>
      <c r="C1292" s="140">
        <v>25</v>
      </c>
      <c r="D1292" s="140">
        <v>400</v>
      </c>
      <c r="E1292" s="253">
        <v>23.110164229397853</v>
      </c>
      <c r="F1292" s="140">
        <v>7.2962825017912012</v>
      </c>
      <c r="G1292" s="140">
        <v>27.580177005989963</v>
      </c>
      <c r="H1292" s="140">
        <v>7.1601256456988382</v>
      </c>
      <c r="J1292" s="140">
        <v>0.19080693357017142</v>
      </c>
      <c r="K1292" s="140">
        <v>0.08</v>
      </c>
      <c r="L1292" s="140">
        <v>145.84205457191192</v>
      </c>
      <c r="M1292" s="140">
        <v>81.464907867144248</v>
      </c>
      <c r="N1292" s="140">
        <v>1.8651010249766919</v>
      </c>
      <c r="Z1292" s="140">
        <v>0.2604843989151332</v>
      </c>
      <c r="AL1292" s="140">
        <v>1195.215209587373</v>
      </c>
      <c r="AM1292" s="140">
        <v>0.26454806654092788</v>
      </c>
      <c r="AN1292" s="140">
        <v>0.28949615370777559</v>
      </c>
      <c r="AO1292" s="140">
        <v>320.17108367966159</v>
      </c>
      <c r="AP1292" s="140">
        <v>262.66469709902748</v>
      </c>
      <c r="AQ1292" t="s">
        <v>325</v>
      </c>
      <c r="AR1292">
        <f t="shared" si="74"/>
        <v>4.8813386259591285</v>
      </c>
      <c r="AS1292">
        <f t="shared" si="75"/>
        <v>1.3321822791215501</v>
      </c>
      <c r="AT1292">
        <v>0.1</v>
      </c>
      <c r="AU1292" s="140">
        <v>1</v>
      </c>
      <c r="AV1292">
        <v>0.2</v>
      </c>
      <c r="AW1292" s="140">
        <v>3</v>
      </c>
      <c r="AX1292">
        <v>0.13602887973780348</v>
      </c>
      <c r="AY1292">
        <v>0.08</v>
      </c>
      <c r="AZ1292" s="209">
        <v>262.66469709902748</v>
      </c>
      <c r="BA1292" s="140">
        <v>0.13602887973780348</v>
      </c>
      <c r="BB1292" s="253">
        <v>77.188292559321425</v>
      </c>
      <c r="BC1292" s="245">
        <v>234.01189446621717</v>
      </c>
      <c r="BD1292" s="210">
        <v>134440.95998850628</v>
      </c>
      <c r="BE1292" s="245">
        <v>94.736715812385455</v>
      </c>
      <c r="BF1292" s="140">
        <v>528662.1492851082</v>
      </c>
      <c r="BG1292" t="s">
        <v>387</v>
      </c>
      <c r="BH1292" s="140">
        <v>7.2399353782000066E-6</v>
      </c>
      <c r="BI1292" s="140">
        <v>2544409.5998850628</v>
      </c>
      <c r="BJ1292">
        <f t="shared" si="76"/>
        <v>0.20777399570768368</v>
      </c>
    </row>
    <row r="1293" spans="1:62" x14ac:dyDescent="0.3">
      <c r="A1293">
        <v>-0.1</v>
      </c>
      <c r="B1293" s="146">
        <v>1000</v>
      </c>
      <c r="C1293" s="146">
        <v>25</v>
      </c>
      <c r="D1293" s="146">
        <v>200</v>
      </c>
      <c r="E1293" s="252">
        <v>13.531926546293722</v>
      </c>
      <c r="F1293" s="146">
        <v>8.8552164399928692</v>
      </c>
      <c r="G1293" s="146">
        <v>18.755738991096472</v>
      </c>
      <c r="H1293" s="146">
        <v>5.6853810253465777</v>
      </c>
      <c r="I1293" s="146"/>
      <c r="J1293" s="146">
        <v>0.21965442906594754</v>
      </c>
      <c r="K1293" s="146">
        <v>0.08</v>
      </c>
      <c r="L1293" s="146">
        <v>115.99871504410521</v>
      </c>
      <c r="M1293" s="146">
        <v>64.794922572320345</v>
      </c>
      <c r="N1293" s="146">
        <v>1.330974445283081</v>
      </c>
      <c r="O1293" s="146"/>
      <c r="P1293" s="146"/>
      <c r="Q1293" s="146"/>
      <c r="R1293" s="146"/>
      <c r="S1293" s="146"/>
      <c r="T1293" s="146"/>
      <c r="U1293" s="146"/>
      <c r="V1293" s="146"/>
      <c r="W1293" s="146"/>
      <c r="X1293" s="146"/>
      <c r="Y1293" s="146"/>
      <c r="Z1293" s="146">
        <v>0.23410470456585544</v>
      </c>
      <c r="AA1293" s="146"/>
      <c r="AB1293" s="146"/>
      <c r="AC1293" s="146"/>
      <c r="AD1293" s="146"/>
      <c r="AE1293" s="146"/>
      <c r="AF1293" s="146"/>
      <c r="AG1293" s="146"/>
      <c r="AH1293" s="146"/>
      <c r="AI1293" s="146"/>
      <c r="AJ1293" s="146"/>
      <c r="AK1293" s="146"/>
      <c r="AL1293" s="146">
        <v>784.43597674450632</v>
      </c>
      <c r="AM1293" s="146">
        <v>0.4721336996743517</v>
      </c>
      <c r="AN1293" s="146">
        <v>0.28561028692607943</v>
      </c>
      <c r="AO1293" s="146">
        <v>152.62101133704613</v>
      </c>
      <c r="AP1293" s="146">
        <v>118.94875410296633</v>
      </c>
      <c r="AQ1293" t="s">
        <v>325</v>
      </c>
      <c r="AR1293">
        <f t="shared" si="74"/>
        <v>4.8813386259591285</v>
      </c>
      <c r="AS1293">
        <f t="shared" si="75"/>
        <v>1.3321822791215501</v>
      </c>
      <c r="AT1293">
        <v>0.1</v>
      </c>
      <c r="AU1293">
        <v>1</v>
      </c>
      <c r="AV1293">
        <v>0.2</v>
      </c>
      <c r="AW1293" s="146">
        <v>3</v>
      </c>
      <c r="AX1293">
        <v>0.13984131179982873</v>
      </c>
      <c r="AY1293">
        <v>0.08</v>
      </c>
      <c r="AZ1293" s="209">
        <v>118.94875410296633</v>
      </c>
      <c r="BA1293">
        <v>0.13984131179982873</v>
      </c>
      <c r="BB1293" s="249">
        <v>78.710917488554244</v>
      </c>
      <c r="BC1293" s="243">
        <v>223.39618468817724</v>
      </c>
      <c r="BD1293" s="209">
        <v>130334.32274721858</v>
      </c>
      <c r="BE1293" s="243">
        <v>95.085505234348503</v>
      </c>
      <c r="BF1293">
        <v>267999.9709487767</v>
      </c>
      <c r="BG1293" t="s">
        <v>388</v>
      </c>
      <c r="BH1293">
        <v>4.6376757887017256E-6</v>
      </c>
      <c r="BI1293">
        <v>2503343.2274721861</v>
      </c>
      <c r="BJ1293">
        <f t="shared" si="76"/>
        <v>0.10705682225581045</v>
      </c>
    </row>
    <row r="1294" spans="1:62" x14ac:dyDescent="0.3">
      <c r="A1294">
        <v>-0.1</v>
      </c>
      <c r="B1294" s="146">
        <v>1000</v>
      </c>
      <c r="C1294" s="146">
        <v>25</v>
      </c>
      <c r="D1294" s="146">
        <v>300</v>
      </c>
      <c r="E1294" s="252">
        <v>16.446719672406758</v>
      </c>
      <c r="F1294" s="146">
        <v>6.7949486571778861</v>
      </c>
      <c r="G1294" s="146">
        <v>20.584956178282663</v>
      </c>
      <c r="H1294" s="146">
        <v>5.5279883372357963</v>
      </c>
      <c r="I1294" s="146"/>
      <c r="J1294" s="146">
        <v>0.19672351040120423</v>
      </c>
      <c r="K1294" s="146">
        <v>0.08</v>
      </c>
      <c r="L1294" s="146">
        <v>112.36623500129164</v>
      </c>
      <c r="M1294" s="146">
        <v>62.765880586552548</v>
      </c>
      <c r="N1294" s="146">
        <v>1.5276935347345733</v>
      </c>
      <c r="O1294" s="146"/>
      <c r="P1294" s="146"/>
      <c r="Q1294" s="146"/>
      <c r="R1294" s="146"/>
      <c r="S1294" s="146"/>
      <c r="T1294" s="146"/>
      <c r="U1294" s="146"/>
      <c r="V1294" s="146"/>
      <c r="W1294" s="146"/>
      <c r="X1294" s="146"/>
      <c r="Y1294" s="146"/>
      <c r="Z1294" s="146">
        <v>0.27635614287465698</v>
      </c>
      <c r="AA1294" s="146"/>
      <c r="AB1294" s="146"/>
      <c r="AC1294" s="146"/>
      <c r="AD1294" s="146"/>
      <c r="AE1294" s="146"/>
      <c r="AF1294" s="146"/>
      <c r="AG1294" s="146"/>
      <c r="AH1294" s="146"/>
      <c r="AI1294" s="146"/>
      <c r="AJ1294" s="146"/>
      <c r="AK1294" s="146"/>
      <c r="AL1294" s="146">
        <v>964.25887294279096</v>
      </c>
      <c r="AM1294" s="146">
        <v>0.33009293769333481</v>
      </c>
      <c r="AN1294" s="146">
        <v>0.28036132634258848</v>
      </c>
      <c r="AO1294" s="146">
        <v>241.33741665813909</v>
      </c>
      <c r="AP1294" s="146">
        <v>200.41210557550457</v>
      </c>
      <c r="AQ1294" t="s">
        <v>325</v>
      </c>
      <c r="AR1294">
        <f t="shared" si="74"/>
        <v>4.8813386259591285</v>
      </c>
      <c r="AS1294">
        <f t="shared" si="75"/>
        <v>1.3321822791215501</v>
      </c>
      <c r="AT1294">
        <v>0.1</v>
      </c>
      <c r="AU1294">
        <v>1</v>
      </c>
      <c r="AV1294">
        <v>0.2</v>
      </c>
      <c r="AW1294" s="146">
        <v>3</v>
      </c>
      <c r="AX1294">
        <v>0.13279948082335677</v>
      </c>
      <c r="AY1294">
        <v>0.08</v>
      </c>
      <c r="AZ1294" s="209">
        <v>200.41210557550457</v>
      </c>
      <c r="BA1294">
        <v>0.13279948082335677</v>
      </c>
      <c r="BB1294" s="249">
        <v>66.891643722756839</v>
      </c>
      <c r="BC1294" s="243">
        <v>211.90653707588316</v>
      </c>
      <c r="BD1294" s="209">
        <v>118274.80717408493</v>
      </c>
      <c r="BE1294" s="243">
        <v>84.398333838902147</v>
      </c>
      <c r="BF1294">
        <v>319172.59293801838</v>
      </c>
      <c r="BG1294" t="s">
        <v>388</v>
      </c>
      <c r="BH1294">
        <v>5.8319211720104534E-6</v>
      </c>
      <c r="BI1294">
        <v>2382748.0717408489</v>
      </c>
      <c r="BJ1294">
        <f t="shared" si="76"/>
        <v>0.13395146416164302</v>
      </c>
    </row>
    <row r="1295" spans="1:62" x14ac:dyDescent="0.3">
      <c r="A1295">
        <v>-0.1</v>
      </c>
      <c r="B1295" s="146">
        <v>1000</v>
      </c>
      <c r="C1295" s="146">
        <v>25</v>
      </c>
      <c r="D1295" s="146">
        <v>400</v>
      </c>
      <c r="E1295" s="252">
        <v>18.327628325560557</v>
      </c>
      <c r="F1295" s="146">
        <v>5.4194674722222542</v>
      </c>
      <c r="G1295" s="146">
        <v>21.740039657052705</v>
      </c>
      <c r="H1295" s="146">
        <v>5.4240976361668656</v>
      </c>
      <c r="I1295" s="146"/>
      <c r="J1295" s="146">
        <v>0.18717052024701261</v>
      </c>
      <c r="K1295" s="146">
        <v>0.08</v>
      </c>
      <c r="L1295" s="146">
        <v>110.08488871202918</v>
      </c>
      <c r="M1295" s="146">
        <v>61.491559089825579</v>
      </c>
      <c r="N1295" s="146">
        <v>1.6032695771397449</v>
      </c>
      <c r="O1295" s="146"/>
      <c r="P1295" s="146"/>
      <c r="Q1295" s="146"/>
      <c r="R1295" s="146"/>
      <c r="S1295" s="146"/>
      <c r="T1295" s="146"/>
      <c r="U1295" s="146"/>
      <c r="V1295" s="146"/>
      <c r="W1295" s="146"/>
      <c r="X1295" s="146"/>
      <c r="Y1295" s="146"/>
      <c r="Z1295" s="146">
        <v>0.2955827281665146</v>
      </c>
      <c r="AA1295" s="146"/>
      <c r="AB1295" s="146"/>
      <c r="AC1295" s="146"/>
      <c r="AD1295" s="146"/>
      <c r="AE1295" s="146"/>
      <c r="AF1295" s="146"/>
      <c r="AG1295" s="146"/>
      <c r="AH1295" s="146"/>
      <c r="AI1295" s="146"/>
      <c r="AJ1295" s="146"/>
      <c r="AK1295" s="146"/>
      <c r="AL1295" s="146">
        <v>1089.8312834787275</v>
      </c>
      <c r="AM1295" s="146">
        <v>0.24928507756719387</v>
      </c>
      <c r="AN1295" s="146">
        <v>0.27686169546389577</v>
      </c>
      <c r="AO1295" s="146">
        <v>333.80222462752863</v>
      </c>
      <c r="AP1295" s="146">
        <v>288.19649490885558</v>
      </c>
      <c r="AQ1295" t="s">
        <v>325</v>
      </c>
      <c r="AR1295">
        <f t="shared" si="74"/>
        <v>4.8813386259591285</v>
      </c>
      <c r="AS1295">
        <f t="shared" si="75"/>
        <v>1.3321822791215501</v>
      </c>
      <c r="AT1295">
        <v>0.1</v>
      </c>
      <c r="AU1295">
        <v>1</v>
      </c>
      <c r="AV1295">
        <v>0.2</v>
      </c>
      <c r="AW1295" s="146">
        <v>3</v>
      </c>
      <c r="AX1295">
        <v>0.13107254286146272</v>
      </c>
      <c r="AY1295">
        <v>0.08</v>
      </c>
      <c r="AZ1295" s="209">
        <v>288.19649490885558</v>
      </c>
      <c r="BA1295">
        <v>0.13107254286146272</v>
      </c>
      <c r="BB1295" s="249">
        <v>58.773284516753286</v>
      </c>
      <c r="BC1295" s="243">
        <v>204.99398886093255</v>
      </c>
      <c r="BD1295" s="209">
        <v>109800.29617552481</v>
      </c>
      <c r="BE1295" s="243">
        <v>76.077049291475959</v>
      </c>
      <c r="BF1295">
        <v>346965.40345326287</v>
      </c>
      <c r="BG1295" t="s">
        <v>388</v>
      </c>
      <c r="BH1295">
        <v>6.6680258623245622E-6</v>
      </c>
      <c r="BI1295">
        <v>2298002.9617552478</v>
      </c>
      <c r="BJ1295">
        <f t="shared" si="76"/>
        <v>0.15098562065744497</v>
      </c>
    </row>
    <row r="1296" spans="1:62" x14ac:dyDescent="0.3">
      <c r="A1296">
        <v>-0.1</v>
      </c>
      <c r="B1296" s="146">
        <v>1000</v>
      </c>
      <c r="C1296" s="146">
        <v>25</v>
      </c>
      <c r="D1296" s="146">
        <v>500</v>
      </c>
      <c r="E1296" s="252">
        <v>19.586618518437913</v>
      </c>
      <c r="F1296" s="146">
        <v>4.4662199595370202</v>
      </c>
      <c r="G1296" s="146">
        <v>22.49630565535853</v>
      </c>
      <c r="H1296" s="146">
        <v>5.3556739521779271</v>
      </c>
      <c r="I1296" s="146"/>
      <c r="J1296" s="146">
        <v>0.1808008103313736</v>
      </c>
      <c r="K1296" s="146">
        <v>0.08</v>
      </c>
      <c r="L1296" s="146">
        <v>108.60704426883127</v>
      </c>
      <c r="M1296" s="146">
        <v>60.666060150164604</v>
      </c>
      <c r="N1296" s="146">
        <v>1.6534116219974218</v>
      </c>
      <c r="O1296" s="146"/>
      <c r="P1296" s="146"/>
      <c r="Q1296" s="146"/>
      <c r="R1296" s="146"/>
      <c r="S1296" s="146"/>
      <c r="T1296" s="146"/>
      <c r="U1296" s="146"/>
      <c r="V1296" s="146"/>
      <c r="W1296" s="146"/>
      <c r="X1296" s="146"/>
      <c r="Y1296" s="146"/>
      <c r="Z1296" s="146">
        <v>0.30872148617729966</v>
      </c>
      <c r="AA1296" s="146"/>
      <c r="AB1296" s="146"/>
      <c r="AC1296" s="146"/>
      <c r="AD1296" s="146"/>
      <c r="AE1296" s="146"/>
      <c r="AF1296" s="146"/>
      <c r="AG1296" s="146"/>
      <c r="AH1296" s="146"/>
      <c r="AI1296" s="146"/>
      <c r="AJ1296" s="146"/>
      <c r="AK1296" s="146"/>
      <c r="AL1296" s="146">
        <v>1206.5663637912651</v>
      </c>
      <c r="AM1296" s="146">
        <v>0.19853126233076338</v>
      </c>
      <c r="AN1296" s="146">
        <v>0.27431891186529272</v>
      </c>
      <c r="AO1296" s="146">
        <v>428.59909517264293</v>
      </c>
      <c r="AP1296" s="146">
        <v>379.86055279255396</v>
      </c>
      <c r="AQ1296" t="s">
        <v>325</v>
      </c>
      <c r="AR1296">
        <f t="shared" si="74"/>
        <v>4.8813386259591285</v>
      </c>
      <c r="AS1296">
        <f t="shared" si="75"/>
        <v>1.3321822791215501</v>
      </c>
      <c r="AT1296">
        <v>0.1</v>
      </c>
      <c r="AU1296">
        <v>1</v>
      </c>
      <c r="AV1296">
        <v>0.2</v>
      </c>
      <c r="AW1296" s="146">
        <v>3</v>
      </c>
      <c r="AX1296">
        <v>0.13048142454192715</v>
      </c>
      <c r="AY1296">
        <v>0.08</v>
      </c>
      <c r="AZ1296" s="209">
        <v>379.86055279255396</v>
      </c>
      <c r="BA1296">
        <v>0.13048142454192715</v>
      </c>
      <c r="BB1296" s="249">
        <v>53.065802417062699</v>
      </c>
      <c r="BC1296" s="243">
        <v>200.63239162301284</v>
      </c>
      <c r="BD1296" s="209">
        <v>103937.24051326043</v>
      </c>
      <c r="BE1296" s="243">
        <v>69.998471237829207</v>
      </c>
      <c r="BF1296">
        <v>362737.90420077642</v>
      </c>
      <c r="BG1296" t="s">
        <v>388</v>
      </c>
      <c r="BH1296">
        <v>7.2621513008744417E-6</v>
      </c>
      <c r="BI1296">
        <v>2239372.4051326043</v>
      </c>
      <c r="BJ1296">
        <f t="shared" si="76"/>
        <v>0.16198194787494352</v>
      </c>
    </row>
    <row r="1297" spans="1:62" s="146" customFormat="1" x14ac:dyDescent="0.3">
      <c r="A1297">
        <v>-0.1</v>
      </c>
      <c r="B1297" s="146">
        <v>1000</v>
      </c>
      <c r="C1297" s="146">
        <v>25</v>
      </c>
      <c r="D1297" s="146">
        <v>600</v>
      </c>
      <c r="E1297" s="252">
        <v>20.49683801804111</v>
      </c>
      <c r="F1297" s="146">
        <v>3.7892191609908332</v>
      </c>
      <c r="G1297" s="146">
        <v>23.04988393891135</v>
      </c>
      <c r="H1297" s="146">
        <v>5.3090367870873356</v>
      </c>
      <c r="J1297" s="146">
        <v>0.17643274357031491</v>
      </c>
      <c r="K1297" s="146">
        <v>0.08</v>
      </c>
      <c r="L1297" s="146">
        <v>107.60715118946352</v>
      </c>
      <c r="M1297" s="146">
        <v>60.107536767956475</v>
      </c>
      <c r="N1297" s="146">
        <v>1.6807866424234481</v>
      </c>
      <c r="Z1297" s="146">
        <v>0.31658975249737681</v>
      </c>
      <c r="AL1297" s="146">
        <v>1314.0912350486756</v>
      </c>
      <c r="AM1297" s="146">
        <v>0.1643921145561221</v>
      </c>
      <c r="AN1297" s="146">
        <v>0.27220747782489546</v>
      </c>
      <c r="AO1297" s="146">
        <v>524.70141459072545</v>
      </c>
      <c r="AP1297" s="146">
        <v>473.69791383695264</v>
      </c>
      <c r="AQ1297" t="s">
        <v>325</v>
      </c>
      <c r="AR1297">
        <f t="shared" si="74"/>
        <v>4.8813386259591285</v>
      </c>
      <c r="AS1297">
        <f t="shared" si="75"/>
        <v>1.3321822791215501</v>
      </c>
      <c r="AT1297">
        <v>0.1</v>
      </c>
      <c r="AU1297">
        <v>1</v>
      </c>
      <c r="AV1297">
        <v>0.2</v>
      </c>
      <c r="AW1297" s="146">
        <v>3</v>
      </c>
      <c r="AX1297">
        <v>0.13046357274213666</v>
      </c>
      <c r="AY1297">
        <v>0.08</v>
      </c>
      <c r="AZ1297" s="209">
        <v>473.69791383695264</v>
      </c>
      <c r="BA1297" s="146">
        <v>0.13046357274213666</v>
      </c>
      <c r="BB1297" s="252">
        <v>49.011091644297878</v>
      </c>
      <c r="BC1297" s="244">
        <v>197.7309702386361</v>
      </c>
      <c r="BD1297" s="229">
        <v>99853.381374004079</v>
      </c>
      <c r="BE1297" s="244">
        <v>65.643565911293564</v>
      </c>
      <c r="BF1297" s="146">
        <v>373114.93327449681</v>
      </c>
      <c r="BG1297" t="s">
        <v>388</v>
      </c>
      <c r="BH1297" s="146">
        <v>7.7026024605573635E-6</v>
      </c>
      <c r="BI1297" s="146">
        <v>2198533.8137400406</v>
      </c>
      <c r="BJ1297">
        <f t="shared" si="76"/>
        <v>0.16971080041737976</v>
      </c>
    </row>
    <row r="1298" spans="1:62" s="140" customFormat="1" x14ac:dyDescent="0.3">
      <c r="A1298">
        <v>-0.1</v>
      </c>
      <c r="B1298" s="146">
        <v>1000</v>
      </c>
      <c r="C1298" s="146">
        <v>25</v>
      </c>
      <c r="D1298" s="146">
        <v>700</v>
      </c>
      <c r="E1298" s="252">
        <v>21.17512458294069</v>
      </c>
      <c r="F1298" s="146">
        <v>3.2848521581769061</v>
      </c>
      <c r="G1298" s="146">
        <v>23.46248428453486</v>
      </c>
      <c r="H1298" s="146">
        <v>5.2748712685551773</v>
      </c>
      <c r="I1298" s="146"/>
      <c r="J1298" s="146">
        <v>0.17314921097739358</v>
      </c>
      <c r="K1298" s="146">
        <v>0.08</v>
      </c>
      <c r="L1298" s="146">
        <v>106.87865196038523</v>
      </c>
      <c r="M1298" s="146">
        <v>59.700609405664771</v>
      </c>
      <c r="N1298" s="146">
        <v>1.6963325763118853</v>
      </c>
      <c r="O1298" s="146"/>
      <c r="P1298" s="146"/>
      <c r="Q1298" s="146"/>
      <c r="R1298" s="146"/>
      <c r="S1298" s="146"/>
      <c r="T1298" s="146"/>
      <c r="U1298" s="146"/>
      <c r="V1298" s="146"/>
      <c r="W1298" s="146"/>
      <c r="X1298" s="146"/>
      <c r="Y1298" s="146"/>
      <c r="Z1298" s="146">
        <v>0.32158748336175458</v>
      </c>
      <c r="AA1298" s="146"/>
      <c r="AB1298" s="146"/>
      <c r="AC1298" s="146"/>
      <c r="AD1298" s="146"/>
      <c r="AE1298" s="146"/>
      <c r="AF1298" s="146"/>
      <c r="AG1298" s="146"/>
      <c r="AH1298" s="146"/>
      <c r="AI1298" s="146"/>
      <c r="AJ1298" s="146"/>
      <c r="AK1298" s="146"/>
      <c r="AL1298" s="146">
        <v>1417.2179102625767</v>
      </c>
      <c r="AM1298" s="146">
        <v>0.14000444788116895</v>
      </c>
      <c r="AN1298" s="146">
        <v>0.27058462610849188</v>
      </c>
      <c r="AO1298" s="146">
        <v>621.74306098806051</v>
      </c>
      <c r="AP1298" s="146">
        <v>569.05162210663434</v>
      </c>
      <c r="AQ1298" t="s">
        <v>325</v>
      </c>
      <c r="AR1298">
        <f t="shared" si="74"/>
        <v>4.8813386259591285</v>
      </c>
      <c r="AS1298">
        <f t="shared" si="75"/>
        <v>1.3321822791215501</v>
      </c>
      <c r="AT1298">
        <v>0.1</v>
      </c>
      <c r="AU1298">
        <v>1</v>
      </c>
      <c r="AV1298">
        <v>0.2</v>
      </c>
      <c r="AW1298" s="146">
        <v>3</v>
      </c>
      <c r="AX1298">
        <v>0.13070063207032259</v>
      </c>
      <c r="AY1298">
        <v>0.08</v>
      </c>
      <c r="AZ1298" s="209">
        <v>569.05162210663434</v>
      </c>
      <c r="BA1298" s="140">
        <v>0.13070063207032259</v>
      </c>
      <c r="BB1298" s="253">
        <v>45.982499849998085</v>
      </c>
      <c r="BC1298" s="245">
        <v>195.6415198217081</v>
      </c>
      <c r="BD1298" s="210">
        <v>96810.16541250117</v>
      </c>
      <c r="BE1298" s="245">
        <v>62.331929180578534</v>
      </c>
      <c r="BF1298" s="140">
        <v>380054.03638732631</v>
      </c>
      <c r="BG1298" t="s">
        <v>388</v>
      </c>
      <c r="BH1298" s="140">
        <v>8.0403779764354773E-6</v>
      </c>
      <c r="BI1298" s="140">
        <v>2168101.6541250115</v>
      </c>
      <c r="BJ1298">
        <f t="shared" si="76"/>
        <v>0.17529345806468011</v>
      </c>
    </row>
    <row r="1299" spans="1:62" x14ac:dyDescent="0.3">
      <c r="A1299">
        <v>-0.1</v>
      </c>
      <c r="B1299" s="146">
        <v>1000</v>
      </c>
      <c r="C1299" s="146">
        <v>25</v>
      </c>
      <c r="D1299" s="146">
        <v>800</v>
      </c>
      <c r="E1299" s="252">
        <v>21.70161924875455</v>
      </c>
      <c r="F1299" s="146">
        <v>2.897025643830677</v>
      </c>
      <c r="G1299" s="146">
        <v>23.784807785264878</v>
      </c>
      <c r="H1299" s="146">
        <v>5.249307927077675</v>
      </c>
      <c r="I1299" s="146"/>
      <c r="J1299" s="146">
        <v>0.17055486261326414</v>
      </c>
      <c r="K1299" s="146">
        <v>0.08</v>
      </c>
      <c r="L1299" s="146">
        <v>106.33508308197385</v>
      </c>
      <c r="M1299" s="146">
        <v>59.396981013091661</v>
      </c>
      <c r="N1299" s="146">
        <v>1.7044932724680555</v>
      </c>
      <c r="O1299" s="146"/>
      <c r="P1299" s="146"/>
      <c r="Q1299" s="146"/>
      <c r="R1299" s="146"/>
      <c r="S1299" s="146"/>
      <c r="T1299" s="146"/>
      <c r="U1299" s="146"/>
      <c r="V1299" s="146"/>
      <c r="W1299" s="146"/>
      <c r="X1299" s="146"/>
      <c r="Y1299" s="146"/>
      <c r="Z1299" s="146">
        <v>0.32470818937401491</v>
      </c>
      <c r="AA1299" s="146"/>
      <c r="AB1299" s="146"/>
      <c r="AC1299" s="146"/>
      <c r="AD1299" s="146"/>
      <c r="AE1299" s="146"/>
      <c r="AF1299" s="146"/>
      <c r="AG1299" s="146"/>
      <c r="AH1299" s="146"/>
      <c r="AI1299" s="146"/>
      <c r="AJ1299" s="146"/>
      <c r="AK1299" s="146"/>
      <c r="AL1299" s="146">
        <v>1517.6417566829189</v>
      </c>
      <c r="AM1299" s="146">
        <v>0.12180151590821084</v>
      </c>
      <c r="AN1299" s="146">
        <v>0.26923927763350874</v>
      </c>
      <c r="AO1299" s="146">
        <v>719.39653292973469</v>
      </c>
      <c r="AP1299" s="146">
        <v>665.39512044889102</v>
      </c>
      <c r="AQ1299" t="s">
        <v>325</v>
      </c>
      <c r="AR1299">
        <f t="shared" si="74"/>
        <v>4.8813386259591285</v>
      </c>
      <c r="AS1299">
        <f t="shared" si="75"/>
        <v>1.3321822791215501</v>
      </c>
      <c r="AT1299">
        <v>0.1</v>
      </c>
      <c r="AU1299">
        <v>1</v>
      </c>
      <c r="AV1299">
        <v>0.2</v>
      </c>
      <c r="AW1299" s="146">
        <v>3</v>
      </c>
      <c r="AX1299">
        <v>0.1310598288516712</v>
      </c>
      <c r="AY1299">
        <v>0.08</v>
      </c>
      <c r="AZ1299" s="209">
        <v>665.39512044889102</v>
      </c>
      <c r="BA1299">
        <v>0.1310598288516712</v>
      </c>
      <c r="BB1299" s="249">
        <v>43.654530744023205</v>
      </c>
      <c r="BC1299" s="243">
        <v>194.09563129264475</v>
      </c>
      <c r="BD1299" s="209">
        <v>94496.526722759081</v>
      </c>
      <c r="BE1299" s="243">
        <v>59.774654545350522</v>
      </c>
      <c r="BF1299">
        <v>385083.91103918641</v>
      </c>
      <c r="BG1299" t="s">
        <v>388</v>
      </c>
      <c r="BH1299">
        <v>8.3065197975110587E-6</v>
      </c>
      <c r="BI1299">
        <v>2144965.267227591</v>
      </c>
      <c r="BJ1299">
        <f t="shared" si="76"/>
        <v>0.17952920586770843</v>
      </c>
    </row>
    <row r="1300" spans="1:62" x14ac:dyDescent="0.3">
      <c r="A1300">
        <v>-0.1</v>
      </c>
      <c r="B1300" s="146">
        <v>1000</v>
      </c>
      <c r="C1300" s="146">
        <v>25</v>
      </c>
      <c r="D1300" s="146">
        <v>900</v>
      </c>
      <c r="E1300" s="252">
        <v>22.122219745450455</v>
      </c>
      <c r="F1300" s="146">
        <v>2.5902670904471106</v>
      </c>
      <c r="G1300" s="146">
        <v>24.044020221390547</v>
      </c>
      <c r="H1300" s="146">
        <v>5.2296203624883217</v>
      </c>
      <c r="I1300" s="146"/>
      <c r="J1300" s="146">
        <v>0.16842806181318376</v>
      </c>
      <c r="K1300" s="146">
        <v>0.08</v>
      </c>
      <c r="L1300" s="146">
        <v>105.9171665948475</v>
      </c>
      <c r="M1300" s="146">
        <v>59.16353992355242</v>
      </c>
      <c r="N1300" s="146">
        <v>1.7080024885177334</v>
      </c>
      <c r="O1300" s="146"/>
      <c r="P1300" s="146"/>
      <c r="Q1300" s="146"/>
      <c r="R1300" s="146"/>
      <c r="S1300" s="146"/>
      <c r="T1300" s="146"/>
      <c r="U1300" s="146"/>
      <c r="V1300" s="146"/>
      <c r="W1300" s="146"/>
      <c r="X1300" s="146"/>
      <c r="Y1300" s="146"/>
      <c r="Z1300" s="146">
        <v>0.3266016211748578</v>
      </c>
      <c r="AA1300" s="146"/>
      <c r="AB1300" s="146"/>
      <c r="AC1300" s="146"/>
      <c r="AD1300" s="146"/>
      <c r="AE1300" s="146"/>
      <c r="AF1300" s="146"/>
      <c r="AG1300" s="146"/>
      <c r="AH1300" s="146"/>
      <c r="AI1300" s="146"/>
      <c r="AJ1300" s="146"/>
      <c r="AK1300" s="146"/>
      <c r="AL1300" s="146">
        <v>1616.4367457201834</v>
      </c>
      <c r="AM1300" s="146">
        <v>0.10773019930097641</v>
      </c>
      <c r="AN1300" s="146">
        <v>0.26809606821070209</v>
      </c>
      <c r="AO1300" s="146">
        <v>817.48398291293051</v>
      </c>
      <c r="AP1300" s="146">
        <v>762.43550146131599</v>
      </c>
      <c r="AQ1300" t="s">
        <v>325</v>
      </c>
      <c r="AR1300">
        <f t="shared" si="74"/>
        <v>4.8813386259591285</v>
      </c>
      <c r="AS1300">
        <f t="shared" si="75"/>
        <v>1.3321822791215501</v>
      </c>
      <c r="AT1300">
        <v>0.1</v>
      </c>
      <c r="AU1300">
        <v>1</v>
      </c>
      <c r="AV1300">
        <v>0.2</v>
      </c>
      <c r="AW1300" s="146">
        <v>3</v>
      </c>
      <c r="AX1300">
        <v>0.13147541486268757</v>
      </c>
      <c r="AY1300">
        <v>0.08</v>
      </c>
      <c r="AZ1300" s="209">
        <v>762.43550146131599</v>
      </c>
      <c r="BA1300">
        <v>0.13147541486268757</v>
      </c>
      <c r="BB1300" s="249">
        <v>41.815064901843805</v>
      </c>
      <c r="BC1300" s="243">
        <v>192.9146187654564</v>
      </c>
      <c r="BD1300" s="209">
        <v>92689.158025033175</v>
      </c>
      <c r="BE1300" s="243">
        <v>57.752153521157503</v>
      </c>
      <c r="BF1300">
        <v>388908.93655917776</v>
      </c>
      <c r="BG1300" t="s">
        <v>388</v>
      </c>
      <c r="BH1300">
        <v>8.5211719537343615E-6</v>
      </c>
      <c r="BI1300">
        <v>2126891.5802503317</v>
      </c>
      <c r="BJ1300">
        <f t="shared" si="76"/>
        <v>0.18285320237781177</v>
      </c>
    </row>
    <row r="1301" spans="1:62" x14ac:dyDescent="0.3">
      <c r="A1301">
        <v>-0.1</v>
      </c>
      <c r="B1301" s="146">
        <v>1000</v>
      </c>
      <c r="C1301" s="146">
        <v>25</v>
      </c>
      <c r="D1301" s="146">
        <v>1000</v>
      </c>
      <c r="E1301" s="252">
        <v>22.464249261598827</v>
      </c>
      <c r="F1301" s="146">
        <v>2.3416240880271708</v>
      </c>
      <c r="G1301" s="146">
        <v>24.255267885006344</v>
      </c>
      <c r="H1301" s="146">
        <v>5.2139232855204583</v>
      </c>
      <c r="I1301" s="146"/>
      <c r="J1301" s="146">
        <v>0.16664406076786895</v>
      </c>
      <c r="K1301" s="146">
        <v>0.08</v>
      </c>
      <c r="L1301" s="146">
        <v>105.58448744106398</v>
      </c>
      <c r="M1301" s="146">
        <v>58.977710968441741</v>
      </c>
      <c r="N1301" s="146">
        <v>1.7084616619657691</v>
      </c>
      <c r="O1301" s="146"/>
      <c r="P1301" s="146"/>
      <c r="Q1301" s="146"/>
      <c r="R1301" s="146"/>
      <c r="S1301" s="146"/>
      <c r="T1301" s="146"/>
      <c r="U1301" s="146"/>
      <c r="V1301" s="146"/>
      <c r="W1301" s="146"/>
      <c r="X1301" s="146"/>
      <c r="Y1301" s="146"/>
      <c r="Z1301" s="146">
        <v>0.32767295727390605</v>
      </c>
      <c r="AA1301" s="146"/>
      <c r="AB1301" s="146"/>
      <c r="AC1301" s="146"/>
      <c r="AD1301" s="146"/>
      <c r="AE1301" s="146"/>
      <c r="AF1301" s="146"/>
      <c r="AG1301" s="146"/>
      <c r="AH1301" s="146"/>
      <c r="AI1301" s="146"/>
      <c r="AJ1301" s="146"/>
      <c r="AK1301" s="146"/>
      <c r="AL1301" s="146">
        <v>1714.2407888994476</v>
      </c>
      <c r="AM1301" s="146">
        <v>9.6540846266005217E-2</v>
      </c>
      <c r="AN1301" s="146">
        <v>0.26714257994929891</v>
      </c>
      <c r="AO1301" s="146">
        <v>915.90914010839333</v>
      </c>
      <c r="AP1301" s="146">
        <v>860.00995791656351</v>
      </c>
      <c r="AQ1301" t="s">
        <v>325</v>
      </c>
      <c r="AR1301">
        <f t="shared" si="74"/>
        <v>4.8813386259591285</v>
      </c>
      <c r="AS1301">
        <f t="shared" si="75"/>
        <v>1.3321822791215501</v>
      </c>
      <c r="AT1301">
        <v>0.1</v>
      </c>
      <c r="AU1301">
        <v>1</v>
      </c>
      <c r="AV1301">
        <v>0.2</v>
      </c>
      <c r="AW1301" s="146">
        <v>3</v>
      </c>
      <c r="AX1301">
        <v>0.13191846742900626</v>
      </c>
      <c r="AY1301">
        <v>0.08</v>
      </c>
      <c r="AZ1301" s="209">
        <v>860.00995791656351</v>
      </c>
      <c r="BA1301">
        <v>0.13191846742900626</v>
      </c>
      <c r="BB1301" s="249">
        <v>40.323805311483568</v>
      </c>
      <c r="BC1301" s="243">
        <v>191.97910466628915</v>
      </c>
      <c r="BD1301" s="209">
        <v>91230.584301949406</v>
      </c>
      <c r="BE1301" s="243">
        <v>56.103527091284732</v>
      </c>
      <c r="BF1301">
        <v>391847.89370946295</v>
      </c>
      <c r="BG1301" t="s">
        <v>388</v>
      </c>
      <c r="BH1301">
        <v>8.697771164922994E-6</v>
      </c>
      <c r="BI1301">
        <v>2112305.8430194939</v>
      </c>
      <c r="BJ1301">
        <f t="shared" si="76"/>
        <v>0.18550717691019836</v>
      </c>
    </row>
    <row r="1302" spans="1:62" s="140" customFormat="1" x14ac:dyDescent="0.3">
      <c r="A1302" s="140">
        <v>-0.1</v>
      </c>
      <c r="B1302" s="140">
        <v>1000</v>
      </c>
      <c r="C1302" s="140">
        <v>25</v>
      </c>
      <c r="D1302" s="140">
        <v>1100</v>
      </c>
      <c r="E1302" s="253">
        <v>22.749048095402308</v>
      </c>
      <c r="F1302" s="140">
        <v>2.1363748657921904</v>
      </c>
      <c r="G1302" s="140">
        <v>24.432171996708913</v>
      </c>
      <c r="H1302" s="140">
        <v>5.2012576207163717</v>
      </c>
      <c r="J1302" s="140">
        <v>0.16511569049072622</v>
      </c>
      <c r="K1302" s="140">
        <v>0.08</v>
      </c>
      <c r="L1302" s="140">
        <v>105.31625140111608</v>
      </c>
      <c r="M1302" s="140">
        <v>58.827878848034878</v>
      </c>
      <c r="N1302" s="140">
        <v>1.706875650871531</v>
      </c>
      <c r="Z1302" s="140">
        <v>0.32816595049495784</v>
      </c>
      <c r="AL1302" s="140">
        <v>1811.4065866275457</v>
      </c>
      <c r="AM1302" s="140">
        <v>8.7441053790877313E-2</v>
      </c>
      <c r="AN1302" s="140">
        <v>0.26630940016913968</v>
      </c>
      <c r="AO1302" s="140">
        <v>1014.5766237280628</v>
      </c>
      <c r="AP1302" s="140">
        <v>957.96876119178023</v>
      </c>
      <c r="AQ1302" t="s">
        <v>325</v>
      </c>
      <c r="AR1302">
        <f t="shared" si="74"/>
        <v>4.8813386259591285</v>
      </c>
      <c r="AS1302">
        <f t="shared" si="75"/>
        <v>1.3321822791215501</v>
      </c>
      <c r="AT1302">
        <v>0.1</v>
      </c>
      <c r="AU1302" s="140">
        <v>1</v>
      </c>
      <c r="AV1302">
        <v>0.2</v>
      </c>
      <c r="AW1302" s="140">
        <v>3</v>
      </c>
      <c r="AX1302">
        <v>0.13236666066186589</v>
      </c>
      <c r="AY1302">
        <v>0.08</v>
      </c>
      <c r="AZ1302" s="209">
        <v>957.96876119178023</v>
      </c>
      <c r="BA1302" s="140">
        <v>0.13236666066186589</v>
      </c>
      <c r="BB1302" s="253">
        <v>39.094433526817355</v>
      </c>
      <c r="BC1302" s="245">
        <v>191.22776431601366</v>
      </c>
      <c r="BD1302" s="210">
        <v>90040.270976740561</v>
      </c>
      <c r="BE1302" s="245">
        <v>54.746823048190151</v>
      </c>
      <c r="BF1302" s="140">
        <v>394227.86086094193</v>
      </c>
      <c r="BG1302" t="s">
        <v>388</v>
      </c>
      <c r="BH1302" s="140">
        <v>8.8454576157877783E-6</v>
      </c>
      <c r="BI1302" s="140">
        <v>2100402.7097674059</v>
      </c>
      <c r="BJ1302">
        <f t="shared" si="76"/>
        <v>0.18769155982692382</v>
      </c>
    </row>
    <row r="1303" spans="1:62" x14ac:dyDescent="0.3">
      <c r="A1303">
        <v>-0.1</v>
      </c>
      <c r="B1303" s="146">
        <v>1000</v>
      </c>
      <c r="C1303" s="146">
        <v>25</v>
      </c>
      <c r="D1303" s="146">
        <v>400</v>
      </c>
      <c r="E1303" s="252">
        <v>18.326785668811173</v>
      </c>
      <c r="F1303" s="146">
        <v>5.4190098743637147</v>
      </c>
      <c r="G1303" s="146">
        <v>21.738920817240583</v>
      </c>
      <c r="H1303" s="146">
        <v>5.4239618200846129</v>
      </c>
      <c r="I1303" s="146"/>
      <c r="J1303" s="146">
        <v>0.18716401986248021</v>
      </c>
      <c r="K1303" s="146">
        <v>0.08</v>
      </c>
      <c r="L1303" s="146">
        <v>110.08214859462625</v>
      </c>
      <c r="M1303" s="146">
        <v>61.490028506535097</v>
      </c>
      <c r="N1303" s="146">
        <v>1.6033991295985333</v>
      </c>
      <c r="O1303" s="146"/>
      <c r="P1303" s="146"/>
      <c r="Q1303" s="146"/>
      <c r="R1303" s="146"/>
      <c r="S1303" s="146"/>
      <c r="T1303" s="146"/>
      <c r="U1303" s="146"/>
      <c r="V1303" s="146"/>
      <c r="W1303" s="146"/>
      <c r="X1303" s="146"/>
      <c r="Y1303" s="146"/>
      <c r="Z1303" s="146">
        <v>0.29561401477076038</v>
      </c>
      <c r="AA1303" s="146"/>
      <c r="AB1303" s="146"/>
      <c r="AC1303" s="146"/>
      <c r="AD1303" s="146"/>
      <c r="AE1303" s="146"/>
      <c r="AF1303" s="146"/>
      <c r="AG1303" s="146"/>
      <c r="AH1303" s="146"/>
      <c r="AI1303" s="146"/>
      <c r="AJ1303" s="146"/>
      <c r="AK1303" s="146"/>
      <c r="AL1303" s="146">
        <v>1089.9052729414839</v>
      </c>
      <c r="AM1303" s="146">
        <v>0.2492768578496333</v>
      </c>
      <c r="AN1303" s="146">
        <v>0.27687855069558259</v>
      </c>
      <c r="AO1303" s="146">
        <v>333.80929789335403</v>
      </c>
      <c r="AP1303" s="146">
        <v>288.20570814221657</v>
      </c>
      <c r="AQ1303" t="s">
        <v>325</v>
      </c>
      <c r="AR1303">
        <f t="shared" si="74"/>
        <v>4.8813386259591285</v>
      </c>
      <c r="AS1303">
        <f t="shared" si="75"/>
        <v>1.3321822791215501</v>
      </c>
      <c r="AT1303">
        <v>0.1</v>
      </c>
      <c r="AU1303">
        <v>1</v>
      </c>
      <c r="AV1303">
        <v>0.2</v>
      </c>
      <c r="AW1303" s="146">
        <v>3</v>
      </c>
      <c r="AX1303">
        <v>0.13107081674446938</v>
      </c>
      <c r="AY1303">
        <v>0.08</v>
      </c>
      <c r="AZ1303" s="209">
        <v>288.20570814221657</v>
      </c>
      <c r="BA1303">
        <v>0.13107081674446938</v>
      </c>
      <c r="BB1303" s="249">
        <v>58.769128940497986</v>
      </c>
      <c r="BC1303" s="243">
        <v>204.98581909140393</v>
      </c>
      <c r="BD1303" s="209">
        <v>109789.68304747868</v>
      </c>
      <c r="BE1303" s="243">
        <v>76.066265407617379</v>
      </c>
      <c r="BF1303">
        <v>346924.41190337448</v>
      </c>
      <c r="BG1303" t="s">
        <v>389</v>
      </c>
      <c r="BH1303">
        <v>6.6680965347924578E-6</v>
      </c>
      <c r="BI1303">
        <v>2297896.8304747869</v>
      </c>
      <c r="BJ1303">
        <f t="shared" si="76"/>
        <v>0.15097475539478142</v>
      </c>
    </row>
    <row r="1304" spans="1:62" x14ac:dyDescent="0.3">
      <c r="A1304">
        <v>-0.1</v>
      </c>
      <c r="B1304" s="146">
        <v>1000</v>
      </c>
      <c r="C1304" s="146">
        <v>25</v>
      </c>
      <c r="D1304" s="146">
        <v>400</v>
      </c>
      <c r="E1304" s="252">
        <v>17.689477841689008</v>
      </c>
      <c r="F1304" s="146">
        <v>5.1685501821344317</v>
      </c>
      <c r="G1304" s="146">
        <v>20.938275369165407</v>
      </c>
      <c r="H1304" s="146">
        <v>5.2281394973796527</v>
      </c>
      <c r="I1304" s="146"/>
      <c r="J1304" s="146">
        <v>0.18904395420647746</v>
      </c>
      <c r="K1304" s="146">
        <v>0.08</v>
      </c>
      <c r="L1304" s="146">
        <v>106.1433067847916</v>
      </c>
      <c r="M1304" s="146">
        <v>59.289858013303217</v>
      </c>
      <c r="N1304" s="146">
        <v>1.5435399510712724</v>
      </c>
      <c r="O1304" s="146"/>
      <c r="P1304" s="146"/>
      <c r="Q1304" s="146"/>
      <c r="R1304" s="146"/>
      <c r="S1304" s="146"/>
      <c r="T1304" s="146"/>
      <c r="U1304" s="146"/>
      <c r="V1304" s="146"/>
      <c r="W1304" s="146"/>
      <c r="X1304" s="146"/>
      <c r="Y1304" s="146"/>
      <c r="Z1304" s="146">
        <v>0.29523694841059533</v>
      </c>
      <c r="AA1304" s="146"/>
      <c r="AB1304" s="146"/>
      <c r="AC1304" s="146"/>
      <c r="AD1304" s="146"/>
      <c r="AE1304" s="146"/>
      <c r="AF1304" s="146"/>
      <c r="AG1304" s="146"/>
      <c r="AH1304" s="146"/>
      <c r="AI1304" s="146"/>
      <c r="AJ1304" s="146"/>
      <c r="AK1304" s="146"/>
      <c r="AL1304" s="146">
        <v>1064.198043606094</v>
      </c>
      <c r="AM1304" s="146">
        <v>0.24684698672679881</v>
      </c>
      <c r="AN1304" s="146">
        <v>0.27833704631843126</v>
      </c>
      <c r="AO1304" s="146">
        <v>336.44583760707377</v>
      </c>
      <c r="AP1304" s="146">
        <v>292.4280680704577</v>
      </c>
      <c r="AQ1304" t="s">
        <v>325</v>
      </c>
      <c r="AR1304">
        <f t="shared" si="74"/>
        <v>4.8813386259591285</v>
      </c>
      <c r="AS1304">
        <f t="shared" si="75"/>
        <v>1.3321822791215501</v>
      </c>
      <c r="AT1304">
        <v>0.1</v>
      </c>
      <c r="AU1304">
        <v>1</v>
      </c>
      <c r="AV1304">
        <v>0.2</v>
      </c>
      <c r="AW1304" s="146">
        <v>2.5</v>
      </c>
      <c r="AX1304">
        <v>0.13202852806287527</v>
      </c>
      <c r="AY1304">
        <v>0.08</v>
      </c>
      <c r="AZ1304" s="209">
        <v>292.4280680704577</v>
      </c>
      <c r="BA1304">
        <v>0.13202852806287527</v>
      </c>
      <c r="BB1304" s="249">
        <v>56.264630137729178</v>
      </c>
      <c r="BC1304" s="243">
        <v>193.55287363417273</v>
      </c>
      <c r="BD1304" s="209">
        <v>102647.36048185434</v>
      </c>
      <c r="BE1304" s="243">
        <v>72.256100929500434</v>
      </c>
      <c r="BF1304">
        <v>394794.46188852296</v>
      </c>
      <c r="BG1304" t="s">
        <v>389</v>
      </c>
      <c r="BH1304">
        <v>6.4781572813847152E-6</v>
      </c>
      <c r="BI1304">
        <v>2226473.6048185434</v>
      </c>
      <c r="BJ1304">
        <f t="shared" si="76"/>
        <v>0.17731827632454619</v>
      </c>
    </row>
    <row r="1305" spans="1:62" x14ac:dyDescent="0.3">
      <c r="A1305">
        <v>-0.1</v>
      </c>
      <c r="B1305" s="146">
        <v>1000</v>
      </c>
      <c r="C1305" s="146">
        <v>25</v>
      </c>
      <c r="D1305" s="146">
        <v>400</v>
      </c>
      <c r="E1305" s="252">
        <v>15.387063423256196</v>
      </c>
      <c r="F1305" s="146">
        <v>4.323137184436284</v>
      </c>
      <c r="G1305" s="146">
        <v>18.090402395863933</v>
      </c>
      <c r="H1305" s="146">
        <v>4.5294171590074246</v>
      </c>
      <c r="I1305" s="146"/>
      <c r="J1305" s="146">
        <v>0.19608267128138712</v>
      </c>
      <c r="K1305" s="146">
        <v>0.08</v>
      </c>
      <c r="L1305" s="146">
        <v>92.06070496383289</v>
      </c>
      <c r="M1305" s="146">
        <v>51.423554543830363</v>
      </c>
      <c r="N1305" s="146">
        <v>1.334588696202041</v>
      </c>
      <c r="O1305" s="146"/>
      <c r="P1305" s="146"/>
      <c r="Q1305" s="146"/>
      <c r="R1305" s="146"/>
      <c r="S1305" s="146"/>
      <c r="T1305" s="146"/>
      <c r="U1305" s="146"/>
      <c r="V1305" s="146"/>
      <c r="W1305" s="146"/>
      <c r="X1305" s="146"/>
      <c r="Y1305" s="146"/>
      <c r="Z1305" s="146">
        <v>0.29464910149598639</v>
      </c>
      <c r="AA1305" s="146"/>
      <c r="AB1305" s="146"/>
      <c r="AC1305" s="146"/>
      <c r="AD1305" s="146"/>
      <c r="AE1305" s="146"/>
      <c r="AF1305" s="146"/>
      <c r="AG1305" s="146"/>
      <c r="AH1305" s="146"/>
      <c r="AI1305" s="146"/>
      <c r="AJ1305" s="146"/>
      <c r="AK1305" s="146"/>
      <c r="AL1305" s="146">
        <v>974.63646837057411</v>
      </c>
      <c r="AM1305" s="146">
        <v>0.23897407530441098</v>
      </c>
      <c r="AN1305" s="146">
        <v>0.28300973579024097</v>
      </c>
      <c r="AO1305" s="146">
        <v>345.63062157458546</v>
      </c>
      <c r="AP1305" s="146">
        <v>307.34212026955396</v>
      </c>
      <c r="AQ1305" t="s">
        <v>325</v>
      </c>
      <c r="AR1305">
        <f t="shared" si="74"/>
        <v>4.8813386259591285</v>
      </c>
      <c r="AS1305">
        <f t="shared" si="75"/>
        <v>1.3321822791215501</v>
      </c>
      <c r="AT1305">
        <v>0.1</v>
      </c>
      <c r="AU1305">
        <v>1</v>
      </c>
      <c r="AV1305">
        <v>0.2</v>
      </c>
      <c r="AW1305" s="146">
        <v>1.5</v>
      </c>
      <c r="AX1305">
        <v>0.13562822357691703</v>
      </c>
      <c r="AY1305">
        <v>0.08</v>
      </c>
      <c r="AZ1305" s="209">
        <v>307.34212026955396</v>
      </c>
      <c r="BA1305">
        <v>0.13562822357691703</v>
      </c>
      <c r="BB1305" s="249">
        <v>47.66638071447543</v>
      </c>
      <c r="BC1305" s="243">
        <v>157.01720521110065</v>
      </c>
      <c r="BD1305" s="209">
        <v>80088.98573568069</v>
      </c>
      <c r="BE1305" s="243">
        <v>59.690946944737419</v>
      </c>
      <c r="BF1305">
        <v>515766.70275883324</v>
      </c>
      <c r="BG1305" t="s">
        <v>389</v>
      </c>
      <c r="BH1305">
        <v>5.8184502467854024E-6</v>
      </c>
      <c r="BI1305">
        <v>2000889.8573568068</v>
      </c>
      <c r="BJ1305">
        <f t="shared" si="76"/>
        <v>0.25776866270898369</v>
      </c>
    </row>
    <row r="1306" spans="1:62" x14ac:dyDescent="0.3">
      <c r="A1306">
        <v>-0.1</v>
      </c>
      <c r="B1306" s="146">
        <v>1000</v>
      </c>
      <c r="C1306" s="146">
        <v>25</v>
      </c>
      <c r="D1306" s="146">
        <v>400</v>
      </c>
      <c r="E1306" s="252">
        <v>13.282127934808502</v>
      </c>
      <c r="F1306" s="146">
        <v>3.6189898733696944</v>
      </c>
      <c r="G1306" s="146">
        <v>15.536641318553425</v>
      </c>
      <c r="H1306" s="146">
        <v>3.8988108601714391</v>
      </c>
      <c r="I1306" s="146"/>
      <c r="J1306" s="146">
        <v>0.20312917418747559</v>
      </c>
      <c r="K1306" s="146">
        <v>0.08</v>
      </c>
      <c r="L1306" s="146">
        <v>79.316768962039632</v>
      </c>
      <c r="M1306" s="146">
        <v>44.305007185880449</v>
      </c>
      <c r="N1306" s="146">
        <v>1.1490849564214827</v>
      </c>
      <c r="O1306" s="146"/>
      <c r="P1306" s="146"/>
      <c r="Q1306" s="146"/>
      <c r="R1306" s="146"/>
      <c r="S1306" s="146"/>
      <c r="T1306" s="146"/>
      <c r="U1306" s="146"/>
      <c r="V1306" s="146"/>
      <c r="W1306" s="146"/>
      <c r="X1306" s="146"/>
      <c r="Y1306" s="146"/>
      <c r="Z1306" s="146">
        <v>0.29472703283968871</v>
      </c>
      <c r="AA1306" s="146"/>
      <c r="AB1306" s="146"/>
      <c r="AC1306" s="146"/>
      <c r="AD1306" s="146"/>
      <c r="AE1306" s="146"/>
      <c r="AF1306" s="146"/>
      <c r="AG1306" s="146"/>
      <c r="AH1306" s="146"/>
      <c r="AI1306" s="146"/>
      <c r="AJ1306" s="146"/>
      <c r="AK1306" s="146"/>
      <c r="AL1306" s="146">
        <v>895.13209418385736</v>
      </c>
      <c r="AM1306" s="146">
        <v>0.23293257526953379</v>
      </c>
      <c r="AN1306" s="146">
        <v>0.28650187259288473</v>
      </c>
      <c r="AO1306" s="146">
        <v>353.64034512373945</v>
      </c>
      <c r="AP1306" s="146">
        <v>320.58961597311605</v>
      </c>
      <c r="AQ1306" t="s">
        <v>325</v>
      </c>
      <c r="AR1306">
        <f t="shared" si="74"/>
        <v>4.8813386259591285</v>
      </c>
      <c r="AS1306">
        <f t="shared" si="75"/>
        <v>1.3321822791215501</v>
      </c>
      <c r="AT1306">
        <v>0.1</v>
      </c>
      <c r="AU1306">
        <v>1</v>
      </c>
      <c r="AV1306">
        <v>0.2</v>
      </c>
      <c r="AW1306" s="146">
        <v>1</v>
      </c>
      <c r="AX1306">
        <v>0.13928814213857424</v>
      </c>
      <c r="AY1306">
        <v>0.08</v>
      </c>
      <c r="AZ1306" s="209">
        <v>320.58961597311605</v>
      </c>
      <c r="BA1306">
        <v>0.13928814213857424</v>
      </c>
      <c r="BB1306" s="249">
        <v>40.322140229251417</v>
      </c>
      <c r="BC1306" s="243">
        <v>128.48253423793</v>
      </c>
      <c r="BD1306" s="209">
        <v>62981.037499401587</v>
      </c>
      <c r="BE1306" s="243">
        <v>49.524844586100173</v>
      </c>
      <c r="BF1306">
        <v>583438.33946100622</v>
      </c>
      <c r="BG1306" t="s">
        <v>389</v>
      </c>
      <c r="BH1306">
        <v>5.1910136289722141E-6</v>
      </c>
      <c r="BI1306">
        <v>1829810.3749940158</v>
      </c>
      <c r="BJ1306">
        <f t="shared" si="76"/>
        <v>0.31885180422748138</v>
      </c>
    </row>
    <row r="1307" spans="1:62" x14ac:dyDescent="0.3">
      <c r="A1307">
        <v>-0.1</v>
      </c>
      <c r="B1307" s="146">
        <v>1000</v>
      </c>
      <c r="C1307" s="146">
        <v>25</v>
      </c>
      <c r="D1307" s="146">
        <v>400</v>
      </c>
      <c r="E1307" s="252">
        <v>12.128164712167893</v>
      </c>
      <c r="F1307" s="146">
        <v>3.2561376440262411</v>
      </c>
      <c r="G1307" s="146">
        <v>14.152914919495775</v>
      </c>
      <c r="H1307" s="146">
        <v>3.5553421789744131</v>
      </c>
      <c r="I1307" s="146"/>
      <c r="J1307" s="146">
        <v>0.20737510589682798</v>
      </c>
      <c r="K1307" s="146">
        <v>0.08</v>
      </c>
      <c r="L1307" s="146">
        <v>72.363379214025173</v>
      </c>
      <c r="M1307" s="146">
        <v>40.420961141349217</v>
      </c>
      <c r="N1307" s="146">
        <v>1.0482963988543466</v>
      </c>
      <c r="O1307" s="146"/>
      <c r="P1307" s="146"/>
      <c r="Q1307" s="146"/>
      <c r="R1307" s="146"/>
      <c r="S1307" s="146"/>
      <c r="T1307" s="146"/>
      <c r="U1307" s="146"/>
      <c r="V1307" s="146"/>
      <c r="W1307" s="146"/>
      <c r="X1307" s="146"/>
      <c r="Y1307" s="146"/>
      <c r="Z1307" s="146">
        <v>0.29485105682759966</v>
      </c>
      <c r="AA1307" s="146"/>
      <c r="AB1307" s="146"/>
      <c r="AC1307" s="146"/>
      <c r="AD1307" s="146"/>
      <c r="AE1307" s="146"/>
      <c r="AF1307" s="146"/>
      <c r="AG1307" s="146"/>
      <c r="AH1307" s="146"/>
      <c r="AI1307" s="146"/>
      <c r="AJ1307" s="146"/>
      <c r="AK1307" s="146"/>
      <c r="AL1307" s="146">
        <v>851.87487549316677</v>
      </c>
      <c r="AM1307" s="146">
        <v>0.23006834016509775</v>
      </c>
      <c r="AN1307" s="146">
        <v>0.28812010884601441</v>
      </c>
      <c r="AO1307" s="146">
        <v>357.90587210054895</v>
      </c>
      <c r="AP1307" s="146">
        <v>327.72667606599367</v>
      </c>
      <c r="AQ1307" t="s">
        <v>325</v>
      </c>
      <c r="AR1307">
        <f t="shared" si="74"/>
        <v>4.8813386259591285</v>
      </c>
      <c r="AS1307">
        <f t="shared" si="75"/>
        <v>1.3321822791215501</v>
      </c>
      <c r="AT1307">
        <v>0.1</v>
      </c>
      <c r="AU1307">
        <v>1</v>
      </c>
      <c r="AV1307">
        <v>0.2</v>
      </c>
      <c r="AW1307" s="146">
        <v>0.8</v>
      </c>
      <c r="AX1307">
        <v>0.14154866144996978</v>
      </c>
      <c r="AY1307">
        <v>0.08</v>
      </c>
      <c r="AZ1307" s="209">
        <v>327.72667606599367</v>
      </c>
      <c r="BA1307">
        <v>0.14154866144996978</v>
      </c>
      <c r="BB1307" s="249">
        <v>36.468677881721334</v>
      </c>
      <c r="BC1307" s="243">
        <v>114.29976581371432</v>
      </c>
      <c r="BD1307" s="209">
        <v>54731.830335171369</v>
      </c>
      <c r="BE1307" s="243">
        <v>44.372788312190423</v>
      </c>
      <c r="BF1307">
        <v>609556.60696010233</v>
      </c>
      <c r="BG1307" t="s">
        <v>389</v>
      </c>
      <c r="BH1307">
        <v>4.8251733388286807E-6</v>
      </c>
      <c r="BI1307">
        <v>1747318.3033517138</v>
      </c>
      <c r="BJ1307">
        <f t="shared" si="76"/>
        <v>0.34885264224088314</v>
      </c>
    </row>
    <row r="1308" spans="1:62" x14ac:dyDescent="0.3">
      <c r="A1308">
        <v>-0.1</v>
      </c>
      <c r="B1308" s="146">
        <v>1000</v>
      </c>
      <c r="C1308" s="146">
        <v>25</v>
      </c>
      <c r="D1308" s="146">
        <v>400</v>
      </c>
      <c r="E1308" s="252">
        <v>10.695120166264722</v>
      </c>
      <c r="F1308" s="146">
        <v>2.8245530460546622</v>
      </c>
      <c r="G1308" s="146">
        <v>12.447822599857952</v>
      </c>
      <c r="H1308" s="146">
        <v>3.1316206326898142</v>
      </c>
      <c r="I1308" s="146"/>
      <c r="J1308" s="146">
        <v>0.21306950591051316</v>
      </c>
      <c r="K1308" s="146">
        <v>0.08</v>
      </c>
      <c r="L1308" s="146">
        <v>63.774402282589413</v>
      </c>
      <c r="M1308" s="146">
        <v>35.623303727331965</v>
      </c>
      <c r="N1308" s="146">
        <v>0.92472560629688694</v>
      </c>
      <c r="O1308" s="146"/>
      <c r="P1308" s="146"/>
      <c r="Q1308" s="146"/>
      <c r="R1308" s="146"/>
      <c r="S1308" s="146"/>
      <c r="T1308" s="146"/>
      <c r="U1308" s="146"/>
      <c r="V1308" s="146"/>
      <c r="W1308" s="146"/>
      <c r="X1308" s="146"/>
      <c r="Y1308" s="146"/>
      <c r="Z1308" s="146">
        <v>0.29528659909952787</v>
      </c>
      <c r="AA1308" s="146"/>
      <c r="AB1308" s="146"/>
      <c r="AC1308" s="146"/>
      <c r="AD1308" s="146"/>
      <c r="AE1308" s="146"/>
      <c r="AF1308" s="146"/>
      <c r="AG1308" s="146"/>
      <c r="AH1308" s="146"/>
      <c r="AI1308" s="146"/>
      <c r="AJ1308" s="146"/>
      <c r="AK1308" s="146"/>
      <c r="AL1308" s="146">
        <v>798.87186137606852</v>
      </c>
      <c r="AM1308" s="146">
        <v>0.22691141550224972</v>
      </c>
      <c r="AN1308" s="146">
        <v>0.29001790355034174</v>
      </c>
      <c r="AO1308" s="146">
        <v>363.12255196890544</v>
      </c>
      <c r="AP1308" s="146">
        <v>336.50905822762491</v>
      </c>
      <c r="AQ1308" t="s">
        <v>325</v>
      </c>
      <c r="AR1308">
        <f t="shared" si="74"/>
        <v>4.8813386259591285</v>
      </c>
      <c r="AS1308">
        <f t="shared" si="75"/>
        <v>1.3321822791215501</v>
      </c>
      <c r="AT1308">
        <v>0.1</v>
      </c>
      <c r="AU1308">
        <v>1</v>
      </c>
      <c r="AV1308">
        <v>0.2</v>
      </c>
      <c r="AW1308" s="146">
        <v>0.6</v>
      </c>
      <c r="AX1308">
        <v>0.14470217680213718</v>
      </c>
      <c r="AY1308">
        <v>0.08</v>
      </c>
      <c r="AZ1308" s="209">
        <v>336.50905822762491</v>
      </c>
      <c r="BA1308">
        <v>0.14470217680213718</v>
      </c>
      <c r="BB1308" s="249">
        <v>31.824558995627864</v>
      </c>
      <c r="BC1308" s="243">
        <v>97.880552387948853</v>
      </c>
      <c r="BD1308" s="209">
        <v>45429.983550812984</v>
      </c>
      <c r="BE1308" s="243">
        <v>38.289811838410536</v>
      </c>
      <c r="BF1308">
        <v>632127.62046396022</v>
      </c>
      <c r="BG1308" t="s">
        <v>389</v>
      </c>
      <c r="BH1308">
        <v>4.3486364544608694E-6</v>
      </c>
      <c r="BI1308">
        <v>1654299.8355081298</v>
      </c>
      <c r="BJ1308">
        <f t="shared" si="76"/>
        <v>0.38211188014160552</v>
      </c>
    </row>
    <row r="1309" spans="1:62" x14ac:dyDescent="0.3">
      <c r="A1309">
        <v>-0.1</v>
      </c>
      <c r="B1309" s="146">
        <v>1000</v>
      </c>
      <c r="C1309" s="146">
        <v>25</v>
      </c>
      <c r="D1309" s="146">
        <v>400</v>
      </c>
      <c r="E1309" s="252">
        <v>8.8552028231835695</v>
      </c>
      <c r="F1309" s="146">
        <v>2.2977331610928644</v>
      </c>
      <c r="G1309" s="146">
        <v>10.277231054517179</v>
      </c>
      <c r="H1309" s="146">
        <v>2.5874740274424055</v>
      </c>
      <c r="I1309" s="146"/>
      <c r="J1309" s="146">
        <v>0.22073906779265529</v>
      </c>
      <c r="K1309" s="146">
        <v>0.08</v>
      </c>
      <c r="L1309" s="146">
        <v>52.728228466292364</v>
      </c>
      <c r="M1309" s="146">
        <v>29.45309764465922</v>
      </c>
      <c r="N1309" s="146">
        <v>0.76933537157884579</v>
      </c>
      <c r="O1309" s="146"/>
      <c r="P1309" s="146"/>
      <c r="Q1309" s="146"/>
      <c r="R1309" s="146"/>
      <c r="S1309" s="146"/>
      <c r="T1309" s="146"/>
      <c r="U1309" s="146"/>
      <c r="V1309" s="146"/>
      <c r="W1309" s="146"/>
      <c r="X1309" s="146"/>
      <c r="Y1309" s="146"/>
      <c r="Z1309" s="146">
        <v>0.29733066435426098</v>
      </c>
      <c r="AA1309" s="146"/>
      <c r="AB1309" s="146"/>
      <c r="AC1309" s="146"/>
      <c r="AD1309" s="146"/>
      <c r="AE1309" s="146"/>
      <c r="AF1309" s="146"/>
      <c r="AG1309" s="146"/>
      <c r="AH1309" s="146"/>
      <c r="AI1309" s="146"/>
      <c r="AJ1309" s="146"/>
      <c r="AK1309" s="146"/>
      <c r="AL1309" s="146">
        <v>732.28175158458953</v>
      </c>
      <c r="AM1309" s="146">
        <v>0.22357511949514219</v>
      </c>
      <c r="AN1309" s="146">
        <v>0.2917597133567153</v>
      </c>
      <c r="AO1309" s="146">
        <v>369.64898710207842</v>
      </c>
      <c r="AP1309" s="146">
        <v>347.6140657951666</v>
      </c>
      <c r="AQ1309" t="s">
        <v>325</v>
      </c>
      <c r="AR1309">
        <f t="shared" si="74"/>
        <v>4.8813386259591285</v>
      </c>
      <c r="AS1309">
        <f t="shared" si="75"/>
        <v>1.3321822791215501</v>
      </c>
      <c r="AT1309">
        <v>0.1</v>
      </c>
      <c r="AU1309">
        <v>1</v>
      </c>
      <c r="AV1309">
        <v>0.2</v>
      </c>
      <c r="AW1309" s="146">
        <v>0.4</v>
      </c>
      <c r="AX1309">
        <v>0.14929423986710852</v>
      </c>
      <c r="AY1309">
        <v>0.08</v>
      </c>
      <c r="AZ1309" s="209">
        <v>347.6140657951666</v>
      </c>
      <c r="BA1309">
        <v>0.14929423986710852</v>
      </c>
      <c r="BB1309" s="249">
        <v>26.063986086725563</v>
      </c>
      <c r="BC1309" s="243">
        <v>78.25912317527235</v>
      </c>
      <c r="BD1309" s="209">
        <v>34833.241987099296</v>
      </c>
      <c r="BE1309" s="243">
        <v>31.005537139598342</v>
      </c>
      <c r="BF1309">
        <v>649070.10621485882</v>
      </c>
      <c r="BG1309" t="s">
        <v>389</v>
      </c>
      <c r="BH1309">
        <v>3.6920058290445267E-6</v>
      </c>
      <c r="BI1309">
        <v>1548332.4198709929</v>
      </c>
      <c r="BJ1309">
        <f t="shared" si="76"/>
        <v>0.41920591333283547</v>
      </c>
    </row>
    <row r="1310" spans="1:62" x14ac:dyDescent="0.3">
      <c r="A1310">
        <v>-0.1</v>
      </c>
      <c r="B1310" s="146">
        <v>1000</v>
      </c>
      <c r="C1310" s="146">
        <v>25</v>
      </c>
      <c r="D1310" s="146">
        <v>400</v>
      </c>
      <c r="E1310" s="252">
        <v>7.6820520703343664</v>
      </c>
      <c r="F1310" s="146">
        <v>1.9745637373210636</v>
      </c>
      <c r="G1310" s="146">
        <v>8.9019326454992775</v>
      </c>
      <c r="H1310" s="146">
        <v>2.2362219496138209</v>
      </c>
      <c r="I1310" s="146"/>
      <c r="J1310" s="146">
        <v>0.22422104711605095</v>
      </c>
      <c r="K1310" s="146">
        <v>0.08</v>
      </c>
      <c r="L1310" s="146">
        <v>45.588991980061749</v>
      </c>
      <c r="M1310" s="146">
        <v>25.465240751805609</v>
      </c>
      <c r="N1310" s="146">
        <v>0.67920742232399611</v>
      </c>
      <c r="O1310" s="146"/>
      <c r="P1310" s="146"/>
      <c r="Q1310" s="146"/>
      <c r="R1310" s="146"/>
      <c r="S1310" s="146"/>
      <c r="T1310" s="146"/>
      <c r="U1310" s="146"/>
      <c r="V1310" s="146"/>
      <c r="W1310" s="146"/>
      <c r="X1310" s="146"/>
      <c r="Y1310" s="146"/>
      <c r="Z1310" s="146">
        <v>0.30372987906736637</v>
      </c>
      <c r="AA1310" s="146"/>
      <c r="AB1310" s="146"/>
      <c r="AC1310" s="146"/>
      <c r="AD1310" s="146"/>
      <c r="AE1310" s="146"/>
      <c r="AF1310" s="146"/>
      <c r="AG1310" s="146"/>
      <c r="AH1310" s="146"/>
      <c r="AI1310" s="146"/>
      <c r="AJ1310" s="146"/>
      <c r="AK1310" s="146"/>
      <c r="AL1310" s="146">
        <v>694.1604053705488</v>
      </c>
      <c r="AM1310" s="146">
        <v>0.22181292714221804</v>
      </c>
      <c r="AN1310" s="146">
        <v>0.29178828436611187</v>
      </c>
      <c r="AO1310" s="146">
        <v>373.67251366166721</v>
      </c>
      <c r="AP1310" s="146">
        <v>354.55669420855054</v>
      </c>
      <c r="AQ1310" t="s">
        <v>325</v>
      </c>
      <c r="AR1310">
        <f t="shared" si="74"/>
        <v>4.8813386259591285</v>
      </c>
      <c r="AS1310">
        <f t="shared" si="75"/>
        <v>1.3321822791215501</v>
      </c>
      <c r="AT1310">
        <v>0.1</v>
      </c>
      <c r="AU1310">
        <v>1</v>
      </c>
      <c r="AV1310">
        <v>0.2</v>
      </c>
      <c r="AW1310" s="146">
        <v>0.3</v>
      </c>
      <c r="AX1310">
        <v>0.15186615758141622</v>
      </c>
      <c r="AY1310">
        <v>0.08</v>
      </c>
      <c r="AZ1310" s="209">
        <v>354.55669420855054</v>
      </c>
      <c r="BA1310">
        <v>0.15186615758141622</v>
      </c>
      <c r="BB1310" s="249">
        <v>22.486311007547144</v>
      </c>
      <c r="BC1310" s="243">
        <v>66.331697355520745</v>
      </c>
      <c r="BD1310" s="209">
        <v>28787.534585955706</v>
      </c>
      <c r="BE1310" s="243">
        <v>26.707785246231182</v>
      </c>
      <c r="BF1310">
        <v>650566.92327830987</v>
      </c>
      <c r="BG1310" t="s">
        <v>389</v>
      </c>
      <c r="BH1310">
        <v>3.2503873587287358E-6</v>
      </c>
      <c r="BI1310">
        <v>1487875.3458595569</v>
      </c>
      <c r="BJ1310">
        <f t="shared" si="76"/>
        <v>0.43724558316575396</v>
      </c>
    </row>
    <row r="1311" spans="1:62" x14ac:dyDescent="0.3">
      <c r="A1311">
        <v>-0.1</v>
      </c>
      <c r="B1311" s="146">
        <v>1000</v>
      </c>
      <c r="C1311" s="146">
        <v>25</v>
      </c>
      <c r="D1311" s="146">
        <v>400</v>
      </c>
      <c r="E1311" s="252">
        <v>6.2420912351709665</v>
      </c>
      <c r="F1311" s="146">
        <v>1.589605970062858</v>
      </c>
      <c r="G1311" s="146">
        <v>7.2220751516692783</v>
      </c>
      <c r="H1311" s="146">
        <v>1.8099273398485274</v>
      </c>
      <c r="I1311" s="146"/>
      <c r="J1311" s="146">
        <v>0.2291637933829902</v>
      </c>
      <c r="K1311" s="146">
        <v>0.08</v>
      </c>
      <c r="L1311" s="146">
        <v>36.915711782714865</v>
      </c>
      <c r="M1311" s="146">
        <v>20.620492957647272</v>
      </c>
      <c r="N1311" s="146">
        <v>0.56597144409284272</v>
      </c>
      <c r="O1311" s="146"/>
      <c r="P1311" s="146"/>
      <c r="Q1311" s="146"/>
      <c r="R1311" s="146"/>
      <c r="S1311" s="146"/>
      <c r="T1311" s="146"/>
      <c r="U1311" s="146"/>
      <c r="V1311" s="146"/>
      <c r="W1311" s="146"/>
      <c r="X1311" s="146"/>
      <c r="Y1311" s="146"/>
      <c r="Z1311" s="146">
        <v>0.3127039586794732</v>
      </c>
      <c r="AA1311" s="146"/>
      <c r="AB1311" s="146"/>
      <c r="AC1311" s="146"/>
      <c r="AD1311" s="146"/>
      <c r="AE1311" s="146"/>
      <c r="AF1311" s="146"/>
      <c r="AG1311" s="146"/>
      <c r="AH1311" s="146"/>
      <c r="AI1311" s="146"/>
      <c r="AJ1311" s="146"/>
      <c r="AK1311" s="146"/>
      <c r="AL1311" s="146">
        <v>646.06396496563116</v>
      </c>
      <c r="AM1311" s="146">
        <v>0.22010377027099248</v>
      </c>
      <c r="AN1311" s="146">
        <v>0.29183454122767866</v>
      </c>
      <c r="AO1311" s="146">
        <v>378.6108552849434</v>
      </c>
      <c r="AP1311" s="146">
        <v>363.07824291920997</v>
      </c>
      <c r="AQ1311" t="s">
        <v>325</v>
      </c>
      <c r="AR1311">
        <f t="shared" si="74"/>
        <v>4.8813386259591285</v>
      </c>
      <c r="AS1311">
        <f t="shared" si="75"/>
        <v>1.3321822791215501</v>
      </c>
      <c r="AT1311">
        <v>0.1</v>
      </c>
      <c r="AU1311">
        <v>1</v>
      </c>
      <c r="AV1311">
        <v>0.2</v>
      </c>
      <c r="AW1311" s="146">
        <v>0.2</v>
      </c>
      <c r="AX1311">
        <v>0.15603307071158748</v>
      </c>
      <c r="AY1311">
        <v>0.08</v>
      </c>
      <c r="AZ1311" s="209">
        <v>363.07824291920997</v>
      </c>
      <c r="BA1311">
        <v>0.15603307071158748</v>
      </c>
      <c r="BB1311" s="249">
        <v>18.177190902107768</v>
      </c>
      <c r="BC1311" s="243">
        <v>52.518243398727506</v>
      </c>
      <c r="BD1311" s="209">
        <v>22033.924325179207</v>
      </c>
      <c r="BE1311" s="243">
        <v>21.554129188025701</v>
      </c>
      <c r="BF1311">
        <v>645059.23252529325</v>
      </c>
      <c r="BG1311" t="s">
        <v>389</v>
      </c>
      <c r="BH1311">
        <v>2.6764733115679114E-6</v>
      </c>
      <c r="BI1311">
        <v>1420339.2432517922</v>
      </c>
      <c r="BJ1311">
        <f t="shared" si="76"/>
        <v>0.45415856499779866</v>
      </c>
    </row>
    <row r="1312" spans="1:62" s="140" customFormat="1" x14ac:dyDescent="0.3">
      <c r="A1312" s="140">
        <v>-0.1</v>
      </c>
      <c r="B1312" s="140">
        <v>1000</v>
      </c>
      <c r="C1312" s="140">
        <v>25</v>
      </c>
      <c r="D1312" s="140">
        <v>400</v>
      </c>
      <c r="E1312" s="253">
        <v>4.2713493536552285</v>
      </c>
      <c r="F1312" s="140">
        <v>1.0811853074257547</v>
      </c>
      <c r="G1312" s="140">
        <v>4.9357953981150837</v>
      </c>
      <c r="H1312" s="140">
        <v>1.2354911012999954</v>
      </c>
      <c r="J1312" s="140">
        <v>0.24067131324618724</v>
      </c>
      <c r="K1312" s="140">
        <v>0.08</v>
      </c>
      <c r="L1312" s="140">
        <v>25.214379699594851</v>
      </c>
      <c r="M1312" s="140">
        <v>14.084326535196034</v>
      </c>
      <c r="N1312" s="140">
        <v>0.39442192867173298</v>
      </c>
      <c r="Z1312" s="140">
        <v>0.31924303481969113</v>
      </c>
      <c r="AL1312" s="140">
        <v>571.96795602478005</v>
      </c>
      <c r="AM1312" s="140">
        <v>0.2190498633388745</v>
      </c>
      <c r="AN1312" s="140">
        <v>0.29227197739132815</v>
      </c>
      <c r="AO1312" s="140">
        <v>385.38570344040801</v>
      </c>
      <c r="AP1312" s="140">
        <v>374.75699168891344</v>
      </c>
      <c r="AQ1312" t="s">
        <v>325</v>
      </c>
      <c r="AR1312">
        <f t="shared" si="74"/>
        <v>4.8813386259591285</v>
      </c>
      <c r="AS1312">
        <f t="shared" si="75"/>
        <v>1.3321822791215501</v>
      </c>
      <c r="AT1312">
        <v>0.1</v>
      </c>
      <c r="AU1312" s="140">
        <v>1</v>
      </c>
      <c r="AV1312">
        <v>0.2</v>
      </c>
      <c r="AW1312" s="140">
        <v>0.1</v>
      </c>
      <c r="AX1312">
        <v>0.16679296779949224</v>
      </c>
      <c r="AY1312">
        <v>0.08</v>
      </c>
      <c r="AZ1312" s="209">
        <v>374.75699168891344</v>
      </c>
      <c r="BA1312" s="140">
        <v>0.16679296779949224</v>
      </c>
      <c r="BB1312" s="253">
        <v>12.405468520275821</v>
      </c>
      <c r="BC1312" s="245">
        <v>34.888852809661749</v>
      </c>
      <c r="BD1312" s="210">
        <v>13904.209030933656</v>
      </c>
      <c r="BE1312" s="245">
        <v>14.652503489129582</v>
      </c>
      <c r="BF1312" s="140">
        <v>610233.18646057695</v>
      </c>
      <c r="BG1312" t="s">
        <v>389</v>
      </c>
      <c r="BH1312" s="140">
        <v>1.8451569432750033E-6</v>
      </c>
      <c r="BI1312" s="140">
        <v>1339042.0903093365</v>
      </c>
      <c r="BJ1312">
        <f t="shared" si="76"/>
        <v>0.45572367805078101</v>
      </c>
    </row>
    <row r="1313" spans="1:62" x14ac:dyDescent="0.3">
      <c r="A1313">
        <v>-0.1</v>
      </c>
      <c r="B1313" s="146">
        <v>1000</v>
      </c>
      <c r="C1313" s="146">
        <v>25</v>
      </c>
      <c r="D1313" s="146">
        <v>400</v>
      </c>
      <c r="E1313" s="252">
        <v>18.329186720847161</v>
      </c>
      <c r="F1313" s="146">
        <v>5.4203107975704015</v>
      </c>
      <c r="G1313" s="146">
        <v>21.742107170578123</v>
      </c>
      <c r="H1313" s="146">
        <v>5.4243473505912778</v>
      </c>
      <c r="I1313" s="146"/>
      <c r="J1313" s="146">
        <v>0.18718212712074855</v>
      </c>
      <c r="K1313" s="146">
        <v>0.08</v>
      </c>
      <c r="L1313" s="146">
        <v>110.0899267061141</v>
      </c>
      <c r="M1313" s="146">
        <v>61.494373228210875</v>
      </c>
      <c r="N1313" s="146">
        <v>1.6030360196346001</v>
      </c>
      <c r="O1313" s="146"/>
      <c r="P1313" s="146"/>
      <c r="Q1313" s="146"/>
      <c r="R1313" s="146"/>
      <c r="S1313" s="146"/>
      <c r="T1313" s="146"/>
      <c r="U1313" s="146"/>
      <c r="V1313" s="146"/>
      <c r="W1313" s="146"/>
      <c r="X1313" s="146"/>
      <c r="Y1313" s="146"/>
      <c r="Z1313" s="146">
        <v>0.2955260635106382</v>
      </c>
      <c r="AA1313" s="146"/>
      <c r="AB1313" s="146"/>
      <c r="AC1313" s="146"/>
      <c r="AD1313" s="146"/>
      <c r="AE1313" s="146"/>
      <c r="AF1313" s="146"/>
      <c r="AG1313" s="146"/>
      <c r="AH1313" s="146"/>
      <c r="AI1313" s="146"/>
      <c r="AJ1313" s="146"/>
      <c r="AK1313" s="146"/>
      <c r="AL1313" s="146">
        <v>1089.6975936188114</v>
      </c>
      <c r="AM1313" s="146">
        <v>0.24930016005556629</v>
      </c>
      <c r="AN1313" s="146">
        <v>0.27683048814252581</v>
      </c>
      <c r="AO1313" s="146">
        <v>333.78913267887458</v>
      </c>
      <c r="AP1313" s="146">
        <v>288.17958380151185</v>
      </c>
      <c r="AQ1313" t="s">
        <v>325</v>
      </c>
      <c r="AR1313">
        <f t="shared" si="74"/>
        <v>4.8813386259591285</v>
      </c>
      <c r="AS1313">
        <f t="shared" si="75"/>
        <v>1.3321822791215501</v>
      </c>
      <c r="AT1313">
        <v>0.1</v>
      </c>
      <c r="AU1313">
        <v>1</v>
      </c>
      <c r="AV1313">
        <v>0.2</v>
      </c>
      <c r="AW1313" s="146">
        <v>3</v>
      </c>
      <c r="AX1313">
        <v>0.13107555582205993</v>
      </c>
      <c r="AY1313">
        <v>0.08</v>
      </c>
      <c r="AZ1313" s="209">
        <v>288.17958380151185</v>
      </c>
      <c r="BA1313">
        <v>0.13107555582205993</v>
      </c>
      <c r="BB1313" s="249">
        <v>58.780951298833415</v>
      </c>
      <c r="BC1313" s="243">
        <v>205.00901065557818</v>
      </c>
      <c r="BD1313" s="209">
        <v>109819.90081263495</v>
      </c>
      <c r="BE1313" s="243">
        <v>76.097009722726384</v>
      </c>
      <c r="BF1313">
        <v>347041.17022412724</v>
      </c>
      <c r="BG1313" t="s">
        <v>390</v>
      </c>
      <c r="BH1313">
        <v>6.6678958997482509E-6</v>
      </c>
      <c r="BI1313">
        <v>2298199.0081263492</v>
      </c>
      <c r="BJ1313">
        <f t="shared" si="76"/>
        <v>0.15100570881677441</v>
      </c>
    </row>
    <row r="1314" spans="1:62" s="140" customFormat="1" x14ac:dyDescent="0.3">
      <c r="A1314">
        <v>-0.2</v>
      </c>
      <c r="B1314" s="146">
        <v>1000</v>
      </c>
      <c r="C1314" s="146">
        <v>25</v>
      </c>
      <c r="D1314" s="146">
        <v>400</v>
      </c>
      <c r="E1314" s="252">
        <v>18.199560720754409</v>
      </c>
      <c r="F1314" s="146">
        <v>5.51298199541991</v>
      </c>
      <c r="G1314" s="146">
        <v>21.661180396439367</v>
      </c>
      <c r="H1314" s="146">
        <v>5.4305542800270095</v>
      </c>
      <c r="I1314" s="146"/>
      <c r="J1314" s="146">
        <v>0.18781190618325663</v>
      </c>
      <c r="K1314" s="146">
        <v>0.08</v>
      </c>
      <c r="L1314" s="146">
        <v>110.22597418075837</v>
      </c>
      <c r="M1314" s="146">
        <v>61.570367049197465</v>
      </c>
      <c r="N1314" s="146">
        <v>1.5980555611952854</v>
      </c>
      <c r="O1314" s="146"/>
      <c r="P1314" s="146"/>
      <c r="Q1314" s="146"/>
      <c r="R1314" s="146"/>
      <c r="S1314" s="146"/>
      <c r="T1314" s="146"/>
      <c r="U1314" s="146"/>
      <c r="V1314" s="146"/>
      <c r="W1314" s="146"/>
      <c r="X1314" s="146"/>
      <c r="Y1314" s="146"/>
      <c r="Z1314" s="146">
        <v>0.29427116990115737</v>
      </c>
      <c r="AA1314" s="146"/>
      <c r="AB1314" s="146"/>
      <c r="AC1314" s="146"/>
      <c r="AD1314" s="146"/>
      <c r="AE1314" s="146"/>
      <c r="AF1314" s="146"/>
      <c r="AG1314" s="146"/>
      <c r="AH1314" s="146"/>
      <c r="AI1314" s="146"/>
      <c r="AJ1314" s="146"/>
      <c r="AK1314" s="146"/>
      <c r="AL1314" s="146">
        <v>1079.8681775381713</v>
      </c>
      <c r="AM1314" s="146">
        <v>0.25450976791302315</v>
      </c>
      <c r="AN1314" s="146">
        <v>0.24636446227931946</v>
      </c>
      <c r="AO1314" s="146">
        <v>326.12749195896453</v>
      </c>
      <c r="AP1314" s="146">
        <v>280.84039694052836</v>
      </c>
      <c r="AQ1314" t="s">
        <v>325</v>
      </c>
      <c r="AR1314">
        <f t="shared" si="74"/>
        <v>4.8813386259591285</v>
      </c>
      <c r="AS1314">
        <f t="shared" si="75"/>
        <v>1.3321822791215501</v>
      </c>
      <c r="AT1314">
        <v>0.1</v>
      </c>
      <c r="AU1314">
        <v>1</v>
      </c>
      <c r="AV1314">
        <v>0.2</v>
      </c>
      <c r="AW1314" s="146">
        <v>3</v>
      </c>
      <c r="AX1314">
        <v>0.13116021597556307</v>
      </c>
      <c r="AY1314">
        <v>0.08</v>
      </c>
      <c r="AZ1314" s="209">
        <v>280.84039694052836</v>
      </c>
      <c r="BA1314" s="140">
        <v>0.13116021597556307</v>
      </c>
      <c r="BB1314" s="253">
        <v>59.326956761174742</v>
      </c>
      <c r="BC1314" s="245">
        <v>205.41506286450493</v>
      </c>
      <c r="BD1314" s="210">
        <v>110349.90567483671</v>
      </c>
      <c r="BE1314" s="245">
        <v>76.63640832549558</v>
      </c>
      <c r="BF1314" s="140">
        <v>345147.30744920502</v>
      </c>
      <c r="BG1314" t="s">
        <v>390</v>
      </c>
      <c r="BH1314" s="140">
        <v>6.6104569266433633E-6</v>
      </c>
      <c r="BI1314" s="140">
        <v>2303499.0567483669</v>
      </c>
      <c r="BJ1314">
        <f t="shared" si="76"/>
        <v>0.14983609671471584</v>
      </c>
    </row>
    <row r="1315" spans="1:62" x14ac:dyDescent="0.3">
      <c r="A1315">
        <v>-0.3</v>
      </c>
      <c r="B1315" s="146">
        <v>1000</v>
      </c>
      <c r="C1315" s="146">
        <v>25</v>
      </c>
      <c r="D1315" s="146">
        <v>400</v>
      </c>
      <c r="E1315" s="252">
        <v>18.041981701414503</v>
      </c>
      <c r="F1315" s="146">
        <v>5.641442589414134</v>
      </c>
      <c r="G1315" s="146">
        <v>21.571640031473969</v>
      </c>
      <c r="H1315" s="146">
        <v>5.4407411598993267</v>
      </c>
      <c r="I1315" s="146"/>
      <c r="J1315" s="146">
        <v>0.18874841007893289</v>
      </c>
      <c r="K1315" s="146">
        <v>0.08</v>
      </c>
      <c r="L1315" s="146">
        <v>110.44603532021674</v>
      </c>
      <c r="M1315" s="146">
        <v>61.693289484044776</v>
      </c>
      <c r="N1315" s="146">
        <v>1.5893901957330305</v>
      </c>
      <c r="O1315" s="146"/>
      <c r="P1315" s="146"/>
      <c r="Q1315" s="146"/>
      <c r="R1315" s="146"/>
      <c r="S1315" s="146"/>
      <c r="T1315" s="146"/>
      <c r="U1315" s="146"/>
      <c r="V1315" s="146"/>
      <c r="W1315" s="146"/>
      <c r="X1315" s="146"/>
      <c r="Y1315" s="146"/>
      <c r="Z1315" s="146">
        <v>0.29212751517156166</v>
      </c>
      <c r="AA1315" s="146"/>
      <c r="AB1315" s="146"/>
      <c r="AC1315" s="146"/>
      <c r="AD1315" s="146"/>
      <c r="AE1315" s="146"/>
      <c r="AF1315" s="146"/>
      <c r="AG1315" s="146"/>
      <c r="AH1315" s="146"/>
      <c r="AI1315" s="146"/>
      <c r="AJ1315" s="146"/>
      <c r="AK1315" s="146"/>
      <c r="AL1315" s="146">
        <v>1066.1598735596735</v>
      </c>
      <c r="AM1315" s="146">
        <v>0.2615212650119797</v>
      </c>
      <c r="AN1315" s="146">
        <v>0.21570922009532509</v>
      </c>
      <c r="AO1315" s="146">
        <v>316.35971010677486</v>
      </c>
      <c r="AP1315" s="146">
        <v>271.464775693158</v>
      </c>
      <c r="AQ1315" t="s">
        <v>325</v>
      </c>
      <c r="AR1315">
        <f t="shared" si="74"/>
        <v>4.8813386259591285</v>
      </c>
      <c r="AS1315">
        <f t="shared" si="75"/>
        <v>1.3321822791215501</v>
      </c>
      <c r="AT1315">
        <v>0.1</v>
      </c>
      <c r="AU1315">
        <v>1</v>
      </c>
      <c r="AV1315">
        <v>0.2</v>
      </c>
      <c r="AW1315" s="146">
        <v>3</v>
      </c>
      <c r="AX1315">
        <v>0.13130747610120719</v>
      </c>
      <c r="AY1315">
        <v>0.08</v>
      </c>
      <c r="AZ1315" s="209">
        <v>271.464775693158</v>
      </c>
      <c r="BA1315">
        <v>0.13130747610120719</v>
      </c>
      <c r="BB1315" s="249">
        <v>60.104978657981931</v>
      </c>
      <c r="BC1315" s="243">
        <v>206.0735009118041</v>
      </c>
      <c r="BD1315" s="209">
        <v>111203.40107039822</v>
      </c>
      <c r="BE1315" s="243">
        <v>77.501313229154974</v>
      </c>
      <c r="BF1315">
        <v>343236.5207140221</v>
      </c>
      <c r="BG1315" t="s">
        <v>390</v>
      </c>
      <c r="BH1315">
        <v>6.5344567895555017E-6</v>
      </c>
      <c r="BI1315">
        <v>2312034.0107039823</v>
      </c>
      <c r="BJ1315">
        <f t="shared" si="76"/>
        <v>0.14845651885956096</v>
      </c>
    </row>
    <row r="1316" spans="1:62" x14ac:dyDescent="0.3">
      <c r="A1316">
        <v>-0.4</v>
      </c>
      <c r="B1316" s="146">
        <v>1000</v>
      </c>
      <c r="C1316" s="146">
        <v>25</v>
      </c>
      <c r="D1316" s="146">
        <v>400</v>
      </c>
      <c r="E1316" s="252">
        <v>17.806355890740299</v>
      </c>
      <c r="F1316" s="146">
        <v>5.8027544425015138</v>
      </c>
      <c r="G1316" s="146">
        <v>21.420544992740147</v>
      </c>
      <c r="H1316" s="146">
        <v>5.4508768314441944</v>
      </c>
      <c r="I1316" s="146"/>
      <c r="J1316" s="146">
        <v>0.18984292313074061</v>
      </c>
      <c r="K1316" s="146">
        <v>0.08</v>
      </c>
      <c r="L1316" s="146">
        <v>110.67087099323437</v>
      </c>
      <c r="M1316" s="146">
        <v>61.818878892678605</v>
      </c>
      <c r="N1316" s="146">
        <v>1.581028098304639</v>
      </c>
      <c r="O1316" s="146"/>
      <c r="P1316" s="146"/>
      <c r="Q1316" s="146"/>
      <c r="R1316" s="146"/>
      <c r="S1316" s="146"/>
      <c r="T1316" s="146"/>
      <c r="U1316" s="146"/>
      <c r="V1316" s="146"/>
      <c r="W1316" s="146"/>
      <c r="X1316" s="146"/>
      <c r="Y1316" s="146"/>
      <c r="Z1316" s="146">
        <v>0.29005023360356319</v>
      </c>
      <c r="AA1316" s="146"/>
      <c r="AB1316" s="146"/>
      <c r="AC1316" s="146"/>
      <c r="AD1316" s="146"/>
      <c r="AE1316" s="146"/>
      <c r="AF1316" s="146"/>
      <c r="AG1316" s="146"/>
      <c r="AH1316" s="146"/>
      <c r="AI1316" s="146"/>
      <c r="AJ1316" s="146"/>
      <c r="AK1316" s="146"/>
      <c r="AL1316" s="146">
        <v>1050.1377920699449</v>
      </c>
      <c r="AM1316" s="146">
        <v>0.27089667627355812</v>
      </c>
      <c r="AN1316" s="146">
        <v>0.18535089153693757</v>
      </c>
      <c r="AO1316" s="146">
        <v>303.93164153088645</v>
      </c>
      <c r="AP1316" s="146">
        <v>259.6237429176249</v>
      </c>
      <c r="AQ1316" t="s">
        <v>325</v>
      </c>
      <c r="AR1316">
        <f t="shared" si="74"/>
        <v>4.8813386259591285</v>
      </c>
      <c r="AS1316">
        <f t="shared" si="75"/>
        <v>1.3321822791215501</v>
      </c>
      <c r="AT1316">
        <v>0.1</v>
      </c>
      <c r="AU1316">
        <v>1</v>
      </c>
      <c r="AV1316">
        <v>0.2</v>
      </c>
      <c r="AW1316" s="146">
        <v>3</v>
      </c>
      <c r="AX1316">
        <v>0.1314711483895406</v>
      </c>
      <c r="AY1316">
        <v>0.08</v>
      </c>
      <c r="AZ1316" s="209">
        <v>259.6237429176249</v>
      </c>
      <c r="BA1316">
        <v>0.1314711483895406</v>
      </c>
      <c r="BB1316" s="249">
        <v>61.044074793233492</v>
      </c>
      <c r="BC1316" s="243">
        <v>206.74832400346625</v>
      </c>
      <c r="BD1316" s="209">
        <v>112071.30851593229</v>
      </c>
      <c r="BE1316" s="243">
        <v>78.376428296170005</v>
      </c>
      <c r="BF1316">
        <v>339516.40066365246</v>
      </c>
      <c r="BG1316" t="s">
        <v>390</v>
      </c>
      <c r="BH1316">
        <v>6.4339821424482561E-6</v>
      </c>
      <c r="BI1316">
        <v>2320713.0851593232</v>
      </c>
      <c r="BJ1316">
        <f t="shared" si="76"/>
        <v>0.14629830927175719</v>
      </c>
    </row>
    <row r="1317" spans="1:62" x14ac:dyDescent="0.3">
      <c r="A1317">
        <v>-0.5</v>
      </c>
      <c r="B1317" s="146">
        <v>1000</v>
      </c>
      <c r="C1317" s="146">
        <v>25</v>
      </c>
      <c r="D1317" s="146">
        <v>400</v>
      </c>
      <c r="E1317" s="252">
        <v>17.47888833273084</v>
      </c>
      <c r="F1317" s="146">
        <v>6.0371071713501783</v>
      </c>
      <c r="G1317" s="146">
        <v>21.216807289370305</v>
      </c>
      <c r="H1317" s="146">
        <v>5.4683536002479372</v>
      </c>
      <c r="I1317" s="146"/>
      <c r="J1317" s="146">
        <v>0.19015740114218366</v>
      </c>
      <c r="K1317" s="146">
        <v>0.08</v>
      </c>
      <c r="L1317" s="146">
        <v>111.0540302867677</v>
      </c>
      <c r="M1317" s="146">
        <v>62.032905201055527</v>
      </c>
      <c r="N1317" s="146">
        <v>1.5880905021541798</v>
      </c>
      <c r="O1317" s="146"/>
      <c r="P1317" s="146"/>
      <c r="Q1317" s="146"/>
      <c r="R1317" s="146"/>
      <c r="S1317" s="146"/>
      <c r="T1317" s="146"/>
      <c r="U1317" s="146"/>
      <c r="V1317" s="146"/>
      <c r="W1317" s="146"/>
      <c r="X1317" s="146"/>
      <c r="Y1317" s="146"/>
      <c r="Z1317" s="146">
        <v>0.29041474239745124</v>
      </c>
      <c r="AA1317" s="146"/>
      <c r="AB1317" s="146"/>
      <c r="AC1317" s="146"/>
      <c r="AD1317" s="146"/>
      <c r="AE1317" s="146"/>
      <c r="AF1317" s="146"/>
      <c r="AG1317" s="146"/>
      <c r="AH1317" s="146"/>
      <c r="AI1317" s="146"/>
      <c r="AJ1317" s="146"/>
      <c r="AK1317" s="146"/>
      <c r="AL1317" s="146">
        <v>1037.6850709231414</v>
      </c>
      <c r="AM1317" s="146">
        <v>0.28454362096104774</v>
      </c>
      <c r="AN1317" s="146">
        <v>0.1548634224681312</v>
      </c>
      <c r="AO1317" s="146">
        <v>287.13352672850971</v>
      </c>
      <c r="AP1317" s="146">
        <v>243.63981984605215</v>
      </c>
      <c r="AQ1317" t="s">
        <v>325</v>
      </c>
      <c r="AR1317">
        <f t="shared" si="74"/>
        <v>4.8813386259591285</v>
      </c>
      <c r="AS1317">
        <f t="shared" si="75"/>
        <v>1.3321822791215501</v>
      </c>
      <c r="AT1317">
        <v>0.1</v>
      </c>
      <c r="AU1317">
        <v>1</v>
      </c>
      <c r="AV1317">
        <v>0.2</v>
      </c>
      <c r="AW1317" s="146">
        <v>3</v>
      </c>
      <c r="AX1317">
        <v>0.13120962146377824</v>
      </c>
      <c r="AY1317">
        <v>0.08</v>
      </c>
      <c r="AZ1317" s="209">
        <v>243.63981984605215</v>
      </c>
      <c r="BA1317">
        <v>0.13120962146377824</v>
      </c>
      <c r="BB1317" s="249">
        <v>62.433734049830719</v>
      </c>
      <c r="BC1317" s="243">
        <v>207.90326835837635</v>
      </c>
      <c r="BD1317" s="209">
        <v>113537.34814592378</v>
      </c>
      <c r="BE1317" s="243">
        <v>79.842880027374022</v>
      </c>
      <c r="BF1317">
        <v>334755.1016317372</v>
      </c>
      <c r="BG1317" t="s">
        <v>390</v>
      </c>
      <c r="BH1317">
        <v>6.2875786862854947E-6</v>
      </c>
      <c r="BI1317">
        <v>2335373.4814592376</v>
      </c>
      <c r="BJ1317">
        <f t="shared" si="76"/>
        <v>0.14334114191558278</v>
      </c>
    </row>
    <row r="1318" spans="1:62" x14ac:dyDescent="0.3">
      <c r="A1318">
        <v>-0.6</v>
      </c>
      <c r="B1318" s="146">
        <v>1000</v>
      </c>
      <c r="C1318" s="146">
        <v>25</v>
      </c>
      <c r="D1318" s="146">
        <v>400</v>
      </c>
      <c r="E1318" s="252">
        <v>16.979858175513446</v>
      </c>
      <c r="F1318" s="146">
        <v>6.4173544665740989</v>
      </c>
      <c r="G1318" s="146">
        <v>20.919095324745324</v>
      </c>
      <c r="H1318" s="146">
        <v>5.4996504644066153</v>
      </c>
      <c r="I1318" s="146"/>
      <c r="J1318" s="146">
        <v>0.19352397706985441</v>
      </c>
      <c r="K1318" s="146">
        <v>0.08</v>
      </c>
      <c r="L1318" s="146">
        <v>111.73662665246921</v>
      </c>
      <c r="M1318" s="146">
        <v>62.414191999335664</v>
      </c>
      <c r="N1318" s="146">
        <v>1.5558032832831037</v>
      </c>
      <c r="O1318" s="146"/>
      <c r="P1318" s="146"/>
      <c r="Q1318" s="146"/>
      <c r="R1318" s="146"/>
      <c r="S1318" s="146"/>
      <c r="T1318" s="146"/>
      <c r="U1318" s="146"/>
      <c r="V1318" s="146"/>
      <c r="W1318" s="146"/>
      <c r="X1318" s="146"/>
      <c r="Y1318" s="146"/>
      <c r="Z1318" s="146">
        <v>0.28289130252043521</v>
      </c>
      <c r="AA1318" s="146"/>
      <c r="AB1318" s="146"/>
      <c r="AC1318" s="146"/>
      <c r="AD1318" s="146"/>
      <c r="AE1318" s="146"/>
      <c r="AF1318" s="146"/>
      <c r="AG1318" s="146"/>
      <c r="AH1318" s="146"/>
      <c r="AI1318" s="146"/>
      <c r="AJ1318" s="146"/>
      <c r="AK1318" s="146"/>
      <c r="AL1318" s="146">
        <v>998.88068640876747</v>
      </c>
      <c r="AM1318" s="146">
        <v>0.30677017179528654</v>
      </c>
      <c r="AN1318" s="146">
        <v>0.12414991115937711</v>
      </c>
      <c r="AO1318" s="146">
        <v>263.23100824683149</v>
      </c>
      <c r="AP1318" s="146">
        <v>220.97904476721681</v>
      </c>
      <c r="AQ1318" t="s">
        <v>325</v>
      </c>
      <c r="AR1318">
        <f t="shared" si="74"/>
        <v>4.8813386259591285</v>
      </c>
      <c r="AS1318">
        <f t="shared" si="75"/>
        <v>1.3321822791215501</v>
      </c>
      <c r="AT1318">
        <v>0.1</v>
      </c>
      <c r="AU1318">
        <v>1</v>
      </c>
      <c r="AV1318">
        <v>0.2</v>
      </c>
      <c r="AW1318" s="146">
        <v>3</v>
      </c>
      <c r="AX1318">
        <v>0.13201644730876205</v>
      </c>
      <c r="AY1318">
        <v>0.08</v>
      </c>
      <c r="AZ1318" s="209">
        <v>220.97904476721681</v>
      </c>
      <c r="BA1318">
        <v>0.13201644730876205</v>
      </c>
      <c r="BB1318" s="249">
        <v>64.691534423624731</v>
      </c>
      <c r="BC1318" s="243">
        <v>209.97637560539195</v>
      </c>
      <c r="BD1318" s="209">
        <v>116018.93657832763</v>
      </c>
      <c r="BE1318" s="243">
        <v>82.24759077254096</v>
      </c>
      <c r="BF1318">
        <v>327706.89676274202</v>
      </c>
      <c r="BG1318" t="s">
        <v>390</v>
      </c>
      <c r="BH1318">
        <v>6.0602595661258016E-6</v>
      </c>
      <c r="BI1318">
        <v>2360189.365783276</v>
      </c>
      <c r="BJ1318">
        <f t="shared" si="76"/>
        <v>0.13884771345624039</v>
      </c>
    </row>
    <row r="1319" spans="1:62" x14ac:dyDescent="0.3">
      <c r="A1319">
        <v>-0.7</v>
      </c>
      <c r="B1319" s="146">
        <v>1000</v>
      </c>
      <c r="C1319" s="146">
        <v>25</v>
      </c>
      <c r="D1319" s="146">
        <v>400</v>
      </c>
      <c r="E1319" s="252">
        <v>16.090891212913842</v>
      </c>
      <c r="F1319" s="146">
        <v>7.0327207660546636</v>
      </c>
      <c r="G1319" s="146">
        <v>20.353968964201158</v>
      </c>
      <c r="H1319" s="146">
        <v>5.5443774879405217</v>
      </c>
      <c r="I1319" s="146"/>
      <c r="J1319" s="146">
        <v>0.19871994003003493</v>
      </c>
      <c r="K1319" s="146">
        <v>0.08</v>
      </c>
      <c r="L1319" s="146">
        <v>112.73772810024444</v>
      </c>
      <c r="M1319" s="146">
        <v>62.97339035572238</v>
      </c>
      <c r="N1319" s="146">
        <v>1.5111843696160987</v>
      </c>
      <c r="O1319" s="146"/>
      <c r="P1319" s="146"/>
      <c r="Q1319" s="146"/>
      <c r="R1319" s="146"/>
      <c r="S1319" s="146"/>
      <c r="T1319" s="146"/>
      <c r="U1319" s="146"/>
      <c r="V1319" s="146"/>
      <c r="W1319" s="146"/>
      <c r="X1319" s="146"/>
      <c r="Y1319" s="146"/>
      <c r="Z1319" s="146">
        <v>0.272561594679123</v>
      </c>
      <c r="AA1319" s="146"/>
      <c r="AB1319" s="146"/>
      <c r="AC1319" s="146"/>
      <c r="AD1319" s="146"/>
      <c r="AE1319" s="146"/>
      <c r="AF1319" s="146"/>
      <c r="AG1319" s="146"/>
      <c r="AH1319" s="146"/>
      <c r="AI1319" s="146"/>
      <c r="AJ1319" s="146"/>
      <c r="AK1319" s="146"/>
      <c r="AL1319" s="146">
        <v>943.89148317544868</v>
      </c>
      <c r="AM1319" s="146">
        <v>0.3455208553390206</v>
      </c>
      <c r="AN1319" s="146">
        <v>9.373653767399788E-2</v>
      </c>
      <c r="AO1319" s="146">
        <v>228.33917688665187</v>
      </c>
      <c r="AP1319" s="146">
        <v>188.29929836739947</v>
      </c>
      <c r="AQ1319" t="s">
        <v>325</v>
      </c>
      <c r="AR1319">
        <f t="shared" si="74"/>
        <v>4.8813386259591285</v>
      </c>
      <c r="AS1319">
        <f t="shared" si="75"/>
        <v>1.3321822791215501</v>
      </c>
      <c r="AT1319">
        <v>0.1</v>
      </c>
      <c r="AU1319">
        <v>1</v>
      </c>
      <c r="AV1319">
        <v>0.2</v>
      </c>
      <c r="AW1319" s="146">
        <v>3</v>
      </c>
      <c r="AX1319">
        <v>0.1333116156088012</v>
      </c>
      <c r="AY1319">
        <v>0.08</v>
      </c>
      <c r="AZ1319" s="209">
        <v>188.29929836739947</v>
      </c>
      <c r="BA1319">
        <v>0.1333116156088012</v>
      </c>
      <c r="BB1319" s="249">
        <v>68.254332735664931</v>
      </c>
      <c r="BC1319" s="243">
        <v>213.05363420020436</v>
      </c>
      <c r="BD1319" s="209">
        <v>119588.23986790908</v>
      </c>
      <c r="BE1319" s="243">
        <v>85.633313103789078</v>
      </c>
      <c r="BF1319">
        <v>313023.46125726984</v>
      </c>
      <c r="BG1319" t="s">
        <v>390</v>
      </c>
      <c r="BH1319">
        <v>5.6860715071268802E-6</v>
      </c>
      <c r="BI1319">
        <v>2395882.3986790907</v>
      </c>
      <c r="BJ1319">
        <f t="shared" si="76"/>
        <v>0.13065059513348712</v>
      </c>
    </row>
    <row r="1320" spans="1:62" x14ac:dyDescent="0.3">
      <c r="A1320">
        <v>-0.8</v>
      </c>
      <c r="B1320" s="146">
        <v>1000</v>
      </c>
      <c r="C1320" s="146">
        <v>25</v>
      </c>
      <c r="D1320" s="146">
        <v>400</v>
      </c>
      <c r="E1320" s="252">
        <v>14.312328043251268</v>
      </c>
      <c r="F1320" s="146">
        <v>8.2430346092020663</v>
      </c>
      <c r="G1320" s="146">
        <v>19.210897936785571</v>
      </c>
      <c r="H1320" s="146">
        <v>5.6246680685898385</v>
      </c>
      <c r="I1320" s="146"/>
      <c r="J1320" s="146">
        <v>0.21176809855487314</v>
      </c>
      <c r="K1320" s="146">
        <v>0.08</v>
      </c>
      <c r="L1320" s="146">
        <v>114.61481449541661</v>
      </c>
      <c r="M1320" s="146">
        <v>64.021899105069224</v>
      </c>
      <c r="N1320" s="146">
        <v>1.3953989289248643</v>
      </c>
      <c r="O1320" s="146"/>
      <c r="P1320" s="146"/>
      <c r="Q1320" s="146"/>
      <c r="R1320" s="146"/>
      <c r="S1320" s="146"/>
      <c r="T1320" s="146"/>
      <c r="U1320" s="146"/>
      <c r="V1320" s="146"/>
      <c r="W1320" s="146"/>
      <c r="X1320" s="146"/>
      <c r="Y1320" s="146"/>
      <c r="Z1320" s="146">
        <v>0.24808556023372683</v>
      </c>
      <c r="AA1320" s="146"/>
      <c r="AB1320" s="146"/>
      <c r="AC1320" s="146"/>
      <c r="AD1320" s="146"/>
      <c r="AE1320" s="146"/>
      <c r="AF1320" s="146"/>
      <c r="AG1320" s="146"/>
      <c r="AH1320" s="146"/>
      <c r="AI1320" s="146"/>
      <c r="AJ1320" s="146"/>
      <c r="AK1320" s="146"/>
      <c r="AL1320" s="146">
        <v>835.66091380405692</v>
      </c>
      <c r="AM1320" s="146">
        <v>0.42908117238070742</v>
      </c>
      <c r="AN1320" s="146">
        <v>6.3210258623568188E-2</v>
      </c>
      <c r="AO1320" s="146">
        <v>173.57586640351346</v>
      </c>
      <c r="AP1320" s="146">
        <v>137.96144934162456</v>
      </c>
      <c r="AQ1320" t="s">
        <v>325</v>
      </c>
      <c r="AR1320">
        <f t="shared" si="74"/>
        <v>4.8813386259591285</v>
      </c>
      <c r="AS1320">
        <f t="shared" si="75"/>
        <v>1.3321822791215501</v>
      </c>
      <c r="AT1320">
        <v>0.1</v>
      </c>
      <c r="AU1320">
        <v>1</v>
      </c>
      <c r="AV1320">
        <v>0.2</v>
      </c>
      <c r="AW1320" s="146">
        <v>3</v>
      </c>
      <c r="AX1320">
        <v>0.13722832766259271</v>
      </c>
      <c r="AY1320">
        <v>0.08</v>
      </c>
      <c r="AZ1320" s="209">
        <v>137.96144934162456</v>
      </c>
      <c r="BA1320">
        <v>0.13722832766259271</v>
      </c>
      <c r="BB1320" s="249">
        <v>75.150175157755186</v>
      </c>
      <c r="BC1320" s="243">
        <v>218.945742874806</v>
      </c>
      <c r="BD1320" s="209">
        <v>126290.77969522502</v>
      </c>
      <c r="BE1320" s="243">
        <v>91.875292698501781</v>
      </c>
      <c r="BF1320">
        <v>287491.86478734668</v>
      </c>
      <c r="BG1320" t="s">
        <v>390</v>
      </c>
      <c r="BH1320">
        <v>4.9549472501206038E-6</v>
      </c>
      <c r="BI1320">
        <v>2462907.7969522504</v>
      </c>
      <c r="BJ1320">
        <f t="shared" si="76"/>
        <v>0.11672863480439923</v>
      </c>
    </row>
    <row r="1321" spans="1:62" x14ac:dyDescent="0.3">
      <c r="A1321">
        <v>-0.85</v>
      </c>
      <c r="B1321" s="146">
        <v>1000</v>
      </c>
      <c r="C1321" s="146">
        <v>25</v>
      </c>
      <c r="D1321" s="146">
        <v>400</v>
      </c>
      <c r="E1321" s="252">
        <v>9.9059573976973283</v>
      </c>
      <c r="F1321" s="146">
        <v>4.8485924089441541</v>
      </c>
      <c r="G1321" s="146">
        <v>12.761584488814375</v>
      </c>
      <c r="H1321" s="146">
        <v>3.6363295835722629</v>
      </c>
      <c r="I1321" s="146"/>
      <c r="J1321" s="146">
        <v>0.22306110141236637</v>
      </c>
      <c r="K1321" s="146">
        <v>0.08</v>
      </c>
      <c r="L1321" s="146">
        <v>74.321052692604667</v>
      </c>
      <c r="M1321" s="146">
        <v>41.514484474070727</v>
      </c>
      <c r="N1321" s="146">
        <v>1.0310581253439679</v>
      </c>
      <c r="O1321" s="146"/>
      <c r="P1321" s="146"/>
      <c r="Q1321" s="146"/>
      <c r="R1321" s="146"/>
      <c r="S1321" s="146"/>
      <c r="T1321" s="146"/>
      <c r="U1321" s="146"/>
      <c r="V1321" s="146"/>
      <c r="W1321" s="146"/>
      <c r="X1321" s="146"/>
      <c r="Y1321" s="146"/>
      <c r="Z1321" s="146">
        <v>0.28354363971900354</v>
      </c>
      <c r="AA1321" s="146"/>
      <c r="AB1321" s="146"/>
      <c r="AC1321" s="146"/>
      <c r="AD1321" s="146"/>
      <c r="AE1321" s="146"/>
      <c r="AF1321" s="146"/>
      <c r="AG1321" s="146"/>
      <c r="AH1321" s="146"/>
      <c r="AI1321" s="146"/>
      <c r="AJ1321" s="146"/>
      <c r="AK1321" s="146"/>
      <c r="AL1321" s="146">
        <v>686.307789918563</v>
      </c>
      <c r="AM1321" s="146">
        <v>0.37993655201624704</v>
      </c>
      <c r="AN1321" s="146">
        <v>4.8422909870077885E-2</v>
      </c>
      <c r="AO1321" s="146">
        <v>195.42829160255513</v>
      </c>
      <c r="AP1321" s="146">
        <v>170.77872724657863</v>
      </c>
      <c r="AQ1321" t="s">
        <v>325</v>
      </c>
      <c r="AR1321">
        <f t="shared" si="74"/>
        <v>4.8813386259591285</v>
      </c>
      <c r="AS1321">
        <f t="shared" si="75"/>
        <v>1.3321822791215501</v>
      </c>
      <c r="AT1321">
        <v>0.1</v>
      </c>
      <c r="AU1321">
        <v>1</v>
      </c>
      <c r="AV1321">
        <v>0.2</v>
      </c>
      <c r="AW1321" s="146">
        <v>3</v>
      </c>
      <c r="AX1321">
        <v>0.14370676759988804</v>
      </c>
      <c r="AY1321">
        <v>0.08</v>
      </c>
      <c r="AZ1321" s="209">
        <v>170.77872724657863</v>
      </c>
      <c r="BA1321">
        <v>0.14370676759988804</v>
      </c>
      <c r="BB1321" s="249">
        <v>45.882336557575314</v>
      </c>
      <c r="BC1321" s="243">
        <v>118.20624165322742</v>
      </c>
      <c r="BD1321" s="209">
        <v>62479.362160144876</v>
      </c>
      <c r="BE1321" s="243">
        <v>54.326113004760714</v>
      </c>
      <c r="BF1321">
        <v>658319.26025490207</v>
      </c>
      <c r="BG1321" t="s">
        <v>390</v>
      </c>
      <c r="BH1321">
        <v>3.6656082907257043E-6</v>
      </c>
      <c r="BI1321">
        <v>1824793.6216014489</v>
      </c>
      <c r="BJ1321">
        <f t="shared" si="76"/>
        <v>0.36076367895080513</v>
      </c>
    </row>
    <row r="1322" spans="1:62" s="160" customFormat="1" ht="15" thickBot="1" x14ac:dyDescent="0.35">
      <c r="A1322" s="160">
        <v>-0.87</v>
      </c>
      <c r="B1322" s="160">
        <v>1000</v>
      </c>
      <c r="C1322" s="160">
        <v>25</v>
      </c>
      <c r="D1322" s="160">
        <v>400</v>
      </c>
      <c r="E1322" s="250">
        <v>3.4929059759023784</v>
      </c>
      <c r="F1322" s="160">
        <v>1.0800907924635359</v>
      </c>
      <c r="G1322" s="160">
        <v>4.1421531606868287</v>
      </c>
      <c r="H1322" s="160">
        <v>1.0684155820500216</v>
      </c>
      <c r="J1322" s="160">
        <v>0.24436732457847671</v>
      </c>
      <c r="K1322" s="160">
        <v>0.08</v>
      </c>
      <c r="L1322" s="160">
        <v>21.832447322188468</v>
      </c>
      <c r="M1322" s="160">
        <v>12.195236242639334</v>
      </c>
      <c r="N1322" s="160">
        <v>0.38493141266185127</v>
      </c>
      <c r="Z1322" s="160">
        <v>0.36028247727655227</v>
      </c>
      <c r="AL1322" s="160">
        <v>500.7725496639539</v>
      </c>
      <c r="AM1322" s="160">
        <v>0.26075587998886096</v>
      </c>
      <c r="AN1322" s="160">
        <v>4.2082418394867621E-2</v>
      </c>
      <c r="AO1322" s="160">
        <v>316.99844949195284</v>
      </c>
      <c r="AP1322" s="160">
        <v>308.30684333302827</v>
      </c>
      <c r="AQ1322" s="160" t="s">
        <v>325</v>
      </c>
      <c r="AR1322" s="160">
        <f t="shared" si="74"/>
        <v>4.8813386259591285</v>
      </c>
      <c r="AS1322" s="160">
        <f t="shared" si="75"/>
        <v>1.3321822791215501</v>
      </c>
      <c r="AT1322" s="160">
        <v>0.1</v>
      </c>
      <c r="AU1322" s="160">
        <v>1</v>
      </c>
      <c r="AV1322" s="160">
        <v>0.2</v>
      </c>
      <c r="AW1322" s="160">
        <v>3</v>
      </c>
      <c r="AX1322" s="160">
        <v>0.1668437260564414</v>
      </c>
      <c r="AY1322" s="160">
        <v>0.08</v>
      </c>
      <c r="AZ1322" s="248">
        <v>308.30684333302827</v>
      </c>
      <c r="BA1322" s="160">
        <v>0.1668437260564414</v>
      </c>
      <c r="BB1322" s="250">
        <v>11.610819865263984</v>
      </c>
      <c r="BC1322" s="246">
        <v>29.982577650189761</v>
      </c>
      <c r="BD1322" s="248">
        <v>12186.801656449274</v>
      </c>
      <c r="BE1322" s="246">
        <v>13.698137770883154</v>
      </c>
      <c r="BF1322" s="160">
        <v>832606.11369218095</v>
      </c>
      <c r="BG1322" s="254" t="s">
        <v>390</v>
      </c>
      <c r="BH1322" s="160">
        <v>1.2408882485906303E-6</v>
      </c>
      <c r="BI1322" s="160">
        <v>1321868.0165644928</v>
      </c>
      <c r="BJ1322">
        <f t="shared" si="76"/>
        <v>0.62987083676939759</v>
      </c>
    </row>
    <row r="1323" spans="1:62" x14ac:dyDescent="0.3">
      <c r="A1323">
        <v>-0.1</v>
      </c>
      <c r="B1323" s="146">
        <v>100</v>
      </c>
      <c r="C1323" s="146">
        <v>25</v>
      </c>
      <c r="D1323" s="146">
        <v>400</v>
      </c>
      <c r="E1323" s="249">
        <v>3.1127888499999918</v>
      </c>
      <c r="F1323">
        <v>0.38526478946731763</v>
      </c>
      <c r="G1323">
        <v>3.5077536385646897</v>
      </c>
      <c r="H1323">
        <v>4.2990793330580583</v>
      </c>
      <c r="J1323">
        <v>0.91271162563344843</v>
      </c>
      <c r="K1323">
        <v>0.36</v>
      </c>
      <c r="L1323">
        <v>21.648647668150549</v>
      </c>
      <c r="M1323">
        <v>7.9851569267768427</v>
      </c>
      <c r="N1323">
        <v>1.2815207731679457</v>
      </c>
      <c r="Z1323">
        <v>0.2980919108223023</v>
      </c>
      <c r="AL1323">
        <v>1015.3170240412413</v>
      </c>
      <c r="AM1323">
        <v>0.10983233977200324</v>
      </c>
      <c r="AN1323">
        <v>0.17588794123171567</v>
      </c>
      <c r="AO1323">
        <v>382.30243171759463</v>
      </c>
      <c r="AP1323">
        <v>374.55663745726844</v>
      </c>
      <c r="AQ1323" t="s">
        <v>303</v>
      </c>
      <c r="AR1323">
        <f t="shared" ref="AR1323:AR1362" si="77">0.6*Jsat_t</f>
        <v>19.525354503836514</v>
      </c>
      <c r="AS1323">
        <f t="shared" ref="AS1323:AS1362" si="78">0.2*Jatp</f>
        <v>5.3287291164862003</v>
      </c>
      <c r="AT1323">
        <v>0.4</v>
      </c>
      <c r="AU1323">
        <v>1</v>
      </c>
      <c r="AV1323">
        <v>0.5</v>
      </c>
      <c r="AW1323">
        <v>3</v>
      </c>
      <c r="AX1323">
        <v>0.86949034222224075</v>
      </c>
      <c r="AY1323">
        <v>0.36</v>
      </c>
      <c r="AZ1323" s="209">
        <v>374.55663745726844</v>
      </c>
      <c r="BA1323">
        <v>0.86949034222224075</v>
      </c>
      <c r="BB1323" s="249">
        <v>6.0071602464545331</v>
      </c>
      <c r="BC1323" s="243">
        <v>70.526966637612205</v>
      </c>
      <c r="BD1323" s="209">
        <v>24011.977591125553</v>
      </c>
      <c r="BE1323" s="243">
        <v>10.405990894803496</v>
      </c>
      <c r="BF1323">
        <v>16643.122820631368</v>
      </c>
      <c r="BG1323" t="s">
        <v>387</v>
      </c>
      <c r="BH1323">
        <v>1.9314532804571615E-6</v>
      </c>
      <c r="BI1323">
        <v>1440119.7759112555</v>
      </c>
      <c r="BJ1323">
        <f t="shared" si="76"/>
        <v>1.1556762915848583E-2</v>
      </c>
    </row>
    <row r="1324" spans="1:62" s="146" customFormat="1" x14ac:dyDescent="0.3">
      <c r="A1324">
        <v>-0.1</v>
      </c>
      <c r="B1324" s="146">
        <v>200</v>
      </c>
      <c r="C1324" s="146">
        <v>25</v>
      </c>
      <c r="D1324" s="146">
        <v>400</v>
      </c>
      <c r="E1324" s="252">
        <v>5.9268983066971854</v>
      </c>
      <c r="F1324" s="146">
        <v>0.58722542984940651</v>
      </c>
      <c r="G1324" s="146">
        <v>6.5147332298789555</v>
      </c>
      <c r="H1324" s="146">
        <v>7.9438378567435866</v>
      </c>
      <c r="J1324" s="146">
        <v>0.97927994364285154</v>
      </c>
      <c r="K1324" s="146">
        <v>0.36</v>
      </c>
      <c r="L1324" s="146">
        <v>40.09760170567175</v>
      </c>
      <c r="M1324" s="146">
        <v>14.790098989796956</v>
      </c>
      <c r="N1324" s="146">
        <v>1.945415744517069</v>
      </c>
      <c r="Z1324" s="146">
        <v>0.24489620503338827</v>
      </c>
      <c r="AL1324" s="146">
        <v>1328.2105526652506</v>
      </c>
      <c r="AM1324" s="146">
        <v>9.0138062316377804E-2</v>
      </c>
      <c r="AN1324" s="146">
        <v>0.19923009650983486</v>
      </c>
      <c r="AO1324" s="146">
        <v>370.25098913002529</v>
      </c>
      <c r="AP1324" s="146">
        <v>355.5026804067158</v>
      </c>
      <c r="AQ1324" s="146" t="s">
        <v>303</v>
      </c>
      <c r="AR1324" s="146">
        <f t="shared" si="77"/>
        <v>19.525354503836514</v>
      </c>
      <c r="AS1324" s="146">
        <f t="shared" si="78"/>
        <v>5.3287291164862003</v>
      </c>
      <c r="AT1324" s="146">
        <v>0.4</v>
      </c>
      <c r="AU1324" s="146">
        <v>1</v>
      </c>
      <c r="AV1324" s="146">
        <v>0.5</v>
      </c>
      <c r="AW1324" s="146">
        <v>3</v>
      </c>
      <c r="AX1324" s="146">
        <v>0.96991521996515417</v>
      </c>
      <c r="AY1324" s="146">
        <v>0.36</v>
      </c>
      <c r="AZ1324" s="209">
        <v>355.5026804067158</v>
      </c>
      <c r="BA1324" s="146">
        <v>0.96991521996515417</v>
      </c>
      <c r="BB1324" s="252">
        <v>10.066296536957134</v>
      </c>
      <c r="BC1324" s="244">
        <v>102.57358990497264</v>
      </c>
      <c r="BD1324" s="229">
        <v>37588.188839049908</v>
      </c>
      <c r="BE1324" s="244">
        <v>15.115293397854368</v>
      </c>
      <c r="BF1324" s="146">
        <v>47027.155373079906</v>
      </c>
      <c r="BG1324" t="s">
        <v>387</v>
      </c>
      <c r="BH1324" s="146">
        <v>3.4384986105953528E-6</v>
      </c>
      <c r="BI1324" s="146">
        <v>1575881.8883904992</v>
      </c>
      <c r="BJ1324">
        <f t="shared" si="76"/>
        <v>2.9841802053522114E-2</v>
      </c>
    </row>
    <row r="1325" spans="1:62" s="146" customFormat="1" x14ac:dyDescent="0.3">
      <c r="A1325">
        <v>-0.1</v>
      </c>
      <c r="B1325" s="146">
        <v>300</v>
      </c>
      <c r="C1325" s="146">
        <v>25</v>
      </c>
      <c r="D1325" s="146">
        <v>400</v>
      </c>
      <c r="E1325" s="252">
        <v>8.4196804257681688</v>
      </c>
      <c r="F1325" s="146">
        <v>0.73134587977712739</v>
      </c>
      <c r="G1325" s="146">
        <v>9.1463259267217776</v>
      </c>
      <c r="H1325" s="146">
        <v>11.14743948243113</v>
      </c>
      <c r="J1325" s="146">
        <v>0.99999999928676853</v>
      </c>
      <c r="K1325" s="146">
        <v>0.36</v>
      </c>
      <c r="L1325" s="146">
        <v>56.370634196773729</v>
      </c>
      <c r="M1325" s="146">
        <v>20.79244703979359</v>
      </c>
      <c r="N1325" s="146">
        <v>2.5472727794776002</v>
      </c>
      <c r="Z1325" s="146">
        <v>0.22850743289454206</v>
      </c>
      <c r="AL1325" s="146">
        <v>1613.1106338757654</v>
      </c>
      <c r="AM1325" s="146">
        <v>7.9960618683009924E-2</v>
      </c>
      <c r="AN1325" s="146">
        <v>0.21275616223689214</v>
      </c>
      <c r="AO1325" s="146">
        <v>360.42568009666707</v>
      </c>
      <c r="AP1325" s="146">
        <v>339.47424413696649</v>
      </c>
      <c r="AQ1325" s="146" t="s">
        <v>303</v>
      </c>
      <c r="AR1325" s="146">
        <f t="shared" si="77"/>
        <v>19.525354503836514</v>
      </c>
      <c r="AS1325" s="146">
        <f t="shared" si="78"/>
        <v>5.3287291164862003</v>
      </c>
      <c r="AT1325" s="146">
        <v>0.4</v>
      </c>
      <c r="AU1325" s="146">
        <v>1</v>
      </c>
      <c r="AV1325" s="146">
        <v>0.5</v>
      </c>
      <c r="AW1325" s="146">
        <v>3</v>
      </c>
      <c r="AX1325" s="146">
        <v>0.99999999900000003</v>
      </c>
      <c r="AY1325" s="146">
        <v>0.36</v>
      </c>
      <c r="AZ1325" s="209">
        <v>339.47424413696649</v>
      </c>
      <c r="BA1325" s="146">
        <v>0.99999999900000003</v>
      </c>
      <c r="BB1325" s="252">
        <v>13.339492398514952</v>
      </c>
      <c r="BC1325" s="244">
        <v>125.47029480279559</v>
      </c>
      <c r="BD1325" s="229">
        <v>48297.349179533077</v>
      </c>
      <c r="BE1325" s="244">
        <v>18.918729623222699</v>
      </c>
      <c r="BF1325" s="146">
        <v>82494.604869242015</v>
      </c>
      <c r="BG1325" t="s">
        <v>387</v>
      </c>
      <c r="BH1325" s="146">
        <v>4.5472865464576127E-6</v>
      </c>
      <c r="BI1325" s="146">
        <v>1682973.4917953308</v>
      </c>
      <c r="BJ1325">
        <f t="shared" si="76"/>
        <v>4.9017174228478178E-2</v>
      </c>
    </row>
    <row r="1326" spans="1:62" s="146" customFormat="1" x14ac:dyDescent="0.3">
      <c r="A1326">
        <v>-0.1</v>
      </c>
      <c r="B1326" s="146">
        <v>400</v>
      </c>
      <c r="C1326" s="146">
        <v>25</v>
      </c>
      <c r="D1326" s="146">
        <v>400</v>
      </c>
      <c r="E1326" s="252">
        <v>10.647715753670457</v>
      </c>
      <c r="F1326" s="146">
        <v>0.84210974507172576</v>
      </c>
      <c r="G1326" s="146">
        <v>11.483388256926588</v>
      </c>
      <c r="H1326" s="146">
        <v>14.001636289280267</v>
      </c>
      <c r="J1326" s="146">
        <v>0.99999999926132332</v>
      </c>
      <c r="K1326" s="146">
        <v>0.36</v>
      </c>
      <c r="L1326" s="146">
        <v>70.910910212353613</v>
      </c>
      <c r="M1326" s="146">
        <v>26.155663602917318</v>
      </c>
      <c r="N1326" s="146">
        <v>3.1466117243299614</v>
      </c>
      <c r="Z1326" s="146">
        <v>0.22473171415965329</v>
      </c>
      <c r="AL1326" s="146">
        <v>1898.8473867037128</v>
      </c>
      <c r="AM1326" s="146">
        <v>7.3332863631409409E-2</v>
      </c>
      <c r="AN1326" s="146">
        <v>0.2219977810442646</v>
      </c>
      <c r="AO1326" s="146">
        <v>352.03683701889167</v>
      </c>
      <c r="AP1326" s="146">
        <v>325.54152453873189</v>
      </c>
      <c r="AQ1326" s="146" t="s">
        <v>303</v>
      </c>
      <c r="AR1326" s="146">
        <f t="shared" si="77"/>
        <v>19.525354503836514</v>
      </c>
      <c r="AS1326" s="146">
        <f t="shared" si="78"/>
        <v>5.3287291164862003</v>
      </c>
      <c r="AT1326" s="146">
        <v>0.4</v>
      </c>
      <c r="AU1326" s="146">
        <v>1</v>
      </c>
      <c r="AV1326" s="146">
        <v>0.5</v>
      </c>
      <c r="AW1326" s="146">
        <v>3</v>
      </c>
      <c r="AX1326" s="146">
        <v>0.99999999900000003</v>
      </c>
      <c r="AY1326" s="146">
        <v>0.36</v>
      </c>
      <c r="AZ1326" s="209">
        <v>325.54152453873189</v>
      </c>
      <c r="BA1326" s="146">
        <v>0.99999999900000003</v>
      </c>
      <c r="BB1326" s="252">
        <v>16.136648383460518</v>
      </c>
      <c r="BC1326" s="244">
        <v>143.52235670190049</v>
      </c>
      <c r="BD1326" s="229">
        <v>57372.802102280642</v>
      </c>
      <c r="BE1326" s="244">
        <v>22.324695586207127</v>
      </c>
      <c r="BF1326" s="146">
        <v>120441.91939728543</v>
      </c>
      <c r="BG1326" t="s">
        <v>387</v>
      </c>
      <c r="BH1326" s="146">
        <v>5.3916363672572004E-6</v>
      </c>
      <c r="BI1326" s="146">
        <v>1773728.0210228064</v>
      </c>
      <c r="BJ1326">
        <f t="shared" si="76"/>
        <v>6.7903262489946756E-2</v>
      </c>
    </row>
    <row r="1327" spans="1:62" s="146" customFormat="1" x14ac:dyDescent="0.3">
      <c r="A1327">
        <v>-0.1</v>
      </c>
      <c r="B1327" s="146">
        <v>600</v>
      </c>
      <c r="C1327" s="146">
        <v>25</v>
      </c>
      <c r="D1327" s="146">
        <v>400</v>
      </c>
      <c r="E1327" s="252">
        <v>14.434020608775326</v>
      </c>
      <c r="F1327" s="146">
        <v>1.0106384500666552</v>
      </c>
      <c r="G1327" s="146">
        <v>15.435771204008512</v>
      </c>
      <c r="H1327" s="146">
        <v>18.863084951485106</v>
      </c>
      <c r="J1327" s="146">
        <v>0.99999999922840788</v>
      </c>
      <c r="K1327" s="146">
        <v>0.36</v>
      </c>
      <c r="L1327" s="146">
        <v>95.76936003906593</v>
      </c>
      <c r="M1327" s="146">
        <v>35.324763948835795</v>
      </c>
      <c r="N1327" s="146">
        <v>4.1808486628219281</v>
      </c>
      <c r="Z1327" s="146">
        <v>0.22164182972058166</v>
      </c>
      <c r="AL1327" s="146">
        <v>2392.8170605644514</v>
      </c>
      <c r="AM1327" s="146">
        <v>6.5473790503204843E-2</v>
      </c>
      <c r="AN1327" s="146">
        <v>0.23397559171833721</v>
      </c>
      <c r="AO1327" s="146">
        <v>338.30971639917391</v>
      </c>
      <c r="AP1327" s="146">
        <v>302.39272915348585</v>
      </c>
      <c r="AQ1327" s="146" t="s">
        <v>303</v>
      </c>
      <c r="AR1327" s="146">
        <f t="shared" si="77"/>
        <v>19.525354503836514</v>
      </c>
      <c r="AS1327" s="146">
        <f t="shared" si="78"/>
        <v>5.3287291164862003</v>
      </c>
      <c r="AT1327" s="146">
        <v>0.4</v>
      </c>
      <c r="AU1327" s="146">
        <v>1</v>
      </c>
      <c r="AV1327" s="146">
        <v>0.5</v>
      </c>
      <c r="AW1327" s="146">
        <v>3</v>
      </c>
      <c r="AX1327" s="146">
        <v>0.99999999900000003</v>
      </c>
      <c r="AY1327" s="146">
        <v>0.36</v>
      </c>
      <c r="AZ1327" s="209">
        <v>302.39272915348585</v>
      </c>
      <c r="BA1327" s="146">
        <v>0.99999999900000003</v>
      </c>
      <c r="BB1327" s="252">
        <v>20.726834266033205</v>
      </c>
      <c r="BC1327" s="244">
        <v>170.7565067912611</v>
      </c>
      <c r="BD1327" s="229">
        <v>71853.327489854084</v>
      </c>
      <c r="BE1327" s="244">
        <v>27.816041288682491</v>
      </c>
      <c r="BF1327" s="146">
        <v>197686.9354454515</v>
      </c>
      <c r="BG1327" t="s">
        <v>387</v>
      </c>
      <c r="BH1327" s="146">
        <v>6.5770672614624493E-6</v>
      </c>
      <c r="BI1327" s="146">
        <v>1918533.2748985407</v>
      </c>
      <c r="BJ1327">
        <f t="shared" si="76"/>
        <v>0.10304066029603054</v>
      </c>
    </row>
    <row r="1328" spans="1:62" s="146" customFormat="1" x14ac:dyDescent="0.3">
      <c r="A1328">
        <v>-0.1</v>
      </c>
      <c r="B1328" s="146">
        <v>800</v>
      </c>
      <c r="C1328" s="146">
        <v>25</v>
      </c>
      <c r="D1328" s="146">
        <v>400</v>
      </c>
      <c r="E1328" s="252">
        <v>17.474909154722948</v>
      </c>
      <c r="F1328" s="146">
        <v>1.1331310510425547</v>
      </c>
      <c r="G1328" s="146">
        <v>18.596362793771409</v>
      </c>
      <c r="H1328" s="146">
        <v>22.784830871442487</v>
      </c>
      <c r="J1328" s="146">
        <v>0.9999999992079367</v>
      </c>
      <c r="K1328" s="146">
        <v>0.36</v>
      </c>
      <c r="L1328" s="146">
        <v>115.91836859773065</v>
      </c>
      <c r="M1328" s="146">
        <v>42.756775302441632</v>
      </c>
      <c r="N1328" s="146">
        <v>5.0324776659727171</v>
      </c>
      <c r="Z1328" s="146">
        <v>0.22086965202275013</v>
      </c>
      <c r="AL1328" s="146">
        <v>2800.4541644502606</v>
      </c>
      <c r="AM1328" s="146">
        <v>6.0932939608065784E-2</v>
      </c>
      <c r="AN1328" s="146">
        <v>0.24169717187883841</v>
      </c>
      <c r="AO1328" s="146">
        <v>327.69915750821019</v>
      </c>
      <c r="AP1328" s="146">
        <v>284.21533146390158</v>
      </c>
      <c r="AQ1328" s="146" t="s">
        <v>303</v>
      </c>
      <c r="AR1328" s="146">
        <f t="shared" si="77"/>
        <v>19.525354503836514</v>
      </c>
      <c r="AS1328" s="146">
        <f t="shared" si="78"/>
        <v>5.3287291164862003</v>
      </c>
      <c r="AT1328" s="146">
        <v>0.4</v>
      </c>
      <c r="AU1328" s="146">
        <v>1</v>
      </c>
      <c r="AV1328" s="146">
        <v>0.5</v>
      </c>
      <c r="AW1328" s="146">
        <v>3</v>
      </c>
      <c r="AX1328" s="146">
        <v>0.99999999900000003</v>
      </c>
      <c r="AY1328" s="146">
        <v>0.36</v>
      </c>
      <c r="AZ1328" s="209">
        <v>284.21533146390158</v>
      </c>
      <c r="BA1328" s="146">
        <v>0.99999999900000003</v>
      </c>
      <c r="BB1328" s="252">
        <v>24.313350814810761</v>
      </c>
      <c r="BC1328" s="244">
        <v>189.95105778017614</v>
      </c>
      <c r="BD1328" s="229">
        <v>82616.805671997208</v>
      </c>
      <c r="BE1328" s="244">
        <v>32.00418763069765</v>
      </c>
      <c r="BF1328" s="146">
        <v>271087.73160615319</v>
      </c>
      <c r="BG1328" t="s">
        <v>387</v>
      </c>
      <c r="BH1328" s="146">
        <v>7.3517935942522251E-6</v>
      </c>
      <c r="BI1328" s="146">
        <v>2026168.0567199721</v>
      </c>
      <c r="BJ1328">
        <f t="shared" si="76"/>
        <v>0.13379331033626055</v>
      </c>
    </row>
    <row r="1329" spans="1:62" s="146" customFormat="1" x14ac:dyDescent="0.3">
      <c r="A1329">
        <v>-0.1</v>
      </c>
      <c r="B1329" s="146">
        <v>1000</v>
      </c>
      <c r="C1329" s="146">
        <v>25</v>
      </c>
      <c r="D1329" s="146">
        <v>400</v>
      </c>
      <c r="E1329" s="252">
        <v>19.89998860570098</v>
      </c>
      <c r="F1329" s="146">
        <v>1.2241657820557557</v>
      </c>
      <c r="G1329" s="146">
        <v>21.108968505166434</v>
      </c>
      <c r="H1329" s="146">
        <v>25.927293722257939</v>
      </c>
      <c r="J1329" s="146">
        <v>0.99999999919405813</v>
      </c>
      <c r="K1329" s="146">
        <v>0.36</v>
      </c>
      <c r="L1329" s="146">
        <v>132.13909533597663</v>
      </c>
      <c r="M1329" s="146">
        <v>48.739830246876629</v>
      </c>
      <c r="N1329" s="146">
        <v>5.7288566189295338</v>
      </c>
      <c r="Z1329" s="146">
        <v>0.22095852657431239</v>
      </c>
      <c r="AL1329" s="146">
        <v>3134.4095467550992</v>
      </c>
      <c r="AM1329" s="146">
        <v>5.7992685988239562E-2</v>
      </c>
      <c r="AN1329" s="146">
        <v>0.24720329875893718</v>
      </c>
      <c r="AO1329" s="146">
        <v>319.49950220888172</v>
      </c>
      <c r="AP1329" s="146">
        <v>269.98123729033131</v>
      </c>
      <c r="AQ1329" s="146" t="s">
        <v>303</v>
      </c>
      <c r="AR1329" s="146">
        <f t="shared" si="77"/>
        <v>19.525354503836514</v>
      </c>
      <c r="AS1329" s="146">
        <f t="shared" si="78"/>
        <v>5.3287291164862003</v>
      </c>
      <c r="AT1329" s="146">
        <v>0.4</v>
      </c>
      <c r="AU1329" s="146">
        <v>1</v>
      </c>
      <c r="AV1329" s="146">
        <v>0.5</v>
      </c>
      <c r="AW1329" s="146">
        <v>3</v>
      </c>
      <c r="AX1329" s="146">
        <v>0.99999999900000003</v>
      </c>
      <c r="AY1329" s="146">
        <v>0.36</v>
      </c>
      <c r="AZ1329" s="209">
        <v>269.98123729033131</v>
      </c>
      <c r="BA1329" s="146">
        <v>0.99999999900000003</v>
      </c>
      <c r="BB1329" s="252">
        <v>27.125479798719454</v>
      </c>
      <c r="BC1329" s="244">
        <v>203.54977252470613</v>
      </c>
      <c r="BD1329" s="229">
        <v>90551.851439785532</v>
      </c>
      <c r="BE1329" s="244">
        <v>35.209030850324346</v>
      </c>
      <c r="BF1329" s="146">
        <v>336701.10358435486</v>
      </c>
      <c r="BG1329" t="s">
        <v>387</v>
      </c>
      <c r="BH1329" s="146">
        <v>7.883982815738768E-6</v>
      </c>
      <c r="BI1329" s="146">
        <v>2105518.5143978554</v>
      </c>
      <c r="BJ1329">
        <f t="shared" si="76"/>
        <v>0.15991362758481656</v>
      </c>
    </row>
    <row r="1330" spans="1:62" s="146" customFormat="1" x14ac:dyDescent="0.3">
      <c r="A1330">
        <v>-0.1</v>
      </c>
      <c r="B1330" s="146">
        <v>1300</v>
      </c>
      <c r="C1330" s="146">
        <v>25</v>
      </c>
      <c r="D1330" s="146">
        <v>400</v>
      </c>
      <c r="E1330" s="252">
        <v>22.625250434812518</v>
      </c>
      <c r="F1330" s="146">
        <v>1.3199306818780097</v>
      </c>
      <c r="G1330" s="146">
        <v>23.923983267568925</v>
      </c>
      <c r="H1330" s="146">
        <v>29.478482697563233</v>
      </c>
      <c r="J1330" s="146">
        <v>0.99999999918021465</v>
      </c>
      <c r="K1330" s="146">
        <v>0.36</v>
      </c>
      <c r="L1330" s="146">
        <v>150.57312419415476</v>
      </c>
      <c r="M1330" s="146">
        <v>55.53926712079479</v>
      </c>
      <c r="N1330" s="146">
        <v>6.5338485240077624</v>
      </c>
      <c r="Z1330" s="146">
        <v>0.22164806075815655</v>
      </c>
      <c r="AL1330" s="146">
        <v>3521.2092105411243</v>
      </c>
      <c r="AM1330" s="146">
        <v>5.5171861103384588E-2</v>
      </c>
      <c r="AN1330" s="146">
        <v>0.25303558391345904</v>
      </c>
      <c r="AO1330" s="146">
        <v>310.58470873981662</v>
      </c>
      <c r="AP1330" s="146">
        <v>254.28494853724234</v>
      </c>
      <c r="AQ1330" s="146" t="s">
        <v>303</v>
      </c>
      <c r="AR1330" s="146">
        <f t="shared" si="77"/>
        <v>19.525354503836514</v>
      </c>
      <c r="AS1330" s="146">
        <f t="shared" si="78"/>
        <v>5.3287291164862003</v>
      </c>
      <c r="AT1330" s="146">
        <v>0.4</v>
      </c>
      <c r="AU1330" s="146">
        <v>1</v>
      </c>
      <c r="AV1330" s="146">
        <v>0.5</v>
      </c>
      <c r="AW1330" s="146">
        <v>3</v>
      </c>
      <c r="AX1330" s="146">
        <v>0.99999999900000003</v>
      </c>
      <c r="AY1330" s="146">
        <v>0.36</v>
      </c>
      <c r="AZ1330" s="209">
        <v>254.28494853724234</v>
      </c>
      <c r="BA1330" s="146">
        <v>0.99999999900000003</v>
      </c>
      <c r="BB1330" s="252">
        <v>30.241275554459918</v>
      </c>
      <c r="BC1330" s="244">
        <v>216.84531987174572</v>
      </c>
      <c r="BD1330" s="229">
        <v>98633.799530859076</v>
      </c>
      <c r="BE1330" s="244">
        <v>38.661676855214502</v>
      </c>
      <c r="BF1330" s="146">
        <v>417568.01927342295</v>
      </c>
      <c r="BG1330" t="s">
        <v>387</v>
      </c>
      <c r="BH1330" s="146">
        <v>8.414130169652905E-6</v>
      </c>
      <c r="BI1330" s="146">
        <v>2186337.9953085911</v>
      </c>
      <c r="BJ1330">
        <f t="shared" si="76"/>
        <v>0.19098969151587436</v>
      </c>
    </row>
    <row r="1331" spans="1:62" s="146" customFormat="1" x14ac:dyDescent="0.3">
      <c r="A1331">
        <v>-0.1</v>
      </c>
      <c r="B1331" s="227">
        <v>1600</v>
      </c>
      <c r="C1331" s="146">
        <v>25</v>
      </c>
      <c r="D1331" s="146">
        <v>400</v>
      </c>
      <c r="E1331" s="252">
        <v>24.546852463984187</v>
      </c>
      <c r="F1331" s="146">
        <v>1.3833086575503788</v>
      </c>
      <c r="G1331" s="146">
        <v>25.902967986259746</v>
      </c>
      <c r="H1331" s="146">
        <v>31.997572097712904</v>
      </c>
      <c r="J1331" s="146">
        <v>0.99999999917121507</v>
      </c>
      <c r="K1331" s="146">
        <v>0.36</v>
      </c>
      <c r="L1331" s="146">
        <v>163.73583512619109</v>
      </c>
      <c r="M1331" s="146">
        <v>60.394365415398354</v>
      </c>
      <c r="N1331" s="146">
        <v>7.1184890445041731</v>
      </c>
      <c r="Z1331" s="146">
        <v>0.22246966184703065</v>
      </c>
      <c r="AL1331" s="146">
        <v>3802.6729428270096</v>
      </c>
      <c r="AM1331" s="146">
        <v>5.3403480955701917E-2</v>
      </c>
      <c r="AN1331" s="146">
        <v>0.25706137303429072</v>
      </c>
      <c r="AO1331" s="146">
        <v>304.50975899553077</v>
      </c>
      <c r="AP1331" s="146">
        <v>243.42842057492226</v>
      </c>
      <c r="AQ1331" s="146" t="s">
        <v>303</v>
      </c>
      <c r="AR1331" s="146">
        <f t="shared" si="77"/>
        <v>19.525354503836514</v>
      </c>
      <c r="AS1331" s="146">
        <f t="shared" si="78"/>
        <v>5.3287291164862003</v>
      </c>
      <c r="AT1331" s="146">
        <v>0.4</v>
      </c>
      <c r="AU1331" s="146">
        <v>1</v>
      </c>
      <c r="AV1331" s="146">
        <v>0.5</v>
      </c>
      <c r="AW1331" s="146">
        <v>3</v>
      </c>
      <c r="AX1331" s="146">
        <v>0.99999999900000003</v>
      </c>
      <c r="AY1331" s="146">
        <v>0.36</v>
      </c>
      <c r="AZ1331" s="209">
        <v>243.42842057492226</v>
      </c>
      <c r="BA1331" s="146">
        <v>0.99999999900000003</v>
      </c>
      <c r="BB1331" s="252">
        <v>32.411335229157359</v>
      </c>
      <c r="BC1331" s="244">
        <v>224.78880159148397</v>
      </c>
      <c r="BD1331" s="229">
        <v>103694.13203554583</v>
      </c>
      <c r="BE1331" s="244">
        <v>40.995675808664117</v>
      </c>
      <c r="BF1331" s="146">
        <v>478728.99355874246</v>
      </c>
      <c r="BG1331" t="s">
        <v>387</v>
      </c>
      <c r="BH1331" s="146">
        <v>8.7567004785883319E-6</v>
      </c>
      <c r="BI1331" s="146">
        <v>2236941.3203554582</v>
      </c>
      <c r="BJ1331">
        <f t="shared" si="76"/>
        <v>0.21401052821656968</v>
      </c>
    </row>
    <row r="1332" spans="1:62" s="140" customFormat="1" x14ac:dyDescent="0.3">
      <c r="A1332" s="140">
        <v>-0.1</v>
      </c>
      <c r="B1332" s="140">
        <v>1900</v>
      </c>
      <c r="C1332" s="140">
        <v>25</v>
      </c>
      <c r="D1332" s="140">
        <v>400</v>
      </c>
      <c r="E1332" s="253">
        <v>25.922742035893894</v>
      </c>
      <c r="F1332" s="140">
        <v>1.426528841800339</v>
      </c>
      <c r="G1332" s="140">
        <v>27.316659877543362</v>
      </c>
      <c r="H1332" s="140">
        <v>33.810180605710904</v>
      </c>
      <c r="J1332" s="140">
        <v>0.99999999916502513</v>
      </c>
      <c r="K1332" s="140">
        <v>0.36</v>
      </c>
      <c r="L1332" s="140">
        <v>173.2639618460764</v>
      </c>
      <c r="M1332" s="140">
        <v>63.908838385847851</v>
      </c>
      <c r="N1332" s="140">
        <v>7.5471118672031174</v>
      </c>
      <c r="Z1332" s="140">
        <v>0.2232200991534582</v>
      </c>
      <c r="AL1332" s="140">
        <v>4009.3294267462825</v>
      </c>
      <c r="AM1332" s="140">
        <v>5.2221935192489188E-2</v>
      </c>
      <c r="AN1332" s="140">
        <v>0.25995142046017167</v>
      </c>
      <c r="AO1332" s="140">
        <v>300.27851361610226</v>
      </c>
      <c r="AP1332" s="140">
        <v>235.7734931447213</v>
      </c>
      <c r="AQ1332" s="140" t="s">
        <v>303</v>
      </c>
      <c r="AR1332" s="140">
        <f t="shared" si="77"/>
        <v>19.525354503836514</v>
      </c>
      <c r="AS1332" s="140">
        <f t="shared" si="78"/>
        <v>5.3287291164862003</v>
      </c>
      <c r="AT1332" s="140">
        <v>0.4</v>
      </c>
      <c r="AU1332" s="140">
        <v>1</v>
      </c>
      <c r="AV1332" s="140">
        <v>0.5</v>
      </c>
      <c r="AW1332" s="140">
        <v>3</v>
      </c>
      <c r="AX1332" s="140">
        <v>0.99999999900000003</v>
      </c>
      <c r="AY1332" s="140">
        <v>0.36</v>
      </c>
      <c r="AZ1332" s="209">
        <v>235.7734931447213</v>
      </c>
      <c r="BA1332" s="140">
        <v>0.99999999900000003</v>
      </c>
      <c r="BB1332" s="253">
        <v>33.95152668957563</v>
      </c>
      <c r="BC1332" s="245">
        <v>229.64838485662924</v>
      </c>
      <c r="BD1332" s="210">
        <v>106935.94043373043</v>
      </c>
      <c r="BE1332" s="245">
        <v>42.612983443090378</v>
      </c>
      <c r="BF1332" s="140">
        <v>524337.94175611436</v>
      </c>
      <c r="BG1332" t="s">
        <v>387</v>
      </c>
      <c r="BH1332" s="140">
        <v>8.9914219098624792E-6</v>
      </c>
      <c r="BI1332" s="140">
        <v>2269359.4043373042</v>
      </c>
      <c r="BJ1332">
        <f t="shared" si="76"/>
        <v>0.23105108020967308</v>
      </c>
    </row>
    <row r="1333" spans="1:62" s="146" customFormat="1" x14ac:dyDescent="0.3">
      <c r="A1333">
        <v>-0.1</v>
      </c>
      <c r="B1333" s="146">
        <v>1000</v>
      </c>
      <c r="C1333" s="146">
        <v>25</v>
      </c>
      <c r="D1333" s="146">
        <v>200</v>
      </c>
      <c r="E1333" s="252">
        <v>19.890843365733232</v>
      </c>
      <c r="F1333" s="146">
        <v>1.3499002612967534</v>
      </c>
      <c r="G1333" s="146">
        <v>21.174716493805285</v>
      </c>
      <c r="H1333" s="146">
        <v>25.753795878573328</v>
      </c>
      <c r="J1333" s="146">
        <v>0.99999999917671145</v>
      </c>
      <c r="K1333" s="146">
        <v>0.36</v>
      </c>
      <c r="L1333" s="146">
        <v>133.86519356956478</v>
      </c>
      <c r="M1333" s="146">
        <v>49.376505824839469</v>
      </c>
      <c r="N1333" s="146">
        <v>5.5584910164871495</v>
      </c>
      <c r="Z1333" s="146">
        <v>0.21583191241768399</v>
      </c>
      <c r="AL1333" s="146">
        <v>2851.0893441938283</v>
      </c>
      <c r="AM1333" s="146">
        <v>6.3750570719172089E-2</v>
      </c>
      <c r="AN1333" s="146">
        <v>0.25286902185954052</v>
      </c>
      <c r="AO1333" s="146">
        <v>121.33934311344049</v>
      </c>
      <c r="AP1333" s="146">
        <v>71.843835950253236</v>
      </c>
      <c r="AQ1333" s="146" t="s">
        <v>303</v>
      </c>
      <c r="AR1333" s="146">
        <f t="shared" si="77"/>
        <v>19.525354503836514</v>
      </c>
      <c r="AS1333" s="146">
        <f t="shared" si="78"/>
        <v>5.3287291164862003</v>
      </c>
      <c r="AT1333" s="146">
        <v>0.4</v>
      </c>
      <c r="AU1333" s="146">
        <v>1</v>
      </c>
      <c r="AV1333" s="146">
        <v>0.5</v>
      </c>
      <c r="AW1333" s="146">
        <v>3</v>
      </c>
      <c r="AX1333" s="146">
        <v>0.99999999900000003</v>
      </c>
      <c r="AY1333" s="146">
        <v>0.36</v>
      </c>
      <c r="AZ1333" s="209">
        <v>71.843835950253236</v>
      </c>
      <c r="BA1333" s="146">
        <v>0.99999999900000003</v>
      </c>
      <c r="BB1333" s="252">
        <v>27.809397493104122</v>
      </c>
      <c r="BC1333" s="244">
        <v>207.83226795760513</v>
      </c>
      <c r="BD1333" s="229">
        <v>92755.216023966874</v>
      </c>
      <c r="BE1333" s="244">
        <v>35.736931011864911</v>
      </c>
      <c r="BF1333" s="146">
        <v>342140.66247458605</v>
      </c>
      <c r="BG1333" t="s">
        <v>388</v>
      </c>
      <c r="BH1333" s="146">
        <v>7.7893246406085573E-6</v>
      </c>
      <c r="BI1333" s="146">
        <v>2127552.1602396686</v>
      </c>
      <c r="BJ1333">
        <f t="shared" si="76"/>
        <v>0.16081423001918033</v>
      </c>
    </row>
    <row r="1334" spans="1:62" s="146" customFormat="1" x14ac:dyDescent="0.3">
      <c r="A1334">
        <v>-0.1</v>
      </c>
      <c r="B1334" s="146">
        <v>1000</v>
      </c>
      <c r="C1334" s="146">
        <v>25</v>
      </c>
      <c r="D1334" s="146">
        <v>300</v>
      </c>
      <c r="E1334" s="252">
        <v>19.884196502892021</v>
      </c>
      <c r="F1334" s="146">
        <v>1.2639806071185362</v>
      </c>
      <c r="G1334" s="146">
        <v>21.115756927199723</v>
      </c>
      <c r="H1334" s="146">
        <v>25.914328976256154</v>
      </c>
      <c r="J1334" s="146">
        <v>0.9999999991939863</v>
      </c>
      <c r="K1334" s="146">
        <v>0.36</v>
      </c>
      <c r="L1334" s="146">
        <v>132.53840097548357</v>
      </c>
      <c r="M1334" s="146">
        <v>48.887115113907875</v>
      </c>
      <c r="N1334" s="146">
        <v>5.7303474177057119</v>
      </c>
      <c r="Z1334" s="146">
        <v>0.22112659845277521</v>
      </c>
      <c r="AL1334" s="146">
        <v>3035.5541838403365</v>
      </c>
      <c r="AM1334" s="146">
        <v>5.9859592600745082E-2</v>
      </c>
      <c r="AN1334" s="146">
        <v>0.24811653186351795</v>
      </c>
      <c r="AO1334" s="146">
        <v>219.85944526328552</v>
      </c>
      <c r="AP1334" s="146">
        <v>170.3804749874779</v>
      </c>
      <c r="AQ1334" s="146" t="s">
        <v>303</v>
      </c>
      <c r="AR1334" s="146">
        <f t="shared" si="77"/>
        <v>19.525354503836514</v>
      </c>
      <c r="AS1334" s="146">
        <f t="shared" si="78"/>
        <v>5.3287291164862003</v>
      </c>
      <c r="AT1334" s="146">
        <v>0.4</v>
      </c>
      <c r="AU1334" s="146">
        <v>1</v>
      </c>
      <c r="AV1334" s="146">
        <v>0.5</v>
      </c>
      <c r="AW1334" s="146">
        <v>3</v>
      </c>
      <c r="AX1334" s="146">
        <v>0.99999999900000003</v>
      </c>
      <c r="AY1334" s="146">
        <v>0.36</v>
      </c>
      <c r="AZ1334" s="209">
        <v>170.3804749874779</v>
      </c>
      <c r="BA1334" s="146">
        <v>0.99999999900000003</v>
      </c>
      <c r="BB1334" s="252">
        <v>27.328865059784523</v>
      </c>
      <c r="BC1334" s="244">
        <v>204.53286760761262</v>
      </c>
      <c r="BD1334" s="229">
        <v>91033.714800289381</v>
      </c>
      <c r="BE1334" s="244">
        <v>35.295180691761075</v>
      </c>
      <c r="BF1334" s="146">
        <v>337617.21950868634</v>
      </c>
      <c r="BG1334" t="s">
        <v>388</v>
      </c>
      <c r="BH1334" s="146">
        <v>7.8584189240861403E-6</v>
      </c>
      <c r="BI1334" s="146">
        <v>2110337.1480028937</v>
      </c>
      <c r="BJ1334">
        <f t="shared" si="76"/>
        <v>0.1599825979598514</v>
      </c>
    </row>
    <row r="1335" spans="1:62" s="146" customFormat="1" x14ac:dyDescent="0.3">
      <c r="A1335">
        <v>-0.1</v>
      </c>
      <c r="B1335" s="146">
        <v>1000</v>
      </c>
      <c r="C1335" s="146">
        <v>25</v>
      </c>
      <c r="D1335" s="146">
        <v>400</v>
      </c>
      <c r="E1335" s="252">
        <v>19.900003116976464</v>
      </c>
      <c r="F1335" s="146">
        <v>1.2241663547057624</v>
      </c>
      <c r="G1335" s="146">
        <v>21.10898395280708</v>
      </c>
      <c r="H1335" s="146">
        <v>25.92731287569945</v>
      </c>
      <c r="J1335" s="146">
        <v>0.99999999919405824</v>
      </c>
      <c r="K1335" s="146">
        <v>0.36</v>
      </c>
      <c r="L1335" s="146">
        <v>132.13919195928636</v>
      </c>
      <c r="M1335" s="146">
        <v>48.73986588662202</v>
      </c>
      <c r="N1335" s="146">
        <v>5.7288609360754847</v>
      </c>
      <c r="Z1335" s="146">
        <v>0.22095852985385533</v>
      </c>
      <c r="AL1335" s="146">
        <v>3134.4115386590815</v>
      </c>
      <c r="AM1335" s="146">
        <v>5.7992670677215252E-2</v>
      </c>
      <c r="AN1335" s="146">
        <v>0.24720330873082114</v>
      </c>
      <c r="AO1335" s="146">
        <v>319.49944675438985</v>
      </c>
      <c r="AP1335" s="146">
        <v>269.9810706213421</v>
      </c>
      <c r="AQ1335" s="146" t="s">
        <v>303</v>
      </c>
      <c r="AR1335" s="146">
        <f t="shared" si="77"/>
        <v>19.525354503836514</v>
      </c>
      <c r="AS1335" s="146">
        <f t="shared" si="78"/>
        <v>5.3287291164862003</v>
      </c>
      <c r="AT1335" s="146">
        <v>0.4</v>
      </c>
      <c r="AU1335" s="146">
        <v>1</v>
      </c>
      <c r="AV1335" s="146">
        <v>0.5</v>
      </c>
      <c r="AW1335" s="146">
        <v>3</v>
      </c>
      <c r="AX1335" s="146">
        <v>0.99999999900000003</v>
      </c>
      <c r="AY1335" s="146">
        <v>0.36</v>
      </c>
      <c r="AZ1335" s="209">
        <v>269.9810706213421</v>
      </c>
      <c r="BA1335" s="146">
        <v>0.99999999900000003</v>
      </c>
      <c r="BB1335" s="252">
        <v>27.125497151080534</v>
      </c>
      <c r="BC1335" s="244">
        <v>203.55000986705966</v>
      </c>
      <c r="BD1335" s="229">
        <v>90551.968963813473</v>
      </c>
      <c r="BE1335" s="244">
        <v>35.209053524033983</v>
      </c>
      <c r="BF1335" s="146">
        <v>336701.69962589582</v>
      </c>
      <c r="BG1335" t="s">
        <v>388</v>
      </c>
      <c r="BH1335" s="146">
        <v>7.8839827805703598E-6</v>
      </c>
      <c r="BI1335" s="146">
        <v>2105519.689638135</v>
      </c>
      <c r="BJ1335">
        <f t="shared" si="76"/>
        <v>0.1599138214108855</v>
      </c>
    </row>
    <row r="1336" spans="1:62" s="146" customFormat="1" x14ac:dyDescent="0.3">
      <c r="A1336">
        <v>-0.1</v>
      </c>
      <c r="B1336" s="146">
        <v>1000</v>
      </c>
      <c r="C1336" s="146">
        <v>25</v>
      </c>
      <c r="D1336" s="146">
        <v>500</v>
      </c>
      <c r="E1336" s="252">
        <v>19.916966620932147</v>
      </c>
      <c r="F1336" s="146">
        <v>1.1927686843622576</v>
      </c>
      <c r="G1336" s="146">
        <v>21.108462605487162</v>
      </c>
      <c r="H1336" s="146">
        <v>25.911329053196773</v>
      </c>
      <c r="J1336" s="146">
        <v>0.99999999919188431</v>
      </c>
      <c r="K1336" s="146">
        <v>0.36</v>
      </c>
      <c r="L1336" s="146">
        <v>131.85756283311773</v>
      </c>
      <c r="M1336" s="146">
        <v>48.635986290904079</v>
      </c>
      <c r="N1336" s="146">
        <v>5.6968066191747404</v>
      </c>
      <c r="Z1336" s="146">
        <v>0.21985775440074948</v>
      </c>
      <c r="AL1336" s="146">
        <v>3218.1347032065978</v>
      </c>
      <c r="AM1336" s="146">
        <v>5.6506658332009282E-2</v>
      </c>
      <c r="AN1336" s="146">
        <v>0.24677784639149417</v>
      </c>
      <c r="AO1336" s="146">
        <v>419.29191816782691</v>
      </c>
      <c r="AP1336" s="146">
        <v>369.73139361922551</v>
      </c>
      <c r="AQ1336" s="146" t="s">
        <v>303</v>
      </c>
      <c r="AR1336" s="146">
        <f t="shared" si="77"/>
        <v>19.525354503836514</v>
      </c>
      <c r="AS1336" s="146">
        <f t="shared" si="78"/>
        <v>5.3287291164862003</v>
      </c>
      <c r="AT1336" s="146">
        <v>0.4</v>
      </c>
      <c r="AU1336" s="146">
        <v>1</v>
      </c>
      <c r="AV1336" s="146">
        <v>0.5</v>
      </c>
      <c r="AW1336" s="146">
        <v>3</v>
      </c>
      <c r="AX1336" s="146">
        <v>0.99999999900000003</v>
      </c>
      <c r="AY1336" s="146">
        <v>0.36</v>
      </c>
      <c r="AZ1336" s="209">
        <v>369.73139361922551</v>
      </c>
      <c r="BA1336" s="146">
        <v>0.99999999900000003</v>
      </c>
      <c r="BB1336" s="252">
        <v>26.969703286894465</v>
      </c>
      <c r="BC1336" s="244">
        <v>202.85934027023723</v>
      </c>
      <c r="BD1336" s="229">
        <v>90238.004345334281</v>
      </c>
      <c r="BE1336" s="244">
        <v>35.18531667931687</v>
      </c>
      <c r="BF1336" s="146">
        <v>336236.23630104703</v>
      </c>
      <c r="BG1336" t="s">
        <v>388</v>
      </c>
      <c r="BH1336" s="146">
        <v>7.902978948092301E-6</v>
      </c>
      <c r="BI1336" s="146">
        <v>2102380.0434533427</v>
      </c>
      <c r="BJ1336">
        <f t="shared" si="76"/>
        <v>0.15993123476797738</v>
      </c>
    </row>
    <row r="1337" spans="1:62" s="146" customFormat="1" x14ac:dyDescent="0.3">
      <c r="A1337">
        <v>-0.1</v>
      </c>
      <c r="B1337" s="146">
        <v>1000</v>
      </c>
      <c r="C1337" s="146">
        <v>25</v>
      </c>
      <c r="D1337" s="146">
        <v>600</v>
      </c>
      <c r="E1337" s="252">
        <v>19.934132201181406</v>
      </c>
      <c r="F1337" s="146">
        <v>1.1647417477346138</v>
      </c>
      <c r="G1337" s="146">
        <v>21.110153300501107</v>
      </c>
      <c r="H1337" s="146">
        <v>25.886278929292395</v>
      </c>
      <c r="J1337" s="146">
        <v>0.99999999918904336</v>
      </c>
      <c r="K1337" s="146">
        <v>0.36</v>
      </c>
      <c r="L1337" s="146">
        <v>131.61943968476086</v>
      </c>
      <c r="M1337" s="146">
        <v>48.548153982083925</v>
      </c>
      <c r="N1337" s="146">
        <v>5.6553216247154836</v>
      </c>
      <c r="Z1337" s="146">
        <v>0.21846792426840594</v>
      </c>
      <c r="AL1337" s="146">
        <v>3297.1916718057009</v>
      </c>
      <c r="AM1337" s="146">
        <v>5.5174480789154927E-2</v>
      </c>
      <c r="AN1337" s="146">
        <v>0.24650852430434556</v>
      </c>
      <c r="AO1337" s="146">
        <v>519.13410598097516</v>
      </c>
      <c r="AP1337" s="146">
        <v>469.53085944795993</v>
      </c>
      <c r="AQ1337" s="146" t="s">
        <v>303</v>
      </c>
      <c r="AR1337" s="146">
        <f t="shared" si="77"/>
        <v>19.525354503836514</v>
      </c>
      <c r="AS1337" s="146">
        <f t="shared" si="78"/>
        <v>5.3287291164862003</v>
      </c>
      <c r="AT1337" s="146">
        <v>0.4</v>
      </c>
      <c r="AU1337" s="146">
        <v>1</v>
      </c>
      <c r="AV1337" s="146">
        <v>0.5</v>
      </c>
      <c r="AW1337" s="146">
        <v>3</v>
      </c>
      <c r="AX1337" s="146">
        <v>0.99999999900000003</v>
      </c>
      <c r="AY1337" s="146">
        <v>0.36</v>
      </c>
      <c r="AZ1337" s="209">
        <v>469.53085944795993</v>
      </c>
      <c r="BA1337" s="146">
        <v>0.99999999900000003</v>
      </c>
      <c r="BB1337" s="252">
        <v>26.832712526164759</v>
      </c>
      <c r="BC1337" s="244">
        <v>202.27709855709307</v>
      </c>
      <c r="BD1337" s="229">
        <v>89985.152373096877</v>
      </c>
      <c r="BE1337" s="244">
        <v>35.182991623864588</v>
      </c>
      <c r="BF1337" s="146">
        <v>335929.57524400263</v>
      </c>
      <c r="BG1337" t="s">
        <v>388</v>
      </c>
      <c r="BH1337" s="146">
        <v>7.9195165995787851E-6</v>
      </c>
      <c r="BI1337" s="146">
        <v>2099851.5237309691</v>
      </c>
      <c r="BJ1337">
        <f t="shared" si="76"/>
        <v>0.1599777753081944</v>
      </c>
    </row>
    <row r="1338" spans="1:62" s="146" customFormat="1" x14ac:dyDescent="0.3">
      <c r="A1338">
        <v>-0.1</v>
      </c>
      <c r="B1338" s="146">
        <v>1000</v>
      </c>
      <c r="C1338" s="146">
        <v>25</v>
      </c>
      <c r="D1338" s="146">
        <v>700</v>
      </c>
      <c r="E1338" s="252">
        <v>19.952232343232534</v>
      </c>
      <c r="F1338" s="146">
        <v>1.1380190385433591</v>
      </c>
      <c r="G1338" s="146">
        <v>21.113625428475917</v>
      </c>
      <c r="H1338" s="146">
        <v>25.857060016769989</v>
      </c>
      <c r="J1338" s="146">
        <v>0.99913034851107441</v>
      </c>
      <c r="K1338" s="146">
        <v>0.36</v>
      </c>
      <c r="L1338" s="146">
        <v>131.40109740699845</v>
      </c>
      <c r="M1338" s="146">
        <v>48.467617896024016</v>
      </c>
      <c r="N1338" s="146">
        <v>5.6197038071410539</v>
      </c>
      <c r="Z1338" s="146">
        <v>0.21733730762493145</v>
      </c>
      <c r="AL1338" s="146">
        <v>3379.201137496068</v>
      </c>
      <c r="AM1338" s="146">
        <v>5.3899745564706024E-2</v>
      </c>
      <c r="AN1338" s="146">
        <v>0.24631680271073481</v>
      </c>
      <c r="AO1338" s="146">
        <v>618.99768053313164</v>
      </c>
      <c r="AP1338" s="146">
        <v>569.34923392554242</v>
      </c>
      <c r="AQ1338" s="146" t="s">
        <v>303</v>
      </c>
      <c r="AR1338" s="146">
        <f t="shared" si="77"/>
        <v>19.525354503836514</v>
      </c>
      <c r="AS1338" s="146">
        <f t="shared" si="78"/>
        <v>5.3287291164862003</v>
      </c>
      <c r="AT1338" s="146">
        <v>0.4</v>
      </c>
      <c r="AU1338" s="146">
        <v>1</v>
      </c>
      <c r="AV1338" s="146">
        <v>0.5</v>
      </c>
      <c r="AW1338" s="146">
        <v>3</v>
      </c>
      <c r="AX1338" s="146">
        <v>0.99893223356721672</v>
      </c>
      <c r="AY1338" s="146">
        <v>0.36</v>
      </c>
      <c r="AZ1338" s="209">
        <v>569.34923392554242</v>
      </c>
      <c r="BA1338" s="146">
        <v>0.99893223356721672</v>
      </c>
      <c r="BB1338" s="252">
        <v>26.708056516301976</v>
      </c>
      <c r="BC1338" s="244">
        <v>201.74461153185601</v>
      </c>
      <c r="BD1338" s="229">
        <v>89772.470487210536</v>
      </c>
      <c r="BE1338" s="244">
        <v>35.208814856824063</v>
      </c>
      <c r="BF1338" s="146">
        <v>335743.42284559971</v>
      </c>
      <c r="BG1338" t="s">
        <v>388</v>
      </c>
      <c r="BH1338" s="146">
        <v>7.9347077669777081E-6</v>
      </c>
      <c r="BI1338" s="146">
        <v>2097724.7048721053</v>
      </c>
      <c r="BJ1338">
        <f t="shared" si="76"/>
        <v>0.16005123173017569</v>
      </c>
    </row>
    <row r="1339" spans="1:62" s="146" customFormat="1" x14ac:dyDescent="0.3">
      <c r="A1339">
        <v>-0.1</v>
      </c>
      <c r="B1339" s="146">
        <v>1000</v>
      </c>
      <c r="C1339" s="146">
        <v>25</v>
      </c>
      <c r="D1339" s="146">
        <v>800</v>
      </c>
      <c r="E1339" s="252">
        <v>20.018438512752585</v>
      </c>
      <c r="F1339" s="146">
        <v>1.0796561708401615</v>
      </c>
      <c r="G1339" s="146">
        <v>21.150225276435471</v>
      </c>
      <c r="H1339" s="146">
        <v>25.786589330071354</v>
      </c>
      <c r="J1339" s="146">
        <v>0.95845986545907824</v>
      </c>
      <c r="K1339" s="146">
        <v>0.36</v>
      </c>
      <c r="L1339" s="146">
        <v>130.9977353470635</v>
      </c>
      <c r="M1339" s="146">
        <v>48.3188368083431</v>
      </c>
      <c r="N1339" s="146">
        <v>6.0439673838281607</v>
      </c>
      <c r="Z1339" s="146">
        <v>0.23438413302607305</v>
      </c>
      <c r="AL1339" s="146">
        <v>3690.9406130202588</v>
      </c>
      <c r="AM1339" s="146">
        <v>5.1047029368668749E-2</v>
      </c>
      <c r="AN1339" s="146">
        <v>0.24644139521744982</v>
      </c>
      <c r="AO1339" s="146">
        <v>718.76998385320314</v>
      </c>
      <c r="AP1339" s="146">
        <v>668.95692110617711</v>
      </c>
      <c r="AQ1339" s="146" t="s">
        <v>303</v>
      </c>
      <c r="AR1339" s="146">
        <f t="shared" si="77"/>
        <v>19.525354503836514</v>
      </c>
      <c r="AS1339" s="146">
        <f t="shared" si="78"/>
        <v>5.3287291164862003</v>
      </c>
      <c r="AT1339" s="146">
        <v>0.4</v>
      </c>
      <c r="AU1339" s="146">
        <v>1</v>
      </c>
      <c r="AV1339" s="146">
        <v>0.5</v>
      </c>
      <c r="AW1339" s="146">
        <v>3</v>
      </c>
      <c r="AX1339" s="146">
        <v>0.95031551168579542</v>
      </c>
      <c r="AY1339" s="146">
        <v>0.36</v>
      </c>
      <c r="AZ1339" s="209">
        <v>668.95692110617711</v>
      </c>
      <c r="BA1339" s="146">
        <v>0.95031551168579542</v>
      </c>
      <c r="BB1339" s="252">
        <v>26.634886868909618</v>
      </c>
      <c r="BC1339" s="244">
        <v>200.76437235598766</v>
      </c>
      <c r="BD1339" s="229">
        <v>89884.891018421258</v>
      </c>
      <c r="BE1339" s="244">
        <v>36.01909894913441</v>
      </c>
      <c r="BF1339" s="146">
        <v>337369.46899683343</v>
      </c>
      <c r="BG1339" t="s">
        <v>388</v>
      </c>
      <c r="BH1339" s="146">
        <v>7.9523887993559758E-6</v>
      </c>
      <c r="BI1339" s="146">
        <v>2098848.9101842125</v>
      </c>
      <c r="BJ1339">
        <f t="shared" si="76"/>
        <v>0.16074023592637884</v>
      </c>
    </row>
    <row r="1340" spans="1:62" s="146" customFormat="1" x14ac:dyDescent="0.3">
      <c r="A1340">
        <v>-0.1</v>
      </c>
      <c r="B1340" s="146">
        <v>1000</v>
      </c>
      <c r="C1340" s="146">
        <v>25</v>
      </c>
      <c r="D1340" s="146">
        <v>900</v>
      </c>
      <c r="E1340" s="252">
        <v>20.079793048371318</v>
      </c>
      <c r="F1340" s="146">
        <v>1.0251932275165585</v>
      </c>
      <c r="G1340" s="146">
        <v>21.183677248283594</v>
      </c>
      <c r="H1340" s="146">
        <v>25.728767716922977</v>
      </c>
      <c r="J1340" s="146">
        <v>0.92750446311776358</v>
      </c>
      <c r="K1340" s="146">
        <v>0.36</v>
      </c>
      <c r="L1340" s="146">
        <v>130.67103728538549</v>
      </c>
      <c r="M1340" s="146">
        <v>48.198333424937275</v>
      </c>
      <c r="N1340" s="146">
        <v>6.413049802839133</v>
      </c>
      <c r="Z1340" s="146">
        <v>0.2492560029845883</v>
      </c>
      <c r="AL1340" s="146">
        <v>3975.0931493419598</v>
      </c>
      <c r="AM1340" s="146">
        <v>4.8395432742897586E-2</v>
      </c>
      <c r="AN1340" s="146">
        <v>0.24648221502186635</v>
      </c>
      <c r="AO1340" s="146">
        <v>818.53451557715857</v>
      </c>
      <c r="AP1340" s="146">
        <v>768.56824792239706</v>
      </c>
      <c r="AQ1340" s="146" t="s">
        <v>303</v>
      </c>
      <c r="AR1340" s="146">
        <f t="shared" si="77"/>
        <v>19.525354503836514</v>
      </c>
      <c r="AS1340" s="146">
        <f t="shared" si="78"/>
        <v>5.3287291164862003</v>
      </c>
      <c r="AT1340" s="146">
        <v>0.4</v>
      </c>
      <c r="AU1340" s="146">
        <v>1</v>
      </c>
      <c r="AV1340" s="146">
        <v>0.5</v>
      </c>
      <c r="AW1340" s="146">
        <v>3</v>
      </c>
      <c r="AX1340" s="146">
        <v>0.9149386796601493</v>
      </c>
      <c r="AY1340" s="146">
        <v>0.36</v>
      </c>
      <c r="AZ1340" s="209">
        <v>768.56824792239706</v>
      </c>
      <c r="BA1340" s="146">
        <v>0.9149386796601493</v>
      </c>
      <c r="BB1340" s="252">
        <v>26.513686696378723</v>
      </c>
      <c r="BC1340" s="244">
        <v>199.97371496813417</v>
      </c>
      <c r="BD1340" s="229">
        <v>89888.792597331616</v>
      </c>
      <c r="BE1340" s="244">
        <v>36.541319493464115</v>
      </c>
      <c r="BF1340" s="146">
        <v>338617.86513059307</v>
      </c>
      <c r="BG1340" t="s">
        <v>388</v>
      </c>
      <c r="BH1340" s="146">
        <v>7.9730149937222415E-6</v>
      </c>
      <c r="BI1340" s="146">
        <v>2098887.9259733162</v>
      </c>
      <c r="BJ1340">
        <f t="shared" si="76"/>
        <v>0.16133203728520473</v>
      </c>
    </row>
    <row r="1341" spans="1:62" s="146" customFormat="1" x14ac:dyDescent="0.3">
      <c r="A1341">
        <v>-0.1</v>
      </c>
      <c r="B1341" s="146">
        <v>1000</v>
      </c>
      <c r="C1341" s="146">
        <v>25</v>
      </c>
      <c r="D1341" s="146">
        <v>1000</v>
      </c>
      <c r="E1341" s="252">
        <v>20.136045943014068</v>
      </c>
      <c r="F1341" s="146">
        <v>0.97524835912430097</v>
      </c>
      <c r="G1341" s="146">
        <v>21.214201140939007</v>
      </c>
      <c r="H1341" s="146">
        <v>25.680620243530708</v>
      </c>
      <c r="J1341" s="146">
        <v>0.90283969068298364</v>
      </c>
      <c r="K1341" s="146">
        <v>0.36</v>
      </c>
      <c r="L1341" s="146">
        <v>130.40143689210601</v>
      </c>
      <c r="M1341" s="146">
        <v>48.098890656924354</v>
      </c>
      <c r="N1341" s="146">
        <v>6.7387099081815407</v>
      </c>
      <c r="Z1341" s="146">
        <v>0.26240448417047529</v>
      </c>
      <c r="AL1341" s="146">
        <v>4237.5536735245942</v>
      </c>
      <c r="AM1341" s="146">
        <v>4.5971486394662017E-2</v>
      </c>
      <c r="AN1341" s="146">
        <v>0.24647725329645506</v>
      </c>
      <c r="AO1341" s="146">
        <v>918.30464810156309</v>
      </c>
      <c r="AP1341" s="146">
        <v>868.19871943382532</v>
      </c>
      <c r="AQ1341" s="146" t="s">
        <v>303</v>
      </c>
      <c r="AR1341" s="146">
        <f t="shared" si="77"/>
        <v>19.525354503836514</v>
      </c>
      <c r="AS1341" s="146">
        <f t="shared" si="78"/>
        <v>5.3287291164862003</v>
      </c>
      <c r="AT1341" s="146">
        <v>0.4</v>
      </c>
      <c r="AU1341" s="146">
        <v>1</v>
      </c>
      <c r="AV1341" s="146">
        <v>0.5</v>
      </c>
      <c r="AW1341" s="146">
        <v>3</v>
      </c>
      <c r="AX1341" s="146">
        <v>0.88766996537695142</v>
      </c>
      <c r="AY1341" s="146">
        <v>0.36</v>
      </c>
      <c r="AZ1341" s="209">
        <v>868.19871943382532</v>
      </c>
      <c r="BA1341" s="146">
        <v>0.88766996537695142</v>
      </c>
      <c r="BB1341" s="252">
        <v>26.372814688342501</v>
      </c>
      <c r="BC1341" s="244">
        <v>199.32343282233168</v>
      </c>
      <c r="BD1341" s="229">
        <v>89837.924707771017</v>
      </c>
      <c r="BE1341" s="244">
        <v>36.888974522784366</v>
      </c>
      <c r="BF1341" s="146">
        <v>339620.76800829003</v>
      </c>
      <c r="BG1341" t="s">
        <v>388</v>
      </c>
      <c r="BH1341" s="146">
        <v>7.9942395929690625E-6</v>
      </c>
      <c r="BI1341" s="146">
        <v>2098379.24707771</v>
      </c>
      <c r="BJ1341">
        <f t="shared" si="76"/>
        <v>0.16184908828147249</v>
      </c>
    </row>
    <row r="1342" spans="1:62" s="140" customFormat="1" x14ac:dyDescent="0.3">
      <c r="A1342" s="140">
        <v>-0.1</v>
      </c>
      <c r="B1342" s="140">
        <v>1000</v>
      </c>
      <c r="C1342" s="140">
        <v>25</v>
      </c>
      <c r="D1342" s="140">
        <v>1100</v>
      </c>
      <c r="E1342" s="253">
        <v>20.187530292176184</v>
      </c>
      <c r="F1342" s="140">
        <v>0.92966554442125537</v>
      </c>
      <c r="G1342" s="140">
        <v>21.242125674586781</v>
      </c>
      <c r="H1342" s="140">
        <v>25.639832206936845</v>
      </c>
      <c r="J1342" s="140">
        <v>0.88241175305825281</v>
      </c>
      <c r="K1342" s="140">
        <v>0.36</v>
      </c>
      <c r="L1342" s="140">
        <v>130.17462944097895</v>
      </c>
      <c r="M1342" s="140">
        <v>48.015232170852897</v>
      </c>
      <c r="N1342" s="140">
        <v>7.0307206164527614</v>
      </c>
      <c r="Z1342" s="140">
        <v>0.27421086689290436</v>
      </c>
      <c r="AL1342" s="140">
        <v>4483.2119232041805</v>
      </c>
      <c r="AM1342" s="140">
        <v>4.3765184269362913E-2</v>
      </c>
      <c r="AN1342" s="140">
        <v>0.24644604655984492</v>
      </c>
      <c r="AO1342" s="140">
        <v>1018.0853960776603</v>
      </c>
      <c r="AP1342" s="140">
        <v>967.85161497780211</v>
      </c>
      <c r="AQ1342" s="140" t="s">
        <v>303</v>
      </c>
      <c r="AR1342" s="140">
        <f t="shared" si="77"/>
        <v>19.525354503836514</v>
      </c>
      <c r="AS1342" s="140">
        <f t="shared" si="78"/>
        <v>5.3287291164862003</v>
      </c>
      <c r="AT1342" s="140">
        <v>0.4</v>
      </c>
      <c r="AU1342" s="140">
        <v>1</v>
      </c>
      <c r="AV1342" s="140">
        <v>0.5</v>
      </c>
      <c r="AW1342" s="140">
        <v>3</v>
      </c>
      <c r="AX1342" s="140">
        <v>0.86565158874838322</v>
      </c>
      <c r="AY1342" s="140">
        <v>0.36</v>
      </c>
      <c r="AZ1342" s="209">
        <v>967.85161497780211</v>
      </c>
      <c r="BA1342" s="140">
        <v>0.86565158874838322</v>
      </c>
      <c r="BB1342" s="253">
        <v>26.226282193685886</v>
      </c>
      <c r="BC1342" s="245">
        <v>198.77789257234122</v>
      </c>
      <c r="BD1342" s="210">
        <v>89759.925244502461</v>
      </c>
      <c r="BE1342" s="245">
        <v>37.127151507645955</v>
      </c>
      <c r="BF1342" s="140">
        <v>340455.79182103608</v>
      </c>
      <c r="BG1342" t="s">
        <v>388</v>
      </c>
      <c r="BH1342" s="140">
        <v>8.0150117856297285E-6</v>
      </c>
      <c r="BI1342" s="140">
        <v>2097599.2524450244</v>
      </c>
      <c r="BJ1342">
        <f t="shared" si="76"/>
        <v>0.16230735752989547</v>
      </c>
    </row>
    <row r="1343" spans="1:62" s="146" customFormat="1" x14ac:dyDescent="0.3">
      <c r="A1343">
        <v>-0.1</v>
      </c>
      <c r="B1343" s="146">
        <v>1000</v>
      </c>
      <c r="C1343" s="146">
        <v>25</v>
      </c>
      <c r="D1343" s="146">
        <v>400</v>
      </c>
      <c r="E1343" s="252">
        <v>19.899981877032815</v>
      </c>
      <c r="F1343" s="146">
        <v>1.2241655183381126</v>
      </c>
      <c r="G1343" s="146">
        <v>21.108961346605309</v>
      </c>
      <c r="H1343" s="146">
        <v>25.927284983686533</v>
      </c>
      <c r="J1343" s="146">
        <v>0.99999999919405802</v>
      </c>
      <c r="K1343" s="146">
        <v>0.36</v>
      </c>
      <c r="L1343" s="146">
        <v>132.13905145855642</v>
      </c>
      <c r="M1343" s="146">
        <v>48.73981406258229</v>
      </c>
      <c r="N1343" s="146">
        <v>5.728854758043358</v>
      </c>
      <c r="Z1343" s="146">
        <v>0.22095852927323312</v>
      </c>
      <c r="AL1343" s="146">
        <v>3134.4086192678983</v>
      </c>
      <c r="AM1343" s="146">
        <v>5.7992693161806365E-2</v>
      </c>
      <c r="AN1343" s="146">
        <v>0.24720329916684564</v>
      </c>
      <c r="AO1343" s="146">
        <v>319.49952956088316</v>
      </c>
      <c r="AP1343" s="146">
        <v>269.98124024621728</v>
      </c>
      <c r="AQ1343" s="146" t="s">
        <v>303</v>
      </c>
      <c r="AR1343" s="146">
        <f t="shared" si="77"/>
        <v>19.525354503836514</v>
      </c>
      <c r="AS1343" s="146">
        <f t="shared" si="78"/>
        <v>5.3287291164862003</v>
      </c>
      <c r="AT1343" s="146">
        <v>0.4</v>
      </c>
      <c r="AU1343" s="146">
        <v>1</v>
      </c>
      <c r="AV1343" s="146">
        <v>0.5</v>
      </c>
      <c r="AW1343" s="146">
        <v>3</v>
      </c>
      <c r="AX1343" s="146">
        <v>0.99999999900000003</v>
      </c>
      <c r="AY1343" s="146">
        <v>0.36</v>
      </c>
      <c r="AZ1343" s="209">
        <v>269.98124024621728</v>
      </c>
      <c r="BA1343" s="146">
        <v>0.99999999900000003</v>
      </c>
      <c r="BB1343" s="252">
        <v>27.12547176576831</v>
      </c>
      <c r="BC1343" s="244">
        <v>203.54966474572572</v>
      </c>
      <c r="BD1343" s="229">
        <v>90551.797318201847</v>
      </c>
      <c r="BE1343" s="244">
        <v>35.209019415649387</v>
      </c>
      <c r="BF1343" s="146">
        <v>336700.82816430059</v>
      </c>
      <c r="BG1343" t="s">
        <v>389</v>
      </c>
      <c r="BH1343" s="146">
        <v>7.8839828163659434E-6</v>
      </c>
      <c r="BI1343" s="146">
        <v>2105517.9731820184</v>
      </c>
      <c r="BJ1343">
        <f t="shared" si="76"/>
        <v>0.15991353788134743</v>
      </c>
    </row>
    <row r="1344" spans="1:62" s="146" customFormat="1" x14ac:dyDescent="0.3">
      <c r="A1344">
        <v>-0.1</v>
      </c>
      <c r="B1344" s="146">
        <v>1000</v>
      </c>
      <c r="C1344" s="146">
        <v>25</v>
      </c>
      <c r="D1344" s="146">
        <v>400</v>
      </c>
      <c r="E1344" s="252">
        <v>19.183820515747531</v>
      </c>
      <c r="F1344" s="146">
        <v>1.1852827373972841</v>
      </c>
      <c r="G1344" s="146">
        <v>20.342694628527532</v>
      </c>
      <c r="H1344" s="146">
        <v>25.041676062463225</v>
      </c>
      <c r="J1344" s="146">
        <v>0.99999999919537819</v>
      </c>
      <c r="K1344" s="146">
        <v>0.36</v>
      </c>
      <c r="L1344" s="146">
        <v>127.67593907622759</v>
      </c>
      <c r="M1344" s="146">
        <v>47.093584085493788</v>
      </c>
      <c r="N1344" s="146">
        <v>5.5747391811195754</v>
      </c>
      <c r="Z1344" s="146">
        <v>0.22261845282297035</v>
      </c>
      <c r="AL1344" s="146">
        <v>3062.5792352506423</v>
      </c>
      <c r="AM1344" s="146">
        <v>5.8265768573997345E-2</v>
      </c>
      <c r="AN1344" s="146">
        <v>0.24896540748463056</v>
      </c>
      <c r="AO1344" s="146">
        <v>322.94583930527853</v>
      </c>
      <c r="AP1344" s="146">
        <v>275.20964469085658</v>
      </c>
      <c r="AQ1344" s="146" t="s">
        <v>303</v>
      </c>
      <c r="AR1344" s="146">
        <f t="shared" si="77"/>
        <v>19.525354503836514</v>
      </c>
      <c r="AS1344" s="146">
        <f t="shared" si="78"/>
        <v>5.3287291164862003</v>
      </c>
      <c r="AT1344" s="146">
        <v>0.4</v>
      </c>
      <c r="AU1344" s="146">
        <v>1</v>
      </c>
      <c r="AV1344" s="146">
        <v>0.5</v>
      </c>
      <c r="AW1344" s="146">
        <v>2.5</v>
      </c>
      <c r="AX1344" s="146">
        <v>0.99999999900000003</v>
      </c>
      <c r="AY1344" s="146">
        <v>0.36</v>
      </c>
      <c r="AZ1344" s="209">
        <v>275.20964469085658</v>
      </c>
      <c r="BA1344" s="146">
        <v>0.99999999900000003</v>
      </c>
      <c r="BB1344" s="252">
        <v>26.212343794807449</v>
      </c>
      <c r="BC1344" s="244">
        <v>192.85790730729673</v>
      </c>
      <c r="BD1344" s="229">
        <v>84921.472621253968</v>
      </c>
      <c r="BE1344" s="244">
        <v>33.635190325245674</v>
      </c>
      <c r="BF1344" s="146">
        <v>381859.37040592491</v>
      </c>
      <c r="BG1344" t="s">
        <v>389</v>
      </c>
      <c r="BH1344" s="146">
        <v>7.6177870031443654E-6</v>
      </c>
      <c r="BI1344" s="146">
        <v>2049214.7262125397</v>
      </c>
      <c r="BJ1344">
        <f t="shared" si="76"/>
        <v>0.18634424471060498</v>
      </c>
    </row>
    <row r="1345" spans="1:62" s="146" customFormat="1" x14ac:dyDescent="0.3">
      <c r="A1345">
        <v>-0.1</v>
      </c>
      <c r="B1345" s="146">
        <v>1000</v>
      </c>
      <c r="C1345" s="146">
        <v>25</v>
      </c>
      <c r="D1345" s="146">
        <v>400</v>
      </c>
      <c r="E1345" s="252">
        <v>16.680992509788968</v>
      </c>
      <c r="F1345" s="146">
        <v>1.0534077519988756</v>
      </c>
      <c r="G1345" s="146">
        <v>17.67619616493516</v>
      </c>
      <c r="H1345" s="146">
        <v>21.928173215695793</v>
      </c>
      <c r="J1345" s="146">
        <v>0.99999999920116922</v>
      </c>
      <c r="K1345" s="146">
        <v>0.36</v>
      </c>
      <c r="L1345" s="146">
        <v>111.9496053356404</v>
      </c>
      <c r="M1345" s="146">
        <v>41.29288721396572</v>
      </c>
      <c r="N1345" s="146">
        <v>5.0129308222046483</v>
      </c>
      <c r="Z1345" s="146">
        <v>0.22860685990096441</v>
      </c>
      <c r="AL1345" s="146">
        <v>2799.4086352905538</v>
      </c>
      <c r="AM1345" s="146">
        <v>5.9594708169654426E-2</v>
      </c>
      <c r="AN1345" s="146">
        <v>0.25448314347518941</v>
      </c>
      <c r="AO1345" s="146">
        <v>334.45148357570775</v>
      </c>
      <c r="AP1345" s="146">
        <v>292.94322418823049</v>
      </c>
      <c r="AQ1345" s="146" t="s">
        <v>303</v>
      </c>
      <c r="AR1345" s="146">
        <f t="shared" si="77"/>
        <v>19.525354503836514</v>
      </c>
      <c r="AS1345" s="146">
        <f t="shared" si="78"/>
        <v>5.3287291164862003</v>
      </c>
      <c r="AT1345" s="146">
        <v>0.4</v>
      </c>
      <c r="AU1345" s="146">
        <v>1</v>
      </c>
      <c r="AV1345" s="146">
        <v>0.5</v>
      </c>
      <c r="AW1345" s="146">
        <v>1.5</v>
      </c>
      <c r="AX1345" s="146">
        <v>0.99999999900000003</v>
      </c>
      <c r="AY1345" s="146">
        <v>0.36</v>
      </c>
      <c r="AZ1345" s="209">
        <v>292.94322418823049</v>
      </c>
      <c r="BA1345" s="146">
        <v>0.99999999900000003</v>
      </c>
      <c r="BB1345" s="252">
        <v>23.042222165068853</v>
      </c>
      <c r="BC1345" s="244">
        <v>158.91860423209522</v>
      </c>
      <c r="BD1345" s="229">
        <v>67391.315437858735</v>
      </c>
      <c r="BE1345" s="244">
        <v>28.481307426605664</v>
      </c>
      <c r="BF1345" s="146">
        <v>499429.34116368042</v>
      </c>
      <c r="BG1345" t="s">
        <v>389</v>
      </c>
      <c r="BH1345" s="146">
        <v>6.7302789272116897E-6</v>
      </c>
      <c r="BI1345" s="146">
        <v>1873913.1543785874</v>
      </c>
      <c r="BJ1345">
        <f t="shared" si="76"/>
        <v>0.26651680201759259</v>
      </c>
    </row>
    <row r="1346" spans="1:62" s="146" customFormat="1" x14ac:dyDescent="0.3">
      <c r="A1346">
        <v>-0.1</v>
      </c>
      <c r="B1346" s="146">
        <v>1000</v>
      </c>
      <c r="C1346" s="146">
        <v>25</v>
      </c>
      <c r="D1346" s="146">
        <v>400</v>
      </c>
      <c r="E1346" s="252">
        <v>14.417630757611462</v>
      </c>
      <c r="F1346" s="146">
        <v>0.93828619188189155</v>
      </c>
      <c r="G1346" s="146">
        <v>15.27689195477733</v>
      </c>
      <c r="H1346" s="146">
        <v>19.08716674352387</v>
      </c>
      <c r="J1346" s="146">
        <v>0.9999999992082812</v>
      </c>
      <c r="K1346" s="146">
        <v>0.36</v>
      </c>
      <c r="L1346" s="146">
        <v>97.554914529587663</v>
      </c>
      <c r="M1346" s="146">
        <v>35.983370113372509</v>
      </c>
      <c r="N1346" s="146">
        <v>4.4744769405798177</v>
      </c>
      <c r="Z1346" s="146">
        <v>0.23442331702257349</v>
      </c>
      <c r="AL1346" s="146">
        <v>2545.6478711523446</v>
      </c>
      <c r="AM1346" s="146">
        <v>6.1418657319787767E-2</v>
      </c>
      <c r="AN1346" s="146">
        <v>0.25877755659797391</v>
      </c>
      <c r="AO1346" s="146">
        <v>344.28562141495871</v>
      </c>
      <c r="AP1346" s="146">
        <v>308.40940086243506</v>
      </c>
      <c r="AQ1346" s="146" t="s">
        <v>303</v>
      </c>
      <c r="AR1346" s="146">
        <f t="shared" si="77"/>
        <v>19.525354503836514</v>
      </c>
      <c r="AS1346" s="146">
        <f t="shared" si="78"/>
        <v>5.3287291164862003</v>
      </c>
      <c r="AT1346" s="146">
        <v>0.4</v>
      </c>
      <c r="AU1346" s="146">
        <v>1</v>
      </c>
      <c r="AV1346" s="146">
        <v>0.5</v>
      </c>
      <c r="AW1346" s="146">
        <v>1</v>
      </c>
      <c r="AX1346" s="146">
        <v>0.99999999900000003</v>
      </c>
      <c r="AY1346" s="146">
        <v>0.36</v>
      </c>
      <c r="AZ1346" s="209">
        <v>308.40940086243506</v>
      </c>
      <c r="BA1346" s="146">
        <v>0.99999999900000003</v>
      </c>
      <c r="BB1346" s="252">
        <v>20.193573401218636</v>
      </c>
      <c r="BC1346" s="244">
        <v>131.86730089356863</v>
      </c>
      <c r="BD1346" s="229">
        <v>53896.507041666016</v>
      </c>
      <c r="BE1346" s="244">
        <v>24.179939596399709</v>
      </c>
      <c r="BF1346" s="146">
        <v>569843.36014694243</v>
      </c>
      <c r="BG1346" t="s">
        <v>389</v>
      </c>
      <c r="BH1346" s="146">
        <v>5.9294404805837385E-6</v>
      </c>
      <c r="BI1346" s="146">
        <v>1738965.07041666</v>
      </c>
      <c r="BJ1346">
        <f t="shared" si="76"/>
        <v>0.32769109043139472</v>
      </c>
    </row>
    <row r="1347" spans="1:62" s="146" customFormat="1" x14ac:dyDescent="0.3">
      <c r="A1347">
        <v>-0.1</v>
      </c>
      <c r="B1347" s="146">
        <v>1000</v>
      </c>
      <c r="C1347" s="146">
        <v>25</v>
      </c>
      <c r="D1347" s="146">
        <v>400</v>
      </c>
      <c r="E1347" s="252">
        <v>13.1679271360406</v>
      </c>
      <c r="F1347" s="146">
        <v>0.87582623512674329</v>
      </c>
      <c r="G1347" s="146">
        <v>13.955856684161583</v>
      </c>
      <c r="H1347" s="146">
        <v>17.507955855080471</v>
      </c>
      <c r="J1347" s="146">
        <v>0.99999999921314675</v>
      </c>
      <c r="K1347" s="146">
        <v>0.36</v>
      </c>
      <c r="L1347" s="146">
        <v>89.536491078301609</v>
      </c>
      <c r="M1347" s="146">
        <v>33.025754905930924</v>
      </c>
      <c r="N1347" s="146">
        <v>4.1650205086875332</v>
      </c>
      <c r="Z1347" s="146">
        <v>0.23789302093076301</v>
      </c>
      <c r="AL1347" s="146">
        <v>2399.2775284168124</v>
      </c>
      <c r="AM1347" s="146">
        <v>6.2756895183705433E-2</v>
      </c>
      <c r="AN1347" s="146">
        <v>0.26092628260145817</v>
      </c>
      <c r="AO1347" s="146">
        <v>349.53391814440766</v>
      </c>
      <c r="AP1347" s="146">
        <v>316.76727407304588</v>
      </c>
      <c r="AQ1347" s="146" t="s">
        <v>303</v>
      </c>
      <c r="AR1347" s="146">
        <f t="shared" si="77"/>
        <v>19.525354503836514</v>
      </c>
      <c r="AS1347" s="146">
        <f t="shared" si="78"/>
        <v>5.3287291164862003</v>
      </c>
      <c r="AT1347" s="146">
        <v>0.4</v>
      </c>
      <c r="AU1347" s="146">
        <v>1</v>
      </c>
      <c r="AV1347" s="146">
        <v>0.5</v>
      </c>
      <c r="AW1347" s="146">
        <v>0.8</v>
      </c>
      <c r="AX1347" s="146">
        <v>0.99999999900000003</v>
      </c>
      <c r="AY1347" s="146">
        <v>0.36</v>
      </c>
      <c r="AZ1347" s="209">
        <v>316.76727407304588</v>
      </c>
      <c r="BA1347" s="146">
        <v>0.99999999900000003</v>
      </c>
      <c r="BB1347" s="252">
        <v>18.623425040709165</v>
      </c>
      <c r="BC1347" s="244">
        <v>118.09026403926052</v>
      </c>
      <c r="BD1347" s="229">
        <v>47231.978699457679</v>
      </c>
      <c r="BE1347" s="244">
        <v>21.91630818378415</v>
      </c>
      <c r="BF1347" s="146">
        <v>598257.92880997062</v>
      </c>
      <c r="BG1347" t="s">
        <v>389</v>
      </c>
      <c r="BH1347" s="146">
        <v>5.4764144265500295E-6</v>
      </c>
      <c r="BI1347" s="146">
        <v>1672319.7869945769</v>
      </c>
      <c r="BJ1347">
        <f t="shared" si="76"/>
        <v>0.35774134436639937</v>
      </c>
    </row>
    <row r="1348" spans="1:62" s="146" customFormat="1" x14ac:dyDescent="0.3">
      <c r="A1348">
        <v>-0.1</v>
      </c>
      <c r="B1348" s="146">
        <v>1000</v>
      </c>
      <c r="C1348" s="146">
        <v>25</v>
      </c>
      <c r="D1348" s="146">
        <v>400</v>
      </c>
      <c r="E1348" s="252">
        <v>11.625113009141877</v>
      </c>
      <c r="F1348" s="146">
        <v>0.8093172023050349</v>
      </c>
      <c r="G1348" s="146">
        <v>12.332520419261026</v>
      </c>
      <c r="H1348" s="146">
        <v>15.495078460681594</v>
      </c>
      <c r="J1348" s="146">
        <v>0.99999999922198368</v>
      </c>
      <c r="K1348" s="146">
        <v>0.36</v>
      </c>
      <c r="L1348" s="146">
        <v>79.300925857941337</v>
      </c>
      <c r="M1348" s="146">
        <v>29.250341504978365</v>
      </c>
      <c r="N1348" s="146">
        <v>3.7185910515240099</v>
      </c>
      <c r="Z1348" s="146">
        <v>0.2399852999105393</v>
      </c>
      <c r="AL1348" s="146">
        <v>2185.7917349718218</v>
      </c>
      <c r="AM1348" s="146">
        <v>6.5624639148461256E-2</v>
      </c>
      <c r="AN1348" s="146">
        <v>0.2607909704265795</v>
      </c>
      <c r="AO1348" s="146">
        <v>355.42363683019198</v>
      </c>
      <c r="AP1348" s="146">
        <v>326.49620920981641</v>
      </c>
      <c r="AQ1348" s="146" t="s">
        <v>303</v>
      </c>
      <c r="AR1348" s="146">
        <f t="shared" si="77"/>
        <v>19.525354503836514</v>
      </c>
      <c r="AS1348" s="146">
        <f t="shared" si="78"/>
        <v>5.3287291164862003</v>
      </c>
      <c r="AT1348" s="146">
        <v>0.4</v>
      </c>
      <c r="AU1348" s="146">
        <v>1</v>
      </c>
      <c r="AV1348" s="146">
        <v>0.5</v>
      </c>
      <c r="AW1348" s="146">
        <v>0.6</v>
      </c>
      <c r="AX1348" s="146">
        <v>0.99999999900000003</v>
      </c>
      <c r="AY1348" s="146">
        <v>0.36</v>
      </c>
      <c r="AZ1348" s="209">
        <v>326.49620920981641</v>
      </c>
      <c r="BA1348" s="146">
        <v>0.99999999900000003</v>
      </c>
      <c r="BB1348" s="252">
        <v>16.742785504010694</v>
      </c>
      <c r="BC1348" s="244">
        <v>101.60402320968309</v>
      </c>
      <c r="BD1348" s="229">
        <v>39679.89570306598</v>
      </c>
      <c r="BE1348" s="244">
        <v>19.49550037696979</v>
      </c>
      <c r="BF1348" s="146">
        <v>626609.71586718969</v>
      </c>
      <c r="BG1348" t="s">
        <v>389</v>
      </c>
      <c r="BH1348" s="146">
        <v>4.8969915157193644E-6</v>
      </c>
      <c r="BI1348" s="146">
        <v>1596798.9570306598</v>
      </c>
      <c r="BJ1348">
        <f t="shared" ref="BJ1348:BJ1411" si="79">BF1348/BI1348</f>
        <v>0.39241616053683226</v>
      </c>
    </row>
    <row r="1349" spans="1:62" s="146" customFormat="1" x14ac:dyDescent="0.3">
      <c r="A1349">
        <v>-0.1</v>
      </c>
      <c r="B1349" s="146">
        <v>1000</v>
      </c>
      <c r="C1349" s="146">
        <v>25</v>
      </c>
      <c r="D1349" s="146">
        <v>400</v>
      </c>
      <c r="E1349" s="252">
        <v>9.6158640077812567</v>
      </c>
      <c r="F1349" s="146">
        <v>0.72533506514833246</v>
      </c>
      <c r="G1349" s="146">
        <v>10.223427070840451</v>
      </c>
      <c r="H1349" s="146">
        <v>12.84264713729098</v>
      </c>
      <c r="J1349" s="146">
        <v>0.99999999923683414</v>
      </c>
      <c r="K1349" s="146">
        <v>0.36</v>
      </c>
      <c r="L1349" s="146">
        <v>65.786885944733783</v>
      </c>
      <c r="M1349" s="146">
        <v>24.265654651746072</v>
      </c>
      <c r="N1349" s="146">
        <v>3.1043353681029568</v>
      </c>
      <c r="Z1349" s="146">
        <v>0.24172083332329128</v>
      </c>
      <c r="AL1349" s="146">
        <v>1891.0296451894574</v>
      </c>
      <c r="AM1349" s="146">
        <v>7.0948328786650583E-2</v>
      </c>
      <c r="AN1349" s="146">
        <v>0.25841912633711944</v>
      </c>
      <c r="AO1349" s="146">
        <v>362.78965824210349</v>
      </c>
      <c r="AP1349" s="146">
        <v>338.8619611379803</v>
      </c>
      <c r="AQ1349" s="146" t="s">
        <v>303</v>
      </c>
      <c r="AR1349" s="146">
        <f t="shared" si="77"/>
        <v>19.525354503836514</v>
      </c>
      <c r="AS1349" s="146">
        <f t="shared" si="78"/>
        <v>5.3287291164862003</v>
      </c>
      <c r="AT1349" s="146">
        <v>0.4</v>
      </c>
      <c r="AU1349" s="146">
        <v>1</v>
      </c>
      <c r="AV1349" s="146">
        <v>0.5</v>
      </c>
      <c r="AW1349" s="146">
        <v>0.4</v>
      </c>
      <c r="AX1349" s="146">
        <v>0.99999999900000003</v>
      </c>
      <c r="AY1349" s="146">
        <v>0.36</v>
      </c>
      <c r="AZ1349" s="209">
        <v>338.8619611379803</v>
      </c>
      <c r="BA1349" s="146">
        <v>0.99999999900000003</v>
      </c>
      <c r="BB1349" s="252">
        <v>14.303179023651108</v>
      </c>
      <c r="BC1349" s="244">
        <v>81.418062107720786</v>
      </c>
      <c r="BD1349" s="229">
        <v>30858.787733698973</v>
      </c>
      <c r="BE1349" s="244">
        <v>16.540150086290122</v>
      </c>
      <c r="BF1349" s="146">
        <v>650336.08326984267</v>
      </c>
      <c r="BG1349" t="s">
        <v>389</v>
      </c>
      <c r="BH1349" s="146">
        <v>4.1134329904658316E-6</v>
      </c>
      <c r="BI1349" s="146">
        <v>1508587.8773369896</v>
      </c>
      <c r="BJ1349">
        <f t="shared" si="79"/>
        <v>0.43108929419334718</v>
      </c>
    </row>
    <row r="1350" spans="1:62" s="146" customFormat="1" x14ac:dyDescent="0.3">
      <c r="A1350">
        <v>-0.1</v>
      </c>
      <c r="B1350" s="146">
        <v>1000</v>
      </c>
      <c r="C1350" s="146">
        <v>25</v>
      </c>
      <c r="D1350" s="146">
        <v>400</v>
      </c>
      <c r="E1350" s="252">
        <v>8.3335331188410358</v>
      </c>
      <c r="F1350" s="146">
        <v>0.66765462909679862</v>
      </c>
      <c r="G1350" s="146">
        <v>8.8772919971601372</v>
      </c>
      <c r="H1350" s="146">
        <v>11.155380991641529</v>
      </c>
      <c r="J1350" s="146">
        <v>0.99999999924778782</v>
      </c>
      <c r="K1350" s="146">
        <v>0.36</v>
      </c>
      <c r="L1350" s="146">
        <v>57.17543437613179</v>
      </c>
      <c r="M1350" s="146">
        <v>21.089299564966645</v>
      </c>
      <c r="N1350" s="146">
        <v>2.7168820943269445</v>
      </c>
      <c r="Z1350" s="146">
        <v>0.24354901875271154</v>
      </c>
      <c r="AL1350" s="146">
        <v>1705.235613056914</v>
      </c>
      <c r="AM1350" s="146">
        <v>7.5209267568351099E-2</v>
      </c>
      <c r="AN1350" s="146">
        <v>0.25666448067508008</v>
      </c>
      <c r="AO1350" s="146">
        <v>367.53141261727319</v>
      </c>
      <c r="AP1350" s="146">
        <v>346.79456589344295</v>
      </c>
      <c r="AQ1350" s="146" t="s">
        <v>303</v>
      </c>
      <c r="AR1350" s="146">
        <f t="shared" si="77"/>
        <v>19.525354503836514</v>
      </c>
      <c r="AS1350" s="146">
        <f t="shared" si="78"/>
        <v>5.3287291164862003</v>
      </c>
      <c r="AT1350" s="146">
        <v>0.4</v>
      </c>
      <c r="AU1350" s="146">
        <v>1</v>
      </c>
      <c r="AV1350" s="146">
        <v>0.5</v>
      </c>
      <c r="AW1350" s="146">
        <v>0.3</v>
      </c>
      <c r="AX1350" s="146">
        <v>0.99999999900000003</v>
      </c>
      <c r="AY1350" s="146">
        <v>0.36</v>
      </c>
      <c r="AZ1350" s="209">
        <v>346.79456589344295</v>
      </c>
      <c r="BA1350" s="146">
        <v>0.99999999900000003</v>
      </c>
      <c r="BB1350" s="252">
        <v>12.716084155358466</v>
      </c>
      <c r="BC1350" s="244">
        <v>69.343865792672375</v>
      </c>
      <c r="BD1350" s="229">
        <v>25758.378975698044</v>
      </c>
      <c r="BE1350" s="244">
        <v>14.628759715608394</v>
      </c>
      <c r="BF1350" s="146">
        <v>657449.65423422598</v>
      </c>
      <c r="BG1350" t="s">
        <v>389</v>
      </c>
      <c r="BH1350" s="146">
        <v>3.5950810201144836E-6</v>
      </c>
      <c r="BI1350" s="146">
        <v>1457583.7897569805</v>
      </c>
      <c r="BJ1350">
        <f t="shared" si="79"/>
        <v>0.45105444973687653</v>
      </c>
    </row>
    <row r="1351" spans="1:62" s="146" customFormat="1" x14ac:dyDescent="0.3">
      <c r="A1351">
        <v>-0.1</v>
      </c>
      <c r="B1351" s="146">
        <v>1000</v>
      </c>
      <c r="C1351" s="146">
        <v>25</v>
      </c>
      <c r="D1351" s="146">
        <v>400</v>
      </c>
      <c r="E1351" s="252">
        <v>6.7332086872046437</v>
      </c>
      <c r="F1351" s="146">
        <v>0.58957527398298448</v>
      </c>
      <c r="G1351" s="146">
        <v>7.196043138341083</v>
      </c>
      <c r="H1351" s="146">
        <v>9.0542882582408364</v>
      </c>
      <c r="J1351" s="146">
        <v>0.99999999926332184</v>
      </c>
      <c r="K1351" s="146">
        <v>0.36</v>
      </c>
      <c r="L1351" s="146">
        <v>46.436984310214925</v>
      </c>
      <c r="M1351" s="146">
        <v>17.12839585212846</v>
      </c>
      <c r="N1351" s="146">
        <v>2.2370561668235043</v>
      </c>
      <c r="Z1351" s="146">
        <v>0.24707145421258583</v>
      </c>
      <c r="AL1351" s="146">
        <v>1475.2825484200441</v>
      </c>
      <c r="AM1351" s="146">
        <v>8.1930480772367961E-2</v>
      </c>
      <c r="AN1351" s="146">
        <v>0.25417069480566523</v>
      </c>
      <c r="AO1351" s="146">
        <v>373.50910697099545</v>
      </c>
      <c r="AP1351" s="146">
        <v>356.75446500829162</v>
      </c>
      <c r="AQ1351" s="146" t="s">
        <v>303</v>
      </c>
      <c r="AR1351" s="146">
        <f t="shared" si="77"/>
        <v>19.525354503836514</v>
      </c>
      <c r="AS1351" s="146">
        <f t="shared" si="78"/>
        <v>5.3287291164862003</v>
      </c>
      <c r="AT1351" s="146">
        <v>0.4</v>
      </c>
      <c r="AU1351" s="146">
        <v>1</v>
      </c>
      <c r="AV1351" s="146">
        <v>0.5</v>
      </c>
      <c r="AW1351" s="146">
        <v>0.2</v>
      </c>
      <c r="AX1351" s="146">
        <v>0.99999999900000003</v>
      </c>
      <c r="AY1351" s="146">
        <v>0.36</v>
      </c>
      <c r="AZ1351" s="209">
        <v>356.75446500829162</v>
      </c>
      <c r="BA1351" s="146">
        <v>0.99999999900000003</v>
      </c>
      <c r="BB1351" s="252">
        <v>10.687957191011977</v>
      </c>
      <c r="BC1351" s="244">
        <v>55.015217635540992</v>
      </c>
      <c r="BD1351" s="229">
        <v>19908.988519780381</v>
      </c>
      <c r="BE1351" s="244">
        <v>12.203508022437848</v>
      </c>
      <c r="BF1351" s="146">
        <v>654368.19054120348</v>
      </c>
      <c r="BG1351" t="s">
        <v>389</v>
      </c>
      <c r="BH1351" s="146">
        <v>2.9302498652858078E-6</v>
      </c>
      <c r="BI1351" s="146">
        <v>1399089.8851978038</v>
      </c>
      <c r="BJ1351">
        <f t="shared" si="79"/>
        <v>0.46770990017463293</v>
      </c>
    </row>
    <row r="1352" spans="1:62" s="140" customFormat="1" x14ac:dyDescent="0.3">
      <c r="A1352" s="140">
        <v>-0.1</v>
      </c>
      <c r="B1352" s="140">
        <v>1000</v>
      </c>
      <c r="C1352" s="140">
        <v>25</v>
      </c>
      <c r="D1352" s="140">
        <v>400</v>
      </c>
      <c r="E1352" s="253">
        <v>4.5561950929379442</v>
      </c>
      <c r="F1352" s="140">
        <v>0.4670801876213112</v>
      </c>
      <c r="G1352" s="140">
        <v>4.9032547700699718</v>
      </c>
      <c r="H1352" s="140">
        <v>6.1991270992916965</v>
      </c>
      <c r="J1352" s="140">
        <v>0.99999999928784944</v>
      </c>
      <c r="K1352" s="140">
        <v>0.36</v>
      </c>
      <c r="L1352" s="140">
        <v>31.820186272009717</v>
      </c>
      <c r="M1352" s="140">
        <v>11.736953952790472</v>
      </c>
      <c r="N1352" s="140">
        <v>1.586172216758464</v>
      </c>
      <c r="Z1352" s="140">
        <v>0.25587025259406243</v>
      </c>
      <c r="AL1352" s="140">
        <v>1163.5433729598567</v>
      </c>
      <c r="AM1352" s="140">
        <v>9.525921240569063E-2</v>
      </c>
      <c r="AN1352" s="140">
        <v>0.25026759880401078</v>
      </c>
      <c r="AO1352" s="140">
        <v>381.79470648733087</v>
      </c>
      <c r="AP1352" s="140">
        <v>370.4572645806245</v>
      </c>
      <c r="AQ1352" s="140" t="s">
        <v>303</v>
      </c>
      <c r="AR1352" s="140">
        <f t="shared" si="77"/>
        <v>19.525354503836514</v>
      </c>
      <c r="AS1352" s="140">
        <f t="shared" si="78"/>
        <v>5.3287291164862003</v>
      </c>
      <c r="AT1352" s="140">
        <v>0.4</v>
      </c>
      <c r="AU1352" s="140">
        <v>1</v>
      </c>
      <c r="AV1352" s="140">
        <v>0.5</v>
      </c>
      <c r="AW1352" s="140">
        <v>0.1</v>
      </c>
      <c r="AX1352" s="140">
        <v>0.99999999900000003</v>
      </c>
      <c r="AY1352" s="140">
        <v>0.36</v>
      </c>
      <c r="AZ1352" s="209">
        <v>370.4572645806245</v>
      </c>
      <c r="BA1352" s="140">
        <v>0.99999999900000003</v>
      </c>
      <c r="BB1352" s="253">
        <v>7.7968494644793642</v>
      </c>
      <c r="BC1352" s="245">
        <v>36.616513623504638</v>
      </c>
      <c r="BD1352" s="210">
        <v>12775.826975611581</v>
      </c>
      <c r="BE1352" s="245">
        <v>8.7913197050439873</v>
      </c>
      <c r="BF1352" s="140">
        <v>623254.63414365437</v>
      </c>
      <c r="BG1352" t="s">
        <v>389</v>
      </c>
      <c r="BH1352" s="140">
        <v>1.9862197435044215E-6</v>
      </c>
      <c r="BI1352" s="140">
        <v>1327758.2697561157</v>
      </c>
      <c r="BJ1352">
        <f t="shared" si="79"/>
        <v>0.46940369217819639</v>
      </c>
    </row>
    <row r="1353" spans="1:62" s="146" customFormat="1" x14ac:dyDescent="0.3">
      <c r="A1353">
        <v>-0.1</v>
      </c>
      <c r="B1353" s="146">
        <v>1000</v>
      </c>
      <c r="C1353" s="146">
        <v>25</v>
      </c>
      <c r="D1353" s="146">
        <v>400</v>
      </c>
      <c r="E1353" s="252">
        <v>19.90000890798159</v>
      </c>
      <c r="F1353" s="146">
        <v>1.2241662734798555</v>
      </c>
      <c r="G1353" s="146">
        <v>21.108989978260265</v>
      </c>
      <c r="H1353" s="146">
        <v>25.927322031203968</v>
      </c>
      <c r="J1353" s="146">
        <v>0.99999999919405813</v>
      </c>
      <c r="K1353" s="146">
        <v>0.36</v>
      </c>
      <c r="L1353" s="146">
        <v>132.13923804979436</v>
      </c>
      <c r="M1353" s="146">
        <v>48.739882887219245</v>
      </c>
      <c r="N1353" s="146">
        <v>5.7288641630443671</v>
      </c>
      <c r="Z1353" s="146">
        <v>0.2209585762906629</v>
      </c>
      <c r="AL1353" s="146">
        <v>3134.4131066135269</v>
      </c>
      <c r="AM1353" s="146">
        <v>5.7992650275574549E-2</v>
      </c>
      <c r="AN1353" s="146">
        <v>0.24720337042131516</v>
      </c>
      <c r="AO1353" s="146">
        <v>319.499443417517</v>
      </c>
      <c r="AP1353" s="146">
        <v>269.98102509134037</v>
      </c>
      <c r="AQ1353" s="146" t="s">
        <v>303</v>
      </c>
      <c r="AR1353" s="146">
        <f t="shared" si="77"/>
        <v>19.525354503836514</v>
      </c>
      <c r="AS1353" s="146">
        <f t="shared" si="78"/>
        <v>5.3287291164862003</v>
      </c>
      <c r="AT1353" s="146">
        <v>0.4</v>
      </c>
      <c r="AU1353" s="146">
        <v>1</v>
      </c>
      <c r="AV1353" s="146">
        <v>0.5</v>
      </c>
      <c r="AW1353" s="146">
        <v>3</v>
      </c>
      <c r="AX1353" s="146">
        <v>0.99999999900000003</v>
      </c>
      <c r="AY1353" s="146">
        <v>0.36</v>
      </c>
      <c r="AZ1353" s="209">
        <v>269.98102509134037</v>
      </c>
      <c r="BA1353" s="146">
        <v>0.99999999900000003</v>
      </c>
      <c r="BB1353" s="252">
        <v>27.125502413800564</v>
      </c>
      <c r="BC1353" s="244">
        <v>203.55012308237636</v>
      </c>
      <c r="BD1353" s="229">
        <v>90552.015758946072</v>
      </c>
      <c r="BE1353" s="244">
        <v>35.2090503331235</v>
      </c>
      <c r="BF1353" s="146">
        <v>336701.9372192485</v>
      </c>
      <c r="BG1353" t="s">
        <v>390</v>
      </c>
      <c r="BH1353" s="146">
        <v>7.8839827709550163E-6</v>
      </c>
      <c r="BI1353" s="146">
        <v>2105520.1575894607</v>
      </c>
      <c r="BJ1353">
        <f t="shared" si="79"/>
        <v>0.15991389871314612</v>
      </c>
    </row>
    <row r="1354" spans="1:62" s="146" customFormat="1" x14ac:dyDescent="0.3">
      <c r="A1354">
        <v>-0.2</v>
      </c>
      <c r="B1354" s="146">
        <v>1000</v>
      </c>
      <c r="C1354" s="146">
        <v>25</v>
      </c>
      <c r="D1354" s="146">
        <v>400</v>
      </c>
      <c r="E1354" s="252">
        <v>19.898303489643723</v>
      </c>
      <c r="F1354" s="146">
        <v>1.2276360469040921</v>
      </c>
      <c r="G1354" s="146">
        <v>21.109229010656435</v>
      </c>
      <c r="H1354" s="146">
        <v>25.927881236269315</v>
      </c>
      <c r="J1354" s="146">
        <v>0.99999999919420246</v>
      </c>
      <c r="K1354" s="146">
        <v>0.36</v>
      </c>
      <c r="L1354" s="146">
        <v>132.17148933832783</v>
      </c>
      <c r="M1354" s="146">
        <v>48.75177885430125</v>
      </c>
      <c r="N1354" s="146">
        <v>5.7310240042666294</v>
      </c>
      <c r="Z1354" s="146">
        <v>0.22103711259868641</v>
      </c>
      <c r="AL1354" s="146">
        <v>3125.4641720410705</v>
      </c>
      <c r="AM1354" s="146">
        <v>5.8156365932851103E-2</v>
      </c>
      <c r="AN1354" s="146">
        <v>0.21978878606976646</v>
      </c>
      <c r="AO1354" s="146">
        <v>309.46624782154487</v>
      </c>
      <c r="AP1354" s="146">
        <v>259.95216990775708</v>
      </c>
      <c r="AQ1354" s="146" t="s">
        <v>303</v>
      </c>
      <c r="AR1354" s="146">
        <f t="shared" si="77"/>
        <v>19.525354503836514</v>
      </c>
      <c r="AS1354" s="146">
        <f t="shared" si="78"/>
        <v>5.3287291164862003</v>
      </c>
      <c r="AT1354" s="146">
        <v>0.4</v>
      </c>
      <c r="AU1354" s="146">
        <v>1</v>
      </c>
      <c r="AV1354" s="146">
        <v>0.5</v>
      </c>
      <c r="AW1354" s="146">
        <v>3</v>
      </c>
      <c r="AX1354" s="146">
        <v>0.99999999900000003</v>
      </c>
      <c r="AY1354" s="146">
        <v>0.36</v>
      </c>
      <c r="AZ1354" s="209">
        <v>259.95216990775708</v>
      </c>
      <c r="BA1354" s="146">
        <v>0.99999999900000003</v>
      </c>
      <c r="BB1354" s="252">
        <v>27.142893061844976</v>
      </c>
      <c r="BC1354" s="244">
        <v>203.6293588473136</v>
      </c>
      <c r="BD1354" s="229">
        <v>90589.280852442331</v>
      </c>
      <c r="BE1354" s="244">
        <v>35.213640176951372</v>
      </c>
      <c r="BF1354" s="146">
        <v>336763.20109799266</v>
      </c>
      <c r="BG1354" t="s">
        <v>390</v>
      </c>
      <c r="BH1354" s="146">
        <v>7.8818368412762706E-6</v>
      </c>
      <c r="BI1354" s="146">
        <v>2105892.8085244233</v>
      </c>
      <c r="BJ1354">
        <f t="shared" si="79"/>
        <v>0.1599146925877766</v>
      </c>
    </row>
    <row r="1355" spans="1:62" s="146" customFormat="1" x14ac:dyDescent="0.3">
      <c r="A1355">
        <v>-0.3</v>
      </c>
      <c r="B1355" s="146">
        <v>1000</v>
      </c>
      <c r="C1355" s="146">
        <v>25</v>
      </c>
      <c r="D1355" s="146">
        <v>400</v>
      </c>
      <c r="E1355" s="252">
        <v>19.896162872358286</v>
      </c>
      <c r="F1355" s="146">
        <v>1.2322146633708844</v>
      </c>
      <c r="G1355" s="146">
        <v>21.109661229111627</v>
      </c>
      <c r="H1355" s="146">
        <v>25.928235866562442</v>
      </c>
      <c r="J1355" s="146">
        <v>0.99999999919435578</v>
      </c>
      <c r="K1355" s="146">
        <v>0.36</v>
      </c>
      <c r="L1355" s="146">
        <v>132.21487695002708</v>
      </c>
      <c r="M1355" s="146">
        <v>48.767782481567366</v>
      </c>
      <c r="N1355" s="146">
        <v>5.7333774878675463</v>
      </c>
      <c r="Z1355" s="146">
        <v>0.22112485852774202</v>
      </c>
      <c r="AL1355" s="146">
        <v>3113.7585956700432</v>
      </c>
      <c r="AM1355" s="146">
        <v>5.8372071915184426E-2</v>
      </c>
      <c r="AN1355" s="146">
        <v>0.19237985528000423</v>
      </c>
      <c r="AO1355" s="146">
        <v>296.57876162033756</v>
      </c>
      <c r="AP1355" s="146">
        <v>247.06985173627405</v>
      </c>
      <c r="AQ1355" s="146" t="s">
        <v>303</v>
      </c>
      <c r="AR1355" s="146">
        <f t="shared" si="77"/>
        <v>19.525354503836514</v>
      </c>
      <c r="AS1355" s="146">
        <f t="shared" si="78"/>
        <v>5.3287291164862003</v>
      </c>
      <c r="AT1355" s="146">
        <v>0.4</v>
      </c>
      <c r="AU1355" s="146">
        <v>1</v>
      </c>
      <c r="AV1355" s="146">
        <v>0.5</v>
      </c>
      <c r="AW1355" s="146">
        <v>3</v>
      </c>
      <c r="AX1355" s="146">
        <v>0.99999999900000003</v>
      </c>
      <c r="AY1355" s="146">
        <v>0.36</v>
      </c>
      <c r="AZ1355" s="209">
        <v>247.06985173627405</v>
      </c>
      <c r="BA1355" s="146">
        <v>0.99999999900000003</v>
      </c>
      <c r="BB1355" s="252">
        <v>27.165951944353591</v>
      </c>
      <c r="BC1355" s="244">
        <v>203.73600089959282</v>
      </c>
      <c r="BD1355" s="229">
        <v>90639.83056325822</v>
      </c>
      <c r="BE1355" s="244">
        <v>35.220409127566619</v>
      </c>
      <c r="BF1355" s="146">
        <v>336849.73666568694</v>
      </c>
      <c r="BG1355" t="s">
        <v>390</v>
      </c>
      <c r="BH1355" s="146">
        <v>7.8789858364168725E-6</v>
      </c>
      <c r="BI1355" s="146">
        <v>2106398.3056325819</v>
      </c>
      <c r="BJ1355">
        <f t="shared" si="79"/>
        <v>0.15991739822660278</v>
      </c>
    </row>
    <row r="1356" spans="1:62" s="146" customFormat="1" x14ac:dyDescent="0.3">
      <c r="A1356">
        <v>-0.4</v>
      </c>
      <c r="B1356" s="146">
        <v>1000</v>
      </c>
      <c r="C1356" s="146">
        <v>25</v>
      </c>
      <c r="D1356" s="146">
        <v>400</v>
      </c>
      <c r="E1356" s="252">
        <v>19.893386959634579</v>
      </c>
      <c r="F1356" s="146">
        <v>1.238563483123039</v>
      </c>
      <c r="G1356" s="146">
        <v>21.110465192823277</v>
      </c>
      <c r="H1356" s="146">
        <v>25.927881534410854</v>
      </c>
      <c r="J1356" s="146">
        <v>0.99999999919449267</v>
      </c>
      <c r="K1356" s="146">
        <v>0.36</v>
      </c>
      <c r="L1356" s="146">
        <v>132.27635226838322</v>
      </c>
      <c r="M1356" s="146">
        <v>48.790457803911849</v>
      </c>
      <c r="N1356" s="146">
        <v>5.735596334851401</v>
      </c>
      <c r="Z1356" s="146">
        <v>0.22121345807752388</v>
      </c>
      <c r="AL1356" s="146">
        <v>3097.7159792784937</v>
      </c>
      <c r="AM1356" s="146">
        <v>5.8670591662001913E-2</v>
      </c>
      <c r="AN1356" s="146">
        <v>0.16498034618436674</v>
      </c>
      <c r="AO1356" s="146">
        <v>279.4196556151993</v>
      </c>
      <c r="AP1356" s="146">
        <v>229.91781185279265</v>
      </c>
      <c r="AQ1356" s="146" t="s">
        <v>303</v>
      </c>
      <c r="AR1356" s="146">
        <f t="shared" si="77"/>
        <v>19.525354503836514</v>
      </c>
      <c r="AS1356" s="146">
        <f t="shared" si="78"/>
        <v>5.3287291164862003</v>
      </c>
      <c r="AT1356" s="146">
        <v>0.4</v>
      </c>
      <c r="AU1356" s="146">
        <v>1</v>
      </c>
      <c r="AV1356" s="146">
        <v>0.5</v>
      </c>
      <c r="AW1356" s="146">
        <v>3</v>
      </c>
      <c r="AX1356" s="146">
        <v>0.99999999900000003</v>
      </c>
      <c r="AY1356" s="146">
        <v>0.36</v>
      </c>
      <c r="AZ1356" s="209">
        <v>229.91781185279265</v>
      </c>
      <c r="BA1356" s="146">
        <v>0.99999999900000003</v>
      </c>
      <c r="BB1356" s="252">
        <v>27.198119805325106</v>
      </c>
      <c r="BC1356" s="244">
        <v>203.88719160760076</v>
      </c>
      <c r="BD1356" s="229">
        <v>90712.430568733194</v>
      </c>
      <c r="BE1356" s="244">
        <v>35.231405043270577</v>
      </c>
      <c r="BF1356" s="146">
        <v>336979.9373648747</v>
      </c>
      <c r="BG1356" t="s">
        <v>390</v>
      </c>
      <c r="BH1356" s="146">
        <v>7.8749950463996632E-6</v>
      </c>
      <c r="BI1356" s="146">
        <v>2107124.3056873321</v>
      </c>
      <c r="BJ1356">
        <f t="shared" si="79"/>
        <v>0.15992409012384001</v>
      </c>
    </row>
    <row r="1357" spans="1:62" s="146" customFormat="1" x14ac:dyDescent="0.3">
      <c r="A1357">
        <v>-0.5</v>
      </c>
      <c r="B1357" s="146">
        <v>1000</v>
      </c>
      <c r="C1357" s="146">
        <v>25</v>
      </c>
      <c r="D1357" s="146">
        <v>400</v>
      </c>
      <c r="E1357" s="252">
        <v>19.889647253340215</v>
      </c>
      <c r="F1357" s="146">
        <v>1.2480337569644824</v>
      </c>
      <c r="G1357" s="146">
        <v>21.112093623732999</v>
      </c>
      <c r="H1357" s="146">
        <v>25.92530613214047</v>
      </c>
      <c r="J1357" s="146">
        <v>0.99999999919451554</v>
      </c>
      <c r="K1357" s="146">
        <v>0.36</v>
      </c>
      <c r="L1357" s="146">
        <v>132.3711008895601</v>
      </c>
      <c r="M1357" s="146">
        <v>48.825406065821348</v>
      </c>
      <c r="N1357" s="146">
        <v>5.7364441382816196</v>
      </c>
      <c r="Z1357" s="146">
        <v>0.22126813504315607</v>
      </c>
      <c r="AL1357" s="146">
        <v>3074.1836122063523</v>
      </c>
      <c r="AM1357" s="146">
        <v>5.9114637288341446E-2</v>
      </c>
      <c r="AN1357" s="146">
        <v>0.13760088506554749</v>
      </c>
      <c r="AO1357" s="146">
        <v>255.45407470405738</v>
      </c>
      <c r="AP1357" s="146">
        <v>205.96154306554317</v>
      </c>
      <c r="AQ1357" s="146" t="s">
        <v>303</v>
      </c>
      <c r="AR1357" s="146">
        <f t="shared" si="77"/>
        <v>19.525354503836514</v>
      </c>
      <c r="AS1357" s="146">
        <f t="shared" si="78"/>
        <v>5.3287291164862003</v>
      </c>
      <c r="AT1357" s="146">
        <v>0.4</v>
      </c>
      <c r="AU1357" s="146">
        <v>1</v>
      </c>
      <c r="AV1357" s="146">
        <v>0.5</v>
      </c>
      <c r="AW1357" s="146">
        <v>3</v>
      </c>
      <c r="AX1357" s="146">
        <v>0.99999999900000003</v>
      </c>
      <c r="AY1357" s="146">
        <v>0.36</v>
      </c>
      <c r="AZ1357" s="209">
        <v>205.96154306554317</v>
      </c>
      <c r="BA1357" s="146">
        <v>0.99999999900000003</v>
      </c>
      <c r="BB1357" s="252">
        <v>27.246509593052746</v>
      </c>
      <c r="BC1357" s="244">
        <v>204.12042310832743</v>
      </c>
      <c r="BD1357" s="229">
        <v>90826.433288902932</v>
      </c>
      <c r="BE1357" s="244">
        <v>35.251373655889488</v>
      </c>
      <c r="BF1357" s="146">
        <v>337196.65315937944</v>
      </c>
      <c r="BG1357" t="s">
        <v>390</v>
      </c>
      <c r="BH1357" s="146">
        <v>7.8689444353329649E-6</v>
      </c>
      <c r="BI1357" s="146">
        <v>2108264.3328890293</v>
      </c>
      <c r="BJ1357">
        <f t="shared" si="79"/>
        <v>0.15994040590598377</v>
      </c>
    </row>
    <row r="1358" spans="1:62" s="146" customFormat="1" x14ac:dyDescent="0.3">
      <c r="A1358">
        <v>-0.6</v>
      </c>
      <c r="B1358" s="146">
        <v>1000</v>
      </c>
      <c r="C1358" s="146">
        <v>25</v>
      </c>
      <c r="D1358" s="146">
        <v>400</v>
      </c>
      <c r="E1358" s="252">
        <v>19.884533859941879</v>
      </c>
      <c r="F1358" s="146">
        <v>1.2640834608321743</v>
      </c>
      <c r="G1358" s="146">
        <v>21.116168366647575</v>
      </c>
      <c r="H1358" s="146">
        <v>25.914710760119945</v>
      </c>
      <c r="J1358" s="146">
        <v>0.99999999919397986</v>
      </c>
      <c r="K1358" s="146">
        <v>0.36</v>
      </c>
      <c r="L1358" s="146">
        <v>132.54169025779174</v>
      </c>
      <c r="M1358" s="146">
        <v>48.888328373775643</v>
      </c>
      <c r="N1358" s="146">
        <v>5.730380516745381</v>
      </c>
      <c r="Z1358" s="146">
        <v>0.22112461797427593</v>
      </c>
      <c r="AL1358" s="146">
        <v>3035.3928450645203</v>
      </c>
      <c r="AM1358" s="146">
        <v>5.9863297113540749E-2</v>
      </c>
      <c r="AN1358" s="146">
        <v>0.11027508504495628</v>
      </c>
      <c r="AO1358" s="146">
        <v>219.68244366499042</v>
      </c>
      <c r="AP1358" s="146">
        <v>170.20258669183124</v>
      </c>
      <c r="AQ1358" s="146" t="s">
        <v>303</v>
      </c>
      <c r="AR1358" s="146">
        <f t="shared" si="77"/>
        <v>19.525354503836514</v>
      </c>
      <c r="AS1358" s="146">
        <f t="shared" si="78"/>
        <v>5.3287291164862003</v>
      </c>
      <c r="AT1358" s="146">
        <v>0.4</v>
      </c>
      <c r="AU1358" s="146">
        <v>1</v>
      </c>
      <c r="AV1358" s="146">
        <v>0.5</v>
      </c>
      <c r="AW1358" s="146">
        <v>3</v>
      </c>
      <c r="AX1358" s="146">
        <v>0.99999999900000003</v>
      </c>
      <c r="AY1358" s="146">
        <v>0.36</v>
      </c>
      <c r="AZ1358" s="209">
        <v>170.20258669183124</v>
      </c>
      <c r="BA1358" s="146">
        <v>0.99999999900000003</v>
      </c>
      <c r="BB1358" s="252">
        <v>27.329759983983436</v>
      </c>
      <c r="BC1358" s="244">
        <v>204.54098464000842</v>
      </c>
      <c r="BD1358" s="229">
        <v>91037.849905296651</v>
      </c>
      <c r="BE1358" s="244">
        <v>35.296125875834903</v>
      </c>
      <c r="BF1358" s="146">
        <v>337634.66874001897</v>
      </c>
      <c r="BG1358" t="s">
        <v>390</v>
      </c>
      <c r="BH1358" s="146">
        <v>7.8583598462890579E-6</v>
      </c>
      <c r="BI1358" s="146">
        <v>2110378.4990529665</v>
      </c>
      <c r="BJ1358">
        <f t="shared" si="79"/>
        <v>0.15998773153324519</v>
      </c>
    </row>
    <row r="1359" spans="1:62" s="146" customFormat="1" x14ac:dyDescent="0.3">
      <c r="A1359">
        <v>-0.7</v>
      </c>
      <c r="B1359" s="146">
        <v>1000</v>
      </c>
      <c r="C1359" s="146">
        <v>25</v>
      </c>
      <c r="D1359" s="146">
        <v>400</v>
      </c>
      <c r="E1359" s="252">
        <v>19.882288953669168</v>
      </c>
      <c r="F1359" s="146">
        <v>1.3011878382135253</v>
      </c>
      <c r="G1359" s="146">
        <v>21.135850755333653</v>
      </c>
      <c r="H1359" s="146">
        <v>25.863724102182122</v>
      </c>
      <c r="J1359" s="146">
        <v>0.99999999918951343</v>
      </c>
      <c r="K1359" s="146">
        <v>0.36</v>
      </c>
      <c r="L1359" s="146">
        <v>133.02172000480323</v>
      </c>
      <c r="M1359" s="146">
        <v>49.065388526361851</v>
      </c>
      <c r="N1359" s="146">
        <v>5.6799512106118932</v>
      </c>
      <c r="Z1359" s="146">
        <v>0.21961072536080278</v>
      </c>
      <c r="AL1359" s="146">
        <v>2951.543678153716</v>
      </c>
      <c r="AM1359" s="146">
        <v>6.1563068990027253E-2</v>
      </c>
      <c r="AN1359" s="146">
        <v>8.3204218280179695E-2</v>
      </c>
      <c r="AO1359" s="146">
        <v>161.04229611630902</v>
      </c>
      <c r="AP1359" s="146">
        <v>111.56807284776828</v>
      </c>
      <c r="AQ1359" s="146" t="s">
        <v>303</v>
      </c>
      <c r="AR1359" s="146">
        <f t="shared" si="77"/>
        <v>19.525354503836514</v>
      </c>
      <c r="AS1359" s="146">
        <f t="shared" si="78"/>
        <v>5.3287291164862003</v>
      </c>
      <c r="AT1359" s="146">
        <v>0.4</v>
      </c>
      <c r="AU1359" s="146">
        <v>1</v>
      </c>
      <c r="AV1359" s="146">
        <v>0.5</v>
      </c>
      <c r="AW1359" s="146">
        <v>3</v>
      </c>
      <c r="AX1359" s="146">
        <v>0.99999999899999992</v>
      </c>
      <c r="AY1359" s="146">
        <v>0.36</v>
      </c>
      <c r="AZ1359" s="209">
        <v>111.56807284776828</v>
      </c>
      <c r="BA1359" s="146">
        <v>0.99999999899999992</v>
      </c>
      <c r="BB1359" s="252">
        <v>27.53186497996569</v>
      </c>
      <c r="BC1359" s="244">
        <v>205.7288776978929</v>
      </c>
      <c r="BD1359" s="229">
        <v>91659.118911180078</v>
      </c>
      <c r="BE1359" s="244">
        <v>35.458275325196404</v>
      </c>
      <c r="BF1359" s="146">
        <v>339177.13699474453</v>
      </c>
      <c r="BG1359" t="s">
        <v>390</v>
      </c>
      <c r="BH1359" s="146">
        <v>7.8317048151725966E-6</v>
      </c>
      <c r="BI1359" s="146">
        <v>2116591.1891118009</v>
      </c>
      <c r="BJ1359">
        <f t="shared" si="79"/>
        <v>0.16024688127756767</v>
      </c>
    </row>
    <row r="1360" spans="1:62" s="146" customFormat="1" x14ac:dyDescent="0.3">
      <c r="A1360">
        <v>-0.8</v>
      </c>
      <c r="B1360" s="146">
        <v>1000</v>
      </c>
      <c r="C1360" s="146">
        <v>25</v>
      </c>
      <c r="D1360" s="146">
        <v>400</v>
      </c>
      <c r="E1360" s="252">
        <v>20.846882446778803</v>
      </c>
      <c r="F1360" s="146">
        <v>1.7364365242397963</v>
      </c>
      <c r="G1360" s="146">
        <v>22.450598530466923</v>
      </c>
      <c r="H1360" s="146">
        <v>25.98794391159942</v>
      </c>
      <c r="J1360" s="146">
        <v>0.99999999903449011</v>
      </c>
      <c r="K1360" s="146">
        <v>0.36</v>
      </c>
      <c r="L1360" s="146">
        <v>150.755743118076</v>
      </c>
      <c r="M1360" s="146">
        <v>55.606626559946072</v>
      </c>
      <c r="N1360" s="146">
        <v>4.7733125551081272</v>
      </c>
      <c r="Z1360" s="146">
        <v>0.18367411332520286</v>
      </c>
      <c r="AL1360" s="146">
        <v>2409.9605455380256</v>
      </c>
      <c r="AM1360" s="146">
        <v>7.7344776438068627E-2</v>
      </c>
      <c r="AN1360" s="146">
        <v>6.4179550714277819E-2</v>
      </c>
      <c r="AO1360" s="146">
        <v>75.178741284939179</v>
      </c>
      <c r="AP1360" s="146">
        <v>23.304267983967442</v>
      </c>
      <c r="AQ1360" s="146" t="s">
        <v>303</v>
      </c>
      <c r="AR1360" s="146">
        <f t="shared" si="77"/>
        <v>19.525354503836514</v>
      </c>
      <c r="AS1360" s="146">
        <f t="shared" si="78"/>
        <v>5.3287291164862003</v>
      </c>
      <c r="AT1360" s="146">
        <v>0.4</v>
      </c>
      <c r="AU1360" s="146">
        <v>1</v>
      </c>
      <c r="AV1360" s="146">
        <v>0.5</v>
      </c>
      <c r="AW1360" s="146">
        <v>3</v>
      </c>
      <c r="AX1360" s="146">
        <v>0.99999999900000003</v>
      </c>
      <c r="AY1360" s="146">
        <v>0.36</v>
      </c>
      <c r="AZ1360" s="209">
        <v>23.304267983967442</v>
      </c>
      <c r="BA1360" s="146">
        <v>0.99999999900000003</v>
      </c>
      <c r="BB1360" s="252">
        <v>30.898617452309281</v>
      </c>
      <c r="BC1360" s="244">
        <v>254.99598033066255</v>
      </c>
      <c r="BD1360" s="229">
        <v>115896.78302772946</v>
      </c>
      <c r="BE1360" s="244">
        <v>39.203148296625635</v>
      </c>
      <c r="BF1360" s="146">
        <v>427590.1746481345</v>
      </c>
      <c r="BG1360" t="s">
        <v>390</v>
      </c>
      <c r="BH1360" s="146">
        <v>7.2096215936581161E-6</v>
      </c>
      <c r="BI1360" s="146">
        <v>2358967.8302772949</v>
      </c>
      <c r="BJ1360">
        <f t="shared" si="79"/>
        <v>0.18126155395593996</v>
      </c>
    </row>
    <row r="1361" spans="1:62" s="227" customFormat="1" x14ac:dyDescent="0.3">
      <c r="A1361" s="280">
        <v>-0.85</v>
      </c>
      <c r="B1361" s="227">
        <v>1000</v>
      </c>
      <c r="C1361" s="227">
        <v>25</v>
      </c>
      <c r="D1361" s="227">
        <v>400</v>
      </c>
      <c r="E1361" s="281">
        <v>14.151407198111507</v>
      </c>
      <c r="F1361" s="227">
        <v>1.0866482405997597</v>
      </c>
      <c r="G1361" s="227">
        <v>15.092877475711868</v>
      </c>
      <c r="H1361" s="227">
        <v>18.552990971934118</v>
      </c>
      <c r="J1361" s="227">
        <v>0.99999999916077431</v>
      </c>
      <c r="K1361" s="227">
        <v>0.36</v>
      </c>
      <c r="L1361" s="227">
        <v>99.122410932208922</v>
      </c>
      <c r="M1361" s="227">
        <v>36.561545015978702</v>
      </c>
      <c r="N1361" s="227">
        <v>4.2025106965548495</v>
      </c>
      <c r="Z1361" s="227">
        <v>0.22651391912560959</v>
      </c>
      <c r="AL1361" s="227">
        <v>2155.0337938795619</v>
      </c>
      <c r="AM1361" s="227">
        <v>7.1997420130683665E-2</v>
      </c>
      <c r="AN1361" s="227">
        <v>4.5501775500010486E-2</v>
      </c>
      <c r="AO1361" s="227">
        <v>88.992197719663807</v>
      </c>
      <c r="AP1361" s="227">
        <v>53.778445602137843</v>
      </c>
      <c r="AQ1361" s="227" t="s">
        <v>303</v>
      </c>
      <c r="AR1361" s="227">
        <f t="shared" si="77"/>
        <v>19.525354503836514</v>
      </c>
      <c r="AS1361" s="227">
        <f t="shared" si="78"/>
        <v>5.3287291164862003</v>
      </c>
      <c r="AT1361" s="227">
        <v>0.4</v>
      </c>
      <c r="AU1361" s="227">
        <v>1</v>
      </c>
      <c r="AV1361" s="227">
        <v>0.5</v>
      </c>
      <c r="AW1361" s="227">
        <v>3</v>
      </c>
      <c r="AX1361" s="227">
        <v>0.99999999900000003</v>
      </c>
      <c r="AY1361" s="227">
        <v>0.36</v>
      </c>
      <c r="AZ1361" s="282">
        <v>53.778445602137843</v>
      </c>
      <c r="BA1361" s="227">
        <v>0.99999999900000003</v>
      </c>
      <c r="BB1361" s="281">
        <v>20.806424788591841</v>
      </c>
      <c r="BC1361" s="283">
        <v>134.65991236528512</v>
      </c>
      <c r="BD1361" s="284">
        <v>55245.386820426975</v>
      </c>
      <c r="BE1361" s="283">
        <v>24.598550554907032</v>
      </c>
      <c r="BF1361" s="227">
        <v>643346.07188755681</v>
      </c>
      <c r="BG1361" s="280" t="s">
        <v>390</v>
      </c>
      <c r="BH1361" s="227">
        <v>5.5814422646240478E-6</v>
      </c>
      <c r="BI1361" s="227">
        <v>1752453.8682042698</v>
      </c>
      <c r="BJ1361">
        <f t="shared" si="79"/>
        <v>0.36711155914579946</v>
      </c>
    </row>
    <row r="1362" spans="1:62" s="256" customFormat="1" ht="15" thickBot="1" x14ac:dyDescent="0.35">
      <c r="A1362" s="256">
        <v>-0.87</v>
      </c>
      <c r="B1362" s="256">
        <v>1000</v>
      </c>
      <c r="C1362" s="256">
        <v>25</v>
      </c>
      <c r="D1362" s="256">
        <v>400</v>
      </c>
      <c r="E1362" s="257">
        <v>4.4260503010359908</v>
      </c>
      <c r="F1362" s="256">
        <v>0.49850071184193467</v>
      </c>
      <c r="G1362" s="256">
        <v>4.7871970327438955</v>
      </c>
      <c r="H1362" s="256">
        <v>6.0683043245368697</v>
      </c>
      <c r="J1362" s="256">
        <v>0.99999999929891448</v>
      </c>
      <c r="K1362" s="256">
        <v>0.36</v>
      </c>
      <c r="L1362" s="256">
        <v>31.236391136083174</v>
      </c>
      <c r="M1362" s="256">
        <v>11.521619681342155</v>
      </c>
      <c r="N1362" s="256">
        <v>1.5863058372546801</v>
      </c>
      <c r="Z1362" s="256">
        <v>0.26140841863196213</v>
      </c>
      <c r="AL1362" s="256">
        <v>1058.6767899024387</v>
      </c>
      <c r="AM1362" s="256">
        <v>0.10413206484551299</v>
      </c>
      <c r="AN1362" s="256">
        <v>3.5849387678900377E-2</v>
      </c>
      <c r="AO1362" s="256">
        <v>276.53763180895277</v>
      </c>
      <c r="AP1362" s="256">
        <v>265.52387127509854</v>
      </c>
      <c r="AQ1362" s="256" t="s">
        <v>303</v>
      </c>
      <c r="AR1362" s="256">
        <f t="shared" si="77"/>
        <v>19.525354503836514</v>
      </c>
      <c r="AS1362" s="256">
        <f t="shared" si="78"/>
        <v>5.3287291164862003</v>
      </c>
      <c r="AT1362" s="256">
        <v>0.4</v>
      </c>
      <c r="AU1362" s="256">
        <v>1</v>
      </c>
      <c r="AV1362" s="256">
        <v>0.5</v>
      </c>
      <c r="AW1362" s="256">
        <v>3</v>
      </c>
      <c r="AX1362" s="256">
        <v>0.99999999900000003</v>
      </c>
      <c r="AY1362" s="256">
        <v>0.36</v>
      </c>
      <c r="AZ1362" s="258">
        <v>265.52387127509854</v>
      </c>
      <c r="BA1362" s="256">
        <v>0.99999999900000003</v>
      </c>
      <c r="BB1362" s="257">
        <v>7.8842862886513929</v>
      </c>
      <c r="BC1362" s="259">
        <v>35.905126555358031</v>
      </c>
      <c r="BD1362" s="258">
        <v>12598.199133030186</v>
      </c>
      <c r="BE1362" s="259">
        <v>8.8534237594169518</v>
      </c>
      <c r="BF1362" s="256">
        <v>895003.53973893356</v>
      </c>
      <c r="BG1362" s="254" t="s">
        <v>390</v>
      </c>
      <c r="BH1362" s="256">
        <v>1.6047762700018241E-6</v>
      </c>
      <c r="BI1362" s="256">
        <v>1325981.9913303019</v>
      </c>
      <c r="BJ1362">
        <f t="shared" si="79"/>
        <v>0.67497412905360366</v>
      </c>
    </row>
    <row r="1363" spans="1:62" x14ac:dyDescent="0.3">
      <c r="A1363">
        <v>-0.1</v>
      </c>
      <c r="B1363" s="146">
        <v>100</v>
      </c>
      <c r="C1363" s="146">
        <v>25</v>
      </c>
      <c r="D1363" s="146">
        <v>400</v>
      </c>
      <c r="E1363" s="249">
        <v>3.2082630601410176</v>
      </c>
      <c r="F1363">
        <v>0.73436801930708184</v>
      </c>
      <c r="G1363">
        <v>3.7922909239086655</v>
      </c>
      <c r="H1363">
        <v>1.8715662252685588</v>
      </c>
      <c r="J1363">
        <v>0.33047507254420821</v>
      </c>
      <c r="K1363">
        <v>0.18</v>
      </c>
      <c r="L1363">
        <v>18.830328685918531</v>
      </c>
      <c r="M1363">
        <v>9.3760972709967803</v>
      </c>
      <c r="N1363">
        <v>0.73608789341352865</v>
      </c>
      <c r="Z1363">
        <v>0.39330047928595441</v>
      </c>
      <c r="AL1363">
        <v>743.99743129185617</v>
      </c>
      <c r="AM1363">
        <v>0.19364759562016359</v>
      </c>
      <c r="AN1363">
        <v>0.19972783224271809</v>
      </c>
      <c r="AO1363">
        <v>383.93682530814135</v>
      </c>
      <c r="AP1363">
        <v>375.95348458509153</v>
      </c>
      <c r="AQ1363" t="s">
        <v>326</v>
      </c>
      <c r="AR1363">
        <f t="shared" ref="AR1363:AR1402" si="80">0.3*Jsat_t</f>
        <v>9.762677251918257</v>
      </c>
      <c r="AS1363">
        <f t="shared" ref="AS1363:AS1402" si="81">0.1*Jatp</f>
        <v>2.6643645582431001</v>
      </c>
      <c r="AT1363">
        <v>0.2</v>
      </c>
      <c r="AU1363">
        <v>1</v>
      </c>
      <c r="AV1363">
        <v>0.3</v>
      </c>
      <c r="AW1363">
        <v>3</v>
      </c>
      <c r="AX1363">
        <v>0.22356623752598467</v>
      </c>
      <c r="AY1363">
        <v>0.18</v>
      </c>
      <c r="AZ1363" s="209">
        <v>375.95348458509153</v>
      </c>
      <c r="BA1363">
        <v>0.22356623752598467</v>
      </c>
      <c r="BB1363" s="249">
        <v>8.850379255451676</v>
      </c>
      <c r="BC1363" s="243">
        <v>70.156407587357947</v>
      </c>
      <c r="BD1363" s="209">
        <v>25495.068785691295</v>
      </c>
      <c r="BE1363" s="243">
        <v>16.581134058284757</v>
      </c>
      <c r="BF1363">
        <v>18055.334186887296</v>
      </c>
      <c r="BG1363" t="s">
        <v>387</v>
      </c>
      <c r="BH1363">
        <v>1.9723178246621735E-6</v>
      </c>
      <c r="BI1363">
        <v>1454950.6878569131</v>
      </c>
      <c r="BJ1363">
        <f t="shared" si="79"/>
        <v>1.2409584969152539E-2</v>
      </c>
    </row>
    <row r="1364" spans="1:62" x14ac:dyDescent="0.3">
      <c r="A1364">
        <v>-0.1</v>
      </c>
      <c r="B1364" s="146">
        <v>200</v>
      </c>
      <c r="C1364" s="146">
        <v>25</v>
      </c>
      <c r="D1364" s="146">
        <v>400</v>
      </c>
      <c r="E1364" s="252">
        <v>5.953673260359313</v>
      </c>
      <c r="F1364" s="146">
        <v>1.3053404570419094</v>
      </c>
      <c r="G1364" s="146">
        <v>6.9258375427299388</v>
      </c>
      <c r="H1364" s="146">
        <v>3.4589962249918238</v>
      </c>
      <c r="I1364" s="146"/>
      <c r="J1364" s="146">
        <v>0.33087360993175763</v>
      </c>
      <c r="K1364" s="146">
        <v>0.18</v>
      </c>
      <c r="L1364" s="146">
        <v>34.870968395126333</v>
      </c>
      <c r="M1364" s="146">
        <v>17.3631377901044</v>
      </c>
      <c r="N1364" s="146">
        <v>1.1448537084179029</v>
      </c>
      <c r="O1364" s="146"/>
      <c r="P1364" s="146"/>
      <c r="Q1364" s="146"/>
      <c r="R1364" s="146"/>
      <c r="S1364" s="146"/>
      <c r="T1364" s="146"/>
      <c r="U1364" s="146"/>
      <c r="V1364" s="146"/>
      <c r="W1364" s="146"/>
      <c r="X1364" s="146"/>
      <c r="Y1364" s="146"/>
      <c r="Z1364" s="146">
        <v>0.33097859435235694</v>
      </c>
      <c r="AA1364" s="146"/>
      <c r="AB1364" s="146"/>
      <c r="AC1364" s="146"/>
      <c r="AD1364" s="146"/>
      <c r="AE1364" s="146"/>
      <c r="AF1364" s="146"/>
      <c r="AG1364" s="146"/>
      <c r="AH1364" s="146"/>
      <c r="AI1364" s="146"/>
      <c r="AJ1364" s="146"/>
      <c r="AK1364" s="146"/>
      <c r="AL1364" s="146">
        <v>931.01736103743667</v>
      </c>
      <c r="AM1364" s="146">
        <v>0.1884740219487428</v>
      </c>
      <c r="AN1364" s="146">
        <v>0.22386770845752732</v>
      </c>
      <c r="AO1364" s="146">
        <v>373.40539508185094</v>
      </c>
      <c r="AP1364" s="146">
        <v>358.59050682848476</v>
      </c>
      <c r="AQ1364" t="s">
        <v>326</v>
      </c>
      <c r="AR1364">
        <f t="shared" si="80"/>
        <v>9.762677251918257</v>
      </c>
      <c r="AS1364">
        <f t="shared" si="81"/>
        <v>2.6643645582431001</v>
      </c>
      <c r="AT1364">
        <v>0.2</v>
      </c>
      <c r="AU1364">
        <v>1</v>
      </c>
      <c r="AV1364">
        <v>0.3</v>
      </c>
      <c r="AW1364" s="146">
        <v>3</v>
      </c>
      <c r="AX1364" s="146">
        <v>0.23564259361705933</v>
      </c>
      <c r="AY1364">
        <v>0.18</v>
      </c>
      <c r="AZ1364" s="209">
        <v>358.59050682848476</v>
      </c>
      <c r="BA1364">
        <v>0.23564259361705933</v>
      </c>
      <c r="BB1364" s="249">
        <v>15.843722137839494</v>
      </c>
      <c r="BC1364" s="243">
        <v>102.12604931323079</v>
      </c>
      <c r="BD1364" s="209">
        <v>40891.399203968089</v>
      </c>
      <c r="BE1364" s="243">
        <v>25.671572226637565</v>
      </c>
      <c r="BF1364">
        <v>50386.895928348313</v>
      </c>
      <c r="BG1364" t="s">
        <v>387</v>
      </c>
      <c r="BH1364">
        <v>3.3738903164541732E-6</v>
      </c>
      <c r="BI1364">
        <v>1608913.9920396809</v>
      </c>
      <c r="BJ1364">
        <f t="shared" si="79"/>
        <v>3.131733341722695E-2</v>
      </c>
    </row>
    <row r="1365" spans="1:62" x14ac:dyDescent="0.3">
      <c r="A1365">
        <v>-0.1</v>
      </c>
      <c r="B1365" s="146">
        <v>300</v>
      </c>
      <c r="C1365" s="146">
        <v>25</v>
      </c>
      <c r="D1365" s="146">
        <v>400</v>
      </c>
      <c r="E1365" s="252">
        <v>8.3188512420197309</v>
      </c>
      <c r="F1365" s="146">
        <v>1.803745002987369</v>
      </c>
      <c r="G1365" s="146">
        <v>9.6157407240993038</v>
      </c>
      <c r="H1365" s="146">
        <v>4.8564941135985338</v>
      </c>
      <c r="I1365" s="146"/>
      <c r="J1365" s="146">
        <v>0.3323426667780438</v>
      </c>
      <c r="K1365" s="146">
        <v>0.18</v>
      </c>
      <c r="L1365" s="146">
        <v>49.032377091693441</v>
      </c>
      <c r="M1365" s="146">
        <v>24.414461622419974</v>
      </c>
      <c r="N1365" s="146">
        <v>1.442000564634494</v>
      </c>
      <c r="O1365" s="146"/>
      <c r="P1365" s="146"/>
      <c r="Q1365" s="146"/>
      <c r="R1365" s="146"/>
      <c r="S1365" s="146"/>
      <c r="T1365" s="146"/>
      <c r="U1365" s="146"/>
      <c r="V1365" s="146"/>
      <c r="W1365" s="146"/>
      <c r="X1365" s="146"/>
      <c r="Y1365" s="146"/>
      <c r="Z1365" s="146">
        <v>0.2969221275480986</v>
      </c>
      <c r="AA1365" s="146"/>
      <c r="AB1365" s="146"/>
      <c r="AC1365" s="146"/>
      <c r="AD1365" s="146"/>
      <c r="AE1365" s="146"/>
      <c r="AF1365" s="146"/>
      <c r="AG1365" s="146"/>
      <c r="AH1365" s="146"/>
      <c r="AI1365" s="146"/>
      <c r="AJ1365" s="146"/>
      <c r="AK1365" s="146"/>
      <c r="AL1365" s="146">
        <v>1065.2310760976561</v>
      </c>
      <c r="AM1365" s="146">
        <v>0.18758253313411005</v>
      </c>
      <c r="AN1365" s="146">
        <v>0.23721449364360439</v>
      </c>
      <c r="AO1365" s="146">
        <v>364.93110048107712</v>
      </c>
      <c r="AP1365" s="146">
        <v>344.23079378040956</v>
      </c>
      <c r="AQ1365" t="s">
        <v>326</v>
      </c>
      <c r="AR1365">
        <f t="shared" si="80"/>
        <v>9.762677251918257</v>
      </c>
      <c r="AS1365">
        <f t="shared" si="81"/>
        <v>2.6643645582431001</v>
      </c>
      <c r="AT1365">
        <v>0.2</v>
      </c>
      <c r="AU1365">
        <v>1</v>
      </c>
      <c r="AV1365">
        <v>0.3</v>
      </c>
      <c r="AW1365" s="146">
        <v>3</v>
      </c>
      <c r="AX1365" s="146">
        <v>0.2434636516551372</v>
      </c>
      <c r="AY1365">
        <v>0.18</v>
      </c>
      <c r="AZ1365" s="209">
        <v>344.23079378040956</v>
      </c>
      <c r="BA1365">
        <v>0.2434636516551372</v>
      </c>
      <c r="BB1365" s="249">
        <v>21.859228912288316</v>
      </c>
      <c r="BC1365" s="243">
        <v>125.09532085045454</v>
      </c>
      <c r="BD1365" s="209">
        <v>53273.467630327177</v>
      </c>
      <c r="BE1365" s="243">
        <v>32.911471383900945</v>
      </c>
      <c r="BF1365">
        <v>87456.086585217025</v>
      </c>
      <c r="BG1365" t="s">
        <v>387</v>
      </c>
      <c r="BH1365">
        <v>4.3478960614417966E-6</v>
      </c>
      <c r="BI1365">
        <v>1732734.6763032717</v>
      </c>
      <c r="BJ1365">
        <f t="shared" si="79"/>
        <v>5.0472866839487221E-2</v>
      </c>
    </row>
    <row r="1366" spans="1:62" x14ac:dyDescent="0.3">
      <c r="A1366">
        <v>-0.1</v>
      </c>
      <c r="B1366" s="146">
        <v>400</v>
      </c>
      <c r="C1366" s="146">
        <v>25</v>
      </c>
      <c r="D1366" s="146">
        <v>400</v>
      </c>
      <c r="E1366" s="252">
        <v>10.383681258068568</v>
      </c>
      <c r="F1366" s="146">
        <v>2.2518134117124444</v>
      </c>
      <c r="G1366" s="146">
        <v>11.965594397918542</v>
      </c>
      <c r="H1366" s="146">
        <v>6.1051661420039522</v>
      </c>
      <c r="I1366" s="146"/>
      <c r="J1366" s="146">
        <v>0.3339592608732998</v>
      </c>
      <c r="K1366" s="146">
        <v>0.18</v>
      </c>
      <c r="L1366" s="146">
        <v>61.714152984080009</v>
      </c>
      <c r="M1366" s="146">
        <v>30.729038830247305</v>
      </c>
      <c r="N1366" s="146">
        <v>1.6766102759008827</v>
      </c>
      <c r="O1366" s="146"/>
      <c r="P1366" s="146"/>
      <c r="Q1366" s="146"/>
      <c r="R1366" s="146"/>
      <c r="S1366" s="146"/>
      <c r="T1366" s="146"/>
      <c r="U1366" s="146"/>
      <c r="V1366" s="146"/>
      <c r="W1366" s="146"/>
      <c r="X1366" s="146"/>
      <c r="Y1366" s="146"/>
      <c r="Z1366" s="146">
        <v>0.27462156424633422</v>
      </c>
      <c r="AA1366" s="146"/>
      <c r="AB1366" s="146"/>
      <c r="AC1366" s="146"/>
      <c r="AD1366" s="146"/>
      <c r="AE1366" s="146"/>
      <c r="AF1366" s="146"/>
      <c r="AG1366" s="146"/>
      <c r="AH1366" s="146"/>
      <c r="AI1366" s="146"/>
      <c r="AJ1366" s="146"/>
      <c r="AK1366" s="146"/>
      <c r="AL1366" s="146">
        <v>1170.2727227523872</v>
      </c>
      <c r="AM1366" s="146">
        <v>0.18819068546265913</v>
      </c>
      <c r="AN1366" s="146">
        <v>0.24609318425319426</v>
      </c>
      <c r="AO1366" s="146">
        <v>357.80589661765981</v>
      </c>
      <c r="AP1366" s="146">
        <v>331.96758480194575</v>
      </c>
      <c r="AQ1366" t="s">
        <v>326</v>
      </c>
      <c r="AR1366">
        <f t="shared" si="80"/>
        <v>9.762677251918257</v>
      </c>
      <c r="AS1366">
        <f t="shared" si="81"/>
        <v>2.6643645582431001</v>
      </c>
      <c r="AT1366">
        <v>0.2</v>
      </c>
      <c r="AU1366">
        <v>1</v>
      </c>
      <c r="AV1366">
        <v>0.3</v>
      </c>
      <c r="AW1366" s="146">
        <v>3</v>
      </c>
      <c r="AX1366" s="146">
        <v>0.24909274267973713</v>
      </c>
      <c r="AY1366">
        <v>0.18</v>
      </c>
      <c r="AZ1366" s="209">
        <v>331.96758480194575</v>
      </c>
      <c r="BA1366">
        <v>0.24909274267973713</v>
      </c>
      <c r="BB1366" s="249">
        <v>27.169340029285991</v>
      </c>
      <c r="BC1366" s="243">
        <v>143.34708605170667</v>
      </c>
      <c r="BD1366" s="209">
        <v>63817.578859437592</v>
      </c>
      <c r="BE1366" s="243">
        <v>39.055487545794094</v>
      </c>
      <c r="BF1366">
        <v>126326.81171632433</v>
      </c>
      <c r="BG1366" t="s">
        <v>387</v>
      </c>
      <c r="BH1366">
        <v>5.0556452428728538E-6</v>
      </c>
      <c r="BI1366">
        <v>1838175.7885943758</v>
      </c>
      <c r="BJ1366">
        <f t="shared" si="79"/>
        <v>6.8724010238936109E-2</v>
      </c>
    </row>
    <row r="1367" spans="1:62" x14ac:dyDescent="0.3">
      <c r="A1367">
        <v>-0.1</v>
      </c>
      <c r="B1367" s="146">
        <v>600</v>
      </c>
      <c r="C1367" s="146">
        <v>25</v>
      </c>
      <c r="D1367" s="146">
        <v>400</v>
      </c>
      <c r="E1367" s="252">
        <v>13.807941022804908</v>
      </c>
      <c r="F1367" s="146">
        <v>3.0318397994593482</v>
      </c>
      <c r="G1367" s="146">
        <v>15.874590253828481</v>
      </c>
      <c r="H1367" s="146">
        <v>8.2431723625638398</v>
      </c>
      <c r="I1367" s="146"/>
      <c r="J1367" s="146">
        <v>0.33731254182093967</v>
      </c>
      <c r="K1367" s="146">
        <v>0.18</v>
      </c>
      <c r="L1367" s="146">
        <v>83.488979109523541</v>
      </c>
      <c r="M1367" s="146">
        <v>41.571275905156945</v>
      </c>
      <c r="N1367" s="146">
        <v>2.0282004935425064</v>
      </c>
      <c r="O1367" s="146"/>
      <c r="P1367" s="146"/>
      <c r="Q1367" s="146"/>
      <c r="R1367" s="146"/>
      <c r="S1367" s="146"/>
      <c r="T1367" s="146"/>
      <c r="U1367" s="146"/>
      <c r="V1367" s="146"/>
      <c r="W1367" s="146"/>
      <c r="X1367" s="146"/>
      <c r="Y1367" s="146"/>
      <c r="Z1367" s="146">
        <v>0.24604610996047202</v>
      </c>
      <c r="AA1367" s="146"/>
      <c r="AB1367" s="146"/>
      <c r="AC1367" s="146"/>
      <c r="AD1367" s="146"/>
      <c r="AE1367" s="146"/>
      <c r="AF1367" s="146"/>
      <c r="AG1367" s="146"/>
      <c r="AH1367" s="146"/>
      <c r="AI1367" s="146"/>
      <c r="AJ1367" s="146"/>
      <c r="AK1367" s="146"/>
      <c r="AL1367" s="146">
        <v>1326.1194465671401</v>
      </c>
      <c r="AM1367" s="146">
        <v>0.19098696413459607</v>
      </c>
      <c r="AN1367" s="146">
        <v>0.25750648324801512</v>
      </c>
      <c r="AO1367" s="146">
        <v>346.37827813637642</v>
      </c>
      <c r="AP1367" s="146">
        <v>312.01919979588655</v>
      </c>
      <c r="AQ1367" t="s">
        <v>326</v>
      </c>
      <c r="AR1367">
        <f t="shared" si="80"/>
        <v>9.762677251918257</v>
      </c>
      <c r="AS1367">
        <f t="shared" si="81"/>
        <v>2.6643645582431001</v>
      </c>
      <c r="AT1367">
        <v>0.2</v>
      </c>
      <c r="AU1367">
        <v>1</v>
      </c>
      <c r="AV1367">
        <v>0.3</v>
      </c>
      <c r="AW1367" s="146">
        <v>3</v>
      </c>
      <c r="AX1367" s="146">
        <v>0.25707735615754707</v>
      </c>
      <c r="AY1367">
        <v>0.18</v>
      </c>
      <c r="AZ1367" s="209">
        <v>312.01919979588655</v>
      </c>
      <c r="BA1367">
        <v>0.25707735615754707</v>
      </c>
      <c r="BB1367" s="249">
        <v>36.173792169087541</v>
      </c>
      <c r="BC1367" s="243">
        <v>171.16300863659765</v>
      </c>
      <c r="BD1367" s="209">
        <v>81014.804198283295</v>
      </c>
      <c r="BE1367" s="243">
        <v>49.128723880962198</v>
      </c>
      <c r="BF1367">
        <v>204082.83168839398</v>
      </c>
      <c r="BG1367" t="s">
        <v>387</v>
      </c>
      <c r="BH1367">
        <v>5.992986707515795E-6</v>
      </c>
      <c r="BI1367">
        <v>2010148.0419828328</v>
      </c>
      <c r="BJ1367">
        <f t="shared" si="79"/>
        <v>0.10152626942196973</v>
      </c>
    </row>
    <row r="1368" spans="1:62" x14ac:dyDescent="0.3">
      <c r="A1368">
        <v>-0.1</v>
      </c>
      <c r="B1368" s="146">
        <v>800</v>
      </c>
      <c r="C1368" s="146">
        <v>25</v>
      </c>
      <c r="D1368" s="146">
        <v>400</v>
      </c>
      <c r="E1368" s="252">
        <v>16.473342270464162</v>
      </c>
      <c r="F1368" s="146">
        <v>3.6738360281109403</v>
      </c>
      <c r="G1368" s="146">
        <v>18.929623664585158</v>
      </c>
      <c r="H1368" s="146">
        <v>9.981076759794723</v>
      </c>
      <c r="I1368" s="146"/>
      <c r="J1368" s="146">
        <v>0.34069300162651861</v>
      </c>
      <c r="K1368" s="146">
        <v>0.18</v>
      </c>
      <c r="L1368" s="146">
        <v>101.24986303227719</v>
      </c>
      <c r="M1368" s="146">
        <v>50.414869559640103</v>
      </c>
      <c r="N1368" s="146">
        <v>2.2788918471284045</v>
      </c>
      <c r="O1368" s="146"/>
      <c r="P1368" s="146"/>
      <c r="Q1368" s="146"/>
      <c r="R1368" s="146"/>
      <c r="S1368" s="146"/>
      <c r="T1368" s="146"/>
      <c r="U1368" s="146"/>
      <c r="V1368" s="146"/>
      <c r="W1368" s="146"/>
      <c r="X1368" s="146"/>
      <c r="Y1368" s="146"/>
      <c r="Z1368" s="146">
        <v>0.2283212424843904</v>
      </c>
      <c r="AA1368" s="146"/>
      <c r="AB1368" s="146"/>
      <c r="AC1368" s="146"/>
      <c r="AD1368" s="146"/>
      <c r="AE1368" s="146"/>
      <c r="AF1368" s="146"/>
      <c r="AG1368" s="146"/>
      <c r="AH1368" s="146"/>
      <c r="AI1368" s="146"/>
      <c r="AJ1368" s="146"/>
      <c r="AK1368" s="146"/>
      <c r="AL1368" s="146">
        <v>1436.3557121902645</v>
      </c>
      <c r="AM1368" s="146">
        <v>0.19407866174245214</v>
      </c>
      <c r="AN1368" s="146">
        <v>0.26527706377955729</v>
      </c>
      <c r="AO1368" s="146">
        <v>337.90136985173604</v>
      </c>
      <c r="AP1368" s="146">
        <v>296.90978862606238</v>
      </c>
      <c r="AQ1368" t="s">
        <v>326</v>
      </c>
      <c r="AR1368">
        <f t="shared" si="80"/>
        <v>9.762677251918257</v>
      </c>
      <c r="AS1368">
        <f t="shared" si="81"/>
        <v>2.6643645582431001</v>
      </c>
      <c r="AT1368">
        <v>0.2</v>
      </c>
      <c r="AU1368">
        <v>1</v>
      </c>
      <c r="AV1368">
        <v>0.3</v>
      </c>
      <c r="AW1368" s="146">
        <v>3</v>
      </c>
      <c r="AX1368" s="146">
        <v>0.26290397099775498</v>
      </c>
      <c r="AY1368">
        <v>0.18</v>
      </c>
      <c r="AZ1368" s="209">
        <v>296.90978862606238</v>
      </c>
      <c r="BA1368">
        <v>0.26290397099775498</v>
      </c>
      <c r="BB1368" s="249">
        <v>43.37159790105121</v>
      </c>
      <c r="BC1368" s="243">
        <v>190.99577708098161</v>
      </c>
      <c r="BD1368" s="209">
        <v>93985.838426261515</v>
      </c>
      <c r="BE1368" s="243">
        <v>56.749574945228133</v>
      </c>
      <c r="BF1368">
        <v>276065.86366775166</v>
      </c>
      <c r="BG1368" t="s">
        <v>387</v>
      </c>
      <c r="BH1368">
        <v>6.5653245121769109E-6</v>
      </c>
      <c r="BI1368">
        <v>2139858.3842626149</v>
      </c>
      <c r="BJ1368">
        <f t="shared" si="79"/>
        <v>0.12901127742753998</v>
      </c>
    </row>
    <row r="1369" spans="1:62" x14ac:dyDescent="0.3">
      <c r="A1369">
        <v>-0.1</v>
      </c>
      <c r="B1369" s="146">
        <v>1000</v>
      </c>
      <c r="C1369" s="146">
        <v>25</v>
      </c>
      <c r="D1369" s="146">
        <v>400</v>
      </c>
      <c r="E1369" s="252">
        <v>18.568520789117102</v>
      </c>
      <c r="F1369" s="146">
        <v>4.2050640567961484</v>
      </c>
      <c r="G1369" s="146">
        <v>21.341714371373868</v>
      </c>
      <c r="H1369" s="146">
        <v>11.395692879594842</v>
      </c>
      <c r="I1369" s="146"/>
      <c r="J1369" s="146">
        <v>0.34422027415484041</v>
      </c>
      <c r="K1369" s="146">
        <v>0.18</v>
      </c>
      <c r="L1369" s="146">
        <v>115.75197309491489</v>
      </c>
      <c r="M1369" s="146">
        <v>57.635837225683765</v>
      </c>
      <c r="N1369" s="146">
        <v>2.4564518793111603</v>
      </c>
      <c r="O1369" s="146"/>
      <c r="P1369" s="146"/>
      <c r="Q1369" s="146"/>
      <c r="R1369" s="146"/>
      <c r="S1369" s="146"/>
      <c r="T1369" s="146"/>
      <c r="U1369" s="146"/>
      <c r="V1369" s="146"/>
      <c r="W1369" s="146"/>
      <c r="X1369" s="146"/>
      <c r="Y1369" s="146"/>
      <c r="Z1369" s="146">
        <v>0.21555967726277439</v>
      </c>
      <c r="AA1369" s="146"/>
      <c r="AB1369" s="146"/>
      <c r="AC1369" s="146"/>
      <c r="AD1369" s="146"/>
      <c r="AE1369" s="146"/>
      <c r="AF1369" s="146"/>
      <c r="AG1369" s="146"/>
      <c r="AH1369" s="146"/>
      <c r="AI1369" s="146"/>
      <c r="AJ1369" s="146"/>
      <c r="AK1369" s="146"/>
      <c r="AL1369" s="146">
        <v>1513.3991112318897</v>
      </c>
      <c r="AM1369" s="146">
        <v>0.19703497027570088</v>
      </c>
      <c r="AN1369" s="146">
        <v>0.27059242657370502</v>
      </c>
      <c r="AO1369" s="146">
        <v>331.37826869644732</v>
      </c>
      <c r="AP1369" s="146">
        <v>285.17317157630902</v>
      </c>
      <c r="AQ1369" t="s">
        <v>326</v>
      </c>
      <c r="AR1369">
        <f t="shared" si="80"/>
        <v>9.762677251918257</v>
      </c>
      <c r="AS1369">
        <f t="shared" si="81"/>
        <v>2.6643645582431001</v>
      </c>
      <c r="AT1369">
        <v>0.2</v>
      </c>
      <c r="AU1369">
        <v>1</v>
      </c>
      <c r="AV1369">
        <v>0.3</v>
      </c>
      <c r="AW1369" s="146">
        <v>3</v>
      </c>
      <c r="AX1369" s="146">
        <v>0.26762712531822413</v>
      </c>
      <c r="AY1369">
        <v>0.18</v>
      </c>
      <c r="AZ1369" s="209">
        <v>285.17317157630902</v>
      </c>
      <c r="BA1369">
        <v>0.26762712531822413</v>
      </c>
      <c r="BB1369" s="249">
        <v>49.175243940167775</v>
      </c>
      <c r="BC1369" s="243">
        <v>205.51427238461184</v>
      </c>
      <c r="BD1369" s="209">
        <v>103951.08492061944</v>
      </c>
      <c r="BE1369" s="243">
        <v>62.750349158865745</v>
      </c>
      <c r="BF1369">
        <v>340102.58584035881</v>
      </c>
      <c r="BG1369" t="s">
        <v>387</v>
      </c>
      <c r="BH1369">
        <v>6.9366531120295693E-6</v>
      </c>
      <c r="BI1369">
        <v>2239510.8492061943</v>
      </c>
      <c r="BJ1369">
        <f t="shared" si="79"/>
        <v>0.15186467435998796</v>
      </c>
    </row>
    <row r="1370" spans="1:62" x14ac:dyDescent="0.3">
      <c r="A1370">
        <v>-0.1</v>
      </c>
      <c r="B1370" s="146">
        <v>1300</v>
      </c>
      <c r="C1370" s="146">
        <v>25</v>
      </c>
      <c r="D1370" s="146">
        <v>400</v>
      </c>
      <c r="E1370" s="252">
        <v>20.872950640389835</v>
      </c>
      <c r="F1370" s="146">
        <v>4.8124772593426801</v>
      </c>
      <c r="G1370" s="146">
        <v>24.002191432301231</v>
      </c>
      <c r="H1370" s="146">
        <v>13.020337374677581</v>
      </c>
      <c r="I1370" s="146"/>
      <c r="J1370" s="146">
        <v>0.3492402321722714</v>
      </c>
      <c r="K1370" s="146">
        <v>0.18</v>
      </c>
      <c r="L1370" s="146">
        <v>132.46905970633048</v>
      </c>
      <c r="M1370" s="146">
        <v>65.95969777908573</v>
      </c>
      <c r="N1370" s="146">
        <v>2.636982271413375</v>
      </c>
      <c r="O1370" s="146"/>
      <c r="P1370" s="146"/>
      <c r="Q1370" s="146"/>
      <c r="R1370" s="146"/>
      <c r="S1370" s="146"/>
      <c r="T1370" s="146"/>
      <c r="U1370" s="146"/>
      <c r="V1370" s="146"/>
      <c r="W1370" s="146"/>
      <c r="X1370" s="146"/>
      <c r="Y1370" s="146"/>
      <c r="Z1370" s="146">
        <v>0.20252795265826773</v>
      </c>
      <c r="AA1370" s="146"/>
      <c r="AB1370" s="146"/>
      <c r="AC1370" s="146"/>
      <c r="AD1370" s="146"/>
      <c r="AE1370" s="146"/>
      <c r="AF1370" s="146"/>
      <c r="AG1370" s="146"/>
      <c r="AH1370" s="146"/>
      <c r="AI1370" s="146"/>
      <c r="AJ1370" s="146"/>
      <c r="AK1370" s="146"/>
      <c r="AL1370" s="146">
        <v>1591.0652141955125</v>
      </c>
      <c r="AM1370" s="146">
        <v>0.20050157807116864</v>
      </c>
      <c r="AN1370" s="146">
        <v>0.27651207677307565</v>
      </c>
      <c r="AO1370" s="146">
        <v>324.51342131606214</v>
      </c>
      <c r="AP1370" s="146">
        <v>272.57407848882502</v>
      </c>
      <c r="AQ1370" t="s">
        <v>326</v>
      </c>
      <c r="AR1370">
        <f t="shared" si="80"/>
        <v>9.762677251918257</v>
      </c>
      <c r="AS1370">
        <f t="shared" si="81"/>
        <v>2.6643645582431001</v>
      </c>
      <c r="AT1370">
        <v>0.2</v>
      </c>
      <c r="AU1370">
        <v>1</v>
      </c>
      <c r="AV1370">
        <v>0.3</v>
      </c>
      <c r="AW1370" s="146">
        <v>3</v>
      </c>
      <c r="AX1370" s="146">
        <v>0.27341617240226213</v>
      </c>
      <c r="AY1370">
        <v>0.18</v>
      </c>
      <c r="AZ1370" s="209">
        <v>272.57407848882502</v>
      </c>
      <c r="BA1370">
        <v>0.27341617240226213</v>
      </c>
      <c r="BB1370" s="249">
        <v>55.668915696297461</v>
      </c>
      <c r="BC1370" s="243">
        <v>220.09724044603408</v>
      </c>
      <c r="BD1370" s="209">
        <v>114321.77648730019</v>
      </c>
      <c r="BE1370" s="243">
        <v>69.103624449989439</v>
      </c>
      <c r="BF1370">
        <v>417757.28668028279</v>
      </c>
      <c r="BG1370" t="s">
        <v>387</v>
      </c>
      <c r="BH1370">
        <v>7.2893821399457738E-6</v>
      </c>
      <c r="BI1370">
        <v>2343217.7648730017</v>
      </c>
      <c r="BJ1370">
        <f t="shared" si="79"/>
        <v>0.17828359486807002</v>
      </c>
    </row>
    <row r="1371" spans="1:62" x14ac:dyDescent="0.3">
      <c r="A1371">
        <v>-0.1</v>
      </c>
      <c r="B1371" s="227">
        <v>1600</v>
      </c>
      <c r="C1371" s="146">
        <v>25</v>
      </c>
      <c r="D1371" s="146">
        <v>400</v>
      </c>
      <c r="E1371" s="252">
        <v>22.517379675086325</v>
      </c>
      <c r="F1371" s="146">
        <v>5.2594798395334728</v>
      </c>
      <c r="G1371" s="146">
        <v>25.905303474887805</v>
      </c>
      <c r="H1371" s="146">
        <v>14.211835358232124</v>
      </c>
      <c r="I1371" s="146"/>
      <c r="J1371" s="146">
        <v>0.35065926399857911</v>
      </c>
      <c r="K1371" s="146">
        <v>0.18</v>
      </c>
      <c r="L1371" s="146">
        <v>144.77796926297324</v>
      </c>
      <c r="M1371" s="146">
        <v>72.088615400650582</v>
      </c>
      <c r="N1371" s="146">
        <v>2.7939699459261291</v>
      </c>
      <c r="O1371" s="146"/>
      <c r="P1371" s="146"/>
      <c r="Q1371" s="146"/>
      <c r="R1371" s="146"/>
      <c r="S1371" s="146"/>
      <c r="T1371" s="146"/>
      <c r="U1371" s="146"/>
      <c r="V1371" s="146"/>
      <c r="W1371" s="146"/>
      <c r="X1371" s="146"/>
      <c r="Y1371" s="146"/>
      <c r="Z1371" s="146">
        <v>0.19659459003708046</v>
      </c>
      <c r="AA1371" s="146"/>
      <c r="AB1371" s="146"/>
      <c r="AC1371" s="146"/>
      <c r="AD1371" s="146"/>
      <c r="AE1371" s="146"/>
      <c r="AF1371" s="146"/>
      <c r="AG1371" s="146"/>
      <c r="AH1371" s="146"/>
      <c r="AI1371" s="146"/>
      <c r="AJ1371" s="146"/>
      <c r="AK1371" s="146"/>
      <c r="AL1371" s="146">
        <v>1660.651399426519</v>
      </c>
      <c r="AM1371" s="146">
        <v>0.20302714633827509</v>
      </c>
      <c r="AN1371" s="146">
        <v>0.28040773263791369</v>
      </c>
      <c r="AO1371" s="146">
        <v>319.69772208756211</v>
      </c>
      <c r="AP1371" s="146">
        <v>263.66642646345383</v>
      </c>
      <c r="AQ1371" t="s">
        <v>326</v>
      </c>
      <c r="AR1371">
        <f t="shared" si="80"/>
        <v>9.762677251918257</v>
      </c>
      <c r="AS1371">
        <f t="shared" si="81"/>
        <v>2.6643645582431001</v>
      </c>
      <c r="AT1371">
        <v>0.2</v>
      </c>
      <c r="AU1371">
        <v>1</v>
      </c>
      <c r="AV1371">
        <v>0.3</v>
      </c>
      <c r="AW1371" s="146">
        <v>3</v>
      </c>
      <c r="AX1371" s="146">
        <v>0.27620858529233727</v>
      </c>
      <c r="AY1371">
        <v>0.18</v>
      </c>
      <c r="AZ1371" s="209">
        <v>263.66642646345383</v>
      </c>
      <c r="BA1371">
        <v>0.27620858529233727</v>
      </c>
      <c r="BB1371" s="249">
        <v>60.398656151128151</v>
      </c>
      <c r="BC1371" s="243">
        <v>229.48079694562426</v>
      </c>
      <c r="BD1371" s="209">
        <v>121474.44799030952</v>
      </c>
      <c r="BE1371" s="243">
        <v>73.792755068272385</v>
      </c>
      <c r="BF1371">
        <v>478306.53608896706</v>
      </c>
      <c r="BG1371" t="s">
        <v>387</v>
      </c>
      <c r="BH1371">
        <v>7.5061102051115624E-6</v>
      </c>
      <c r="BI1371">
        <v>2414744.4799030954</v>
      </c>
      <c r="BJ1371">
        <f t="shared" si="79"/>
        <v>0.19807749435590868</v>
      </c>
    </row>
    <row r="1372" spans="1:62" s="140" customFormat="1" x14ac:dyDescent="0.3">
      <c r="A1372" s="140">
        <v>-0.1</v>
      </c>
      <c r="B1372" s="140">
        <v>1900</v>
      </c>
      <c r="C1372" s="140">
        <v>25</v>
      </c>
      <c r="D1372" s="140">
        <v>400</v>
      </c>
      <c r="E1372" s="253">
        <v>23.777499563538679</v>
      </c>
      <c r="F1372" s="140">
        <v>5.6338795365103955</v>
      </c>
      <c r="G1372" s="140">
        <v>27.379610516929574</v>
      </c>
      <c r="H1372" s="140">
        <v>15.122024890951975</v>
      </c>
      <c r="J1372" s="140">
        <v>0.35329110056654589</v>
      </c>
      <c r="K1372" s="140">
        <v>0.18</v>
      </c>
      <c r="L1372" s="140">
        <v>154.21055052771266</v>
      </c>
      <c r="M1372" s="140">
        <v>76.78533636234657</v>
      </c>
      <c r="N1372" s="140">
        <v>2.8710193237104704</v>
      </c>
      <c r="Z1372" s="140">
        <v>0.18985680452280565</v>
      </c>
      <c r="AL1372" s="140">
        <v>1692.0058385953621</v>
      </c>
      <c r="AM1372" s="140">
        <v>0.20576916289685024</v>
      </c>
      <c r="AN1372" s="140">
        <v>0.28193469309584784</v>
      </c>
      <c r="AO1372" s="140">
        <v>315.66309451864737</v>
      </c>
      <c r="AP1372" s="140">
        <v>256.49617674012723</v>
      </c>
      <c r="AQ1372" t="s">
        <v>326</v>
      </c>
      <c r="AR1372">
        <f t="shared" si="80"/>
        <v>9.762677251918257</v>
      </c>
      <c r="AS1372">
        <f t="shared" si="81"/>
        <v>2.6643645582431001</v>
      </c>
      <c r="AT1372" s="140">
        <v>0.2</v>
      </c>
      <c r="AU1372" s="140">
        <v>1</v>
      </c>
      <c r="AV1372">
        <v>0.3</v>
      </c>
      <c r="AW1372" s="140">
        <v>3</v>
      </c>
      <c r="AX1372" s="140">
        <v>0.27886263154849317</v>
      </c>
      <c r="AY1372">
        <v>0.18</v>
      </c>
      <c r="AZ1372" s="209">
        <v>256.49617674012723</v>
      </c>
      <c r="BA1372" s="140">
        <v>0.27886263154849317</v>
      </c>
      <c r="BB1372" s="253">
        <v>64.20767467279947</v>
      </c>
      <c r="BC1372" s="245">
        <v>236.17698046283047</v>
      </c>
      <c r="BD1372" s="210">
        <v>127130.58843979271</v>
      </c>
      <c r="BE1372" s="245">
        <v>77.891493591449702</v>
      </c>
      <c r="BF1372" s="140">
        <v>528612.91679859161</v>
      </c>
      <c r="BG1372" t="s">
        <v>387</v>
      </c>
      <c r="BH1372" s="140">
        <v>7.6438168147464721E-6</v>
      </c>
      <c r="BI1372" s="140">
        <v>2471305.8843979272</v>
      </c>
      <c r="BJ1372">
        <f t="shared" si="79"/>
        <v>0.21390023798182115</v>
      </c>
    </row>
    <row r="1373" spans="1:62" x14ac:dyDescent="0.3">
      <c r="A1373">
        <v>-0.1</v>
      </c>
      <c r="B1373" s="146">
        <v>1000</v>
      </c>
      <c r="C1373" s="146">
        <v>25</v>
      </c>
      <c r="D1373" s="146">
        <v>200</v>
      </c>
      <c r="E1373" s="252">
        <v>15.136814480432529</v>
      </c>
      <c r="F1373" s="146">
        <v>6.7494200347059463</v>
      </c>
      <c r="G1373" s="146">
        <v>19.251634529741388</v>
      </c>
      <c r="H1373" s="146">
        <v>11.829997798454743</v>
      </c>
      <c r="I1373" s="146"/>
      <c r="J1373" s="146">
        <v>0.39562380293559685</v>
      </c>
      <c r="K1373" s="146">
        <v>0.18</v>
      </c>
      <c r="L1373" s="146">
        <v>121.03216636902</v>
      </c>
      <c r="M1373" s="146">
        <v>60.264979104906224</v>
      </c>
      <c r="N1373" s="146">
        <v>1.7196493904897849</v>
      </c>
      <c r="O1373" s="146"/>
      <c r="P1373" s="146"/>
      <c r="Q1373" s="146"/>
      <c r="R1373" s="146"/>
      <c r="S1373" s="146"/>
      <c r="T1373" s="146"/>
      <c r="U1373" s="146"/>
      <c r="V1373" s="146"/>
      <c r="W1373" s="146"/>
      <c r="X1373" s="146"/>
      <c r="Y1373" s="146"/>
      <c r="Z1373" s="146">
        <v>0.14536345820067767</v>
      </c>
      <c r="AA1373" s="146"/>
      <c r="AB1373" s="146"/>
      <c r="AC1373" s="146"/>
      <c r="AD1373" s="146"/>
      <c r="AE1373" s="146"/>
      <c r="AF1373" s="146"/>
      <c r="AG1373" s="146"/>
      <c r="AH1373" s="146"/>
      <c r="AI1373" s="146"/>
      <c r="AJ1373" s="146"/>
      <c r="AK1373" s="146"/>
      <c r="AL1373" s="146">
        <v>966.45228564932165</v>
      </c>
      <c r="AM1373" s="146">
        <v>0.35058945380865864</v>
      </c>
      <c r="AN1373" s="146">
        <v>0.27172381404077267</v>
      </c>
      <c r="AO1373" s="146">
        <v>144.29338284585825</v>
      </c>
      <c r="AP1373" s="146">
        <v>106.62759040443082</v>
      </c>
      <c r="AQ1373" t="s">
        <v>326</v>
      </c>
      <c r="AR1373">
        <f t="shared" si="80"/>
        <v>9.762677251918257</v>
      </c>
      <c r="AS1373">
        <f t="shared" si="81"/>
        <v>2.6643645582431001</v>
      </c>
      <c r="AT1373">
        <v>0.2</v>
      </c>
      <c r="AU1373">
        <v>1</v>
      </c>
      <c r="AV1373">
        <v>0.3</v>
      </c>
      <c r="AW1373" s="146">
        <v>3</v>
      </c>
      <c r="AX1373" s="146">
        <v>0.28001714285043428</v>
      </c>
      <c r="AY1373">
        <v>0.18</v>
      </c>
      <c r="AZ1373" s="209">
        <v>106.62759040443082</v>
      </c>
      <c r="BA1373">
        <v>0.28001714285043428</v>
      </c>
      <c r="BB1373" s="249">
        <v>62.987567835605134</v>
      </c>
      <c r="BC1373" s="243">
        <v>221.10164152274322</v>
      </c>
      <c r="BD1373" s="209">
        <v>118959.25204237267</v>
      </c>
      <c r="BE1373" s="243">
        <v>74.942371259611264</v>
      </c>
      <c r="BF1373">
        <v>290065.53833823337</v>
      </c>
      <c r="BG1373" t="s">
        <v>388</v>
      </c>
      <c r="BH1373">
        <v>5.3982704634606383E-6</v>
      </c>
      <c r="BI1373">
        <v>2389592.5204237266</v>
      </c>
      <c r="BJ1373">
        <f t="shared" si="79"/>
        <v>0.12138702973793977</v>
      </c>
    </row>
    <row r="1374" spans="1:62" x14ac:dyDescent="0.3">
      <c r="A1374">
        <v>-0.1</v>
      </c>
      <c r="B1374" s="146">
        <v>1000</v>
      </c>
      <c r="C1374" s="146">
        <v>25</v>
      </c>
      <c r="D1374" s="146">
        <v>300</v>
      </c>
      <c r="E1374" s="252">
        <v>17.141802315518035</v>
      </c>
      <c r="F1374" s="146">
        <v>5.1395452557579571</v>
      </c>
      <c r="G1374" s="146">
        <v>20.405977667153287</v>
      </c>
      <c r="H1374" s="146">
        <v>11.571998726938723</v>
      </c>
      <c r="I1374" s="146"/>
      <c r="J1374" s="146">
        <v>0.36178244887188443</v>
      </c>
      <c r="K1374" s="146">
        <v>0.18</v>
      </c>
      <c r="L1374" s="146">
        <v>117.75959078719619</v>
      </c>
      <c r="M1374" s="146">
        <v>58.635480889890218</v>
      </c>
      <c r="N1374" s="146">
        <v>2.1596159988162889</v>
      </c>
      <c r="O1374" s="146"/>
      <c r="P1374" s="146"/>
      <c r="Q1374" s="146"/>
      <c r="R1374" s="146"/>
      <c r="S1374" s="146"/>
      <c r="T1374" s="146"/>
      <c r="U1374" s="146"/>
      <c r="V1374" s="146"/>
      <c r="W1374" s="146"/>
      <c r="X1374" s="146"/>
      <c r="Y1374" s="146"/>
      <c r="Z1374" s="146">
        <v>0.18662428589703081</v>
      </c>
      <c r="AA1374" s="146"/>
      <c r="AB1374" s="146"/>
      <c r="AC1374" s="146"/>
      <c r="AD1374" s="146"/>
      <c r="AE1374" s="146"/>
      <c r="AF1374" s="146"/>
      <c r="AG1374" s="146"/>
      <c r="AH1374" s="146"/>
      <c r="AI1374" s="146"/>
      <c r="AJ1374" s="146"/>
      <c r="AK1374" s="146"/>
      <c r="AL1374" s="146">
        <v>1274.6535907228977</v>
      </c>
      <c r="AM1374" s="146">
        <v>0.25186469080728652</v>
      </c>
      <c r="AN1374" s="146">
        <v>0.27427107554620161</v>
      </c>
      <c r="AO1374" s="146">
        <v>237.50051010161857</v>
      </c>
      <c r="AP1374" s="146">
        <v>194.84559131475442</v>
      </c>
      <c r="AQ1374" t="s">
        <v>326</v>
      </c>
      <c r="AR1374">
        <f t="shared" si="80"/>
        <v>9.762677251918257</v>
      </c>
      <c r="AS1374">
        <f t="shared" si="81"/>
        <v>2.6643645582431001</v>
      </c>
      <c r="AT1374">
        <v>0.2</v>
      </c>
      <c r="AU1374">
        <v>1</v>
      </c>
      <c r="AV1374">
        <v>0.3</v>
      </c>
      <c r="AW1374" s="146">
        <v>3</v>
      </c>
      <c r="AX1374" s="146">
        <v>0.27110434604553446</v>
      </c>
      <c r="AY1374">
        <v>0.18</v>
      </c>
      <c r="AZ1374" s="209">
        <v>194.84559131475442</v>
      </c>
      <c r="BA1374">
        <v>0.27110434604553446</v>
      </c>
      <c r="BB1374" s="249">
        <v>54.194233832325878</v>
      </c>
      <c r="BC1374" s="243">
        <v>211.30776008366556</v>
      </c>
      <c r="BD1374" s="209">
        <v>108856.21323616526</v>
      </c>
      <c r="BE1374" s="243">
        <v>66.453329418842927</v>
      </c>
      <c r="BF1374">
        <v>318367.24096037447</v>
      </c>
      <c r="BG1374" t="s">
        <v>388</v>
      </c>
      <c r="BH1374">
        <v>6.3184853530376272E-6</v>
      </c>
      <c r="BI1374">
        <v>2288562.1323616523</v>
      </c>
      <c r="BJ1374">
        <f t="shared" si="79"/>
        <v>0.13911234327373909</v>
      </c>
    </row>
    <row r="1375" spans="1:62" x14ac:dyDescent="0.3">
      <c r="A1375">
        <v>-0.1</v>
      </c>
      <c r="B1375" s="146">
        <v>1000</v>
      </c>
      <c r="C1375" s="146">
        <v>25</v>
      </c>
      <c r="D1375" s="146">
        <v>400</v>
      </c>
      <c r="E1375" s="252">
        <v>18.563062638221957</v>
      </c>
      <c r="F1375" s="146">
        <v>4.2027052683706634</v>
      </c>
      <c r="G1375" s="146">
        <v>21.334789147701631</v>
      </c>
      <c r="H1375" s="146">
        <v>11.393490575771731</v>
      </c>
      <c r="I1375" s="146"/>
      <c r="J1375" s="146">
        <v>0.34416932775988374</v>
      </c>
      <c r="K1375" s="146">
        <v>0.18</v>
      </c>
      <c r="L1375" s="146">
        <v>115.7297690076167</v>
      </c>
      <c r="M1375" s="146">
        <v>57.624781248605828</v>
      </c>
      <c r="N1375" s="146">
        <v>2.4576602538941614</v>
      </c>
      <c r="O1375" s="146"/>
      <c r="P1375" s="146"/>
      <c r="Q1375" s="146"/>
      <c r="R1375" s="146"/>
      <c r="S1375" s="146"/>
      <c r="T1375" s="146"/>
      <c r="U1375" s="146"/>
      <c r="V1375" s="146"/>
      <c r="W1375" s="146"/>
      <c r="X1375" s="146"/>
      <c r="Y1375" s="146"/>
      <c r="Z1375" s="146">
        <v>0.21570740218281995</v>
      </c>
      <c r="AA1375" s="146"/>
      <c r="AB1375" s="146"/>
      <c r="AC1375" s="146"/>
      <c r="AD1375" s="146"/>
      <c r="AE1375" s="146"/>
      <c r="AF1375" s="146"/>
      <c r="AG1375" s="146"/>
      <c r="AH1375" s="146"/>
      <c r="AI1375" s="146"/>
      <c r="AJ1375" s="146"/>
      <c r="AK1375" s="146"/>
      <c r="AL1375" s="146">
        <v>1514.0606512223599</v>
      </c>
      <c r="AM1375" s="146">
        <v>0.19698836671293821</v>
      </c>
      <c r="AN1375" s="146">
        <v>0.27068563449912952</v>
      </c>
      <c r="AO1375" s="146">
        <v>331.42206208109042</v>
      </c>
      <c r="AP1375" s="146">
        <v>285.23052427528063</v>
      </c>
      <c r="AQ1375" t="s">
        <v>326</v>
      </c>
      <c r="AR1375">
        <f t="shared" si="80"/>
        <v>9.762677251918257</v>
      </c>
      <c r="AS1375">
        <f t="shared" si="81"/>
        <v>2.6643645582431001</v>
      </c>
      <c r="AT1375">
        <v>0.2</v>
      </c>
      <c r="AU1375">
        <v>1</v>
      </c>
      <c r="AV1375">
        <v>0.3</v>
      </c>
      <c r="AW1375" s="146">
        <v>3</v>
      </c>
      <c r="AX1375" s="146">
        <v>0.26761453769992066</v>
      </c>
      <c r="AY1375">
        <v>0.18</v>
      </c>
      <c r="AZ1375" s="209">
        <v>285.23052427528063</v>
      </c>
      <c r="BA1375">
        <v>0.26761453769992066</v>
      </c>
      <c r="BB1375" s="249">
        <v>49.153684719937409</v>
      </c>
      <c r="BC1375" s="243">
        <v>205.45106613931253</v>
      </c>
      <c r="BD1375" s="209">
        <v>103890.00094625825</v>
      </c>
      <c r="BE1375" s="243">
        <v>62.698483978424193</v>
      </c>
      <c r="BF1375">
        <v>339850.65050001419</v>
      </c>
      <c r="BG1375" t="s">
        <v>388</v>
      </c>
      <c r="BH1375">
        <v>6.9369698333903932E-6</v>
      </c>
      <c r="BI1375">
        <v>2238900.0094625824</v>
      </c>
      <c r="BJ1375">
        <f t="shared" si="79"/>
        <v>0.15179358125135331</v>
      </c>
    </row>
    <row r="1376" spans="1:62" x14ac:dyDescent="0.3">
      <c r="A1376">
        <v>-0.1</v>
      </c>
      <c r="B1376" s="146">
        <v>1000</v>
      </c>
      <c r="C1376" s="146">
        <v>25</v>
      </c>
      <c r="D1376" s="146">
        <v>500</v>
      </c>
      <c r="E1376" s="252">
        <v>19.51454931068843</v>
      </c>
      <c r="F1376" s="146">
        <v>3.5292470947015615</v>
      </c>
      <c r="G1376" s="146">
        <v>21.932167509807407</v>
      </c>
      <c r="H1376" s="146">
        <v>11.277385640880778</v>
      </c>
      <c r="I1376" s="146"/>
      <c r="J1376" s="146">
        <v>0.33558118396744757</v>
      </c>
      <c r="K1376" s="146">
        <v>0.18</v>
      </c>
      <c r="L1376" s="146">
        <v>114.44259337962083</v>
      </c>
      <c r="M1376" s="146">
        <v>56.983863923462657</v>
      </c>
      <c r="N1376" s="146">
        <v>2.6744947960392178</v>
      </c>
      <c r="O1376" s="146"/>
      <c r="P1376" s="146"/>
      <c r="Q1376" s="146"/>
      <c r="R1376" s="146"/>
      <c r="S1376" s="146"/>
      <c r="T1376" s="146"/>
      <c r="U1376" s="146"/>
      <c r="V1376" s="146"/>
      <c r="W1376" s="146"/>
      <c r="X1376" s="146"/>
      <c r="Y1376" s="146"/>
      <c r="Z1376" s="146">
        <v>0.23715556789546272</v>
      </c>
      <c r="AA1376" s="146"/>
      <c r="AB1376" s="146"/>
      <c r="AC1376" s="146"/>
      <c r="AD1376" s="146"/>
      <c r="AE1376" s="146"/>
      <c r="AF1376" s="146"/>
      <c r="AG1376" s="146"/>
      <c r="AH1376" s="146"/>
      <c r="AI1376" s="146"/>
      <c r="AJ1376" s="146"/>
      <c r="AK1376" s="146"/>
      <c r="AL1376" s="146">
        <v>1715.9194897804098</v>
      </c>
      <c r="AM1376" s="146">
        <v>0.16091647545202215</v>
      </c>
      <c r="AN1376" s="146">
        <v>0.26817214721995741</v>
      </c>
      <c r="AO1376" s="146">
        <v>427.23125979715405</v>
      </c>
      <c r="AP1376" s="146">
        <v>378.67209176080166</v>
      </c>
      <c r="AQ1376" t="s">
        <v>326</v>
      </c>
      <c r="AR1376">
        <f t="shared" si="80"/>
        <v>9.762677251918257</v>
      </c>
      <c r="AS1376">
        <f t="shared" si="81"/>
        <v>2.6643645582431001</v>
      </c>
      <c r="AT1376">
        <v>0.2</v>
      </c>
      <c r="AU1376">
        <v>1</v>
      </c>
      <c r="AV1376">
        <v>0.3</v>
      </c>
      <c r="AW1376" s="146">
        <v>3</v>
      </c>
      <c r="AX1376" s="146">
        <v>0.26791283168636193</v>
      </c>
      <c r="AY1376">
        <v>0.18</v>
      </c>
      <c r="AZ1376" s="209">
        <v>378.67209176080166</v>
      </c>
      <c r="BA1376">
        <v>0.26791283168636193</v>
      </c>
      <c r="BB1376" s="249">
        <v>45.373334089774445</v>
      </c>
      <c r="BC1376" s="243">
        <v>201.81852950606802</v>
      </c>
      <c r="BD1376" s="209">
        <v>100160.75519271549</v>
      </c>
      <c r="BE1376" s="243">
        <v>59.379331201210078</v>
      </c>
      <c r="BF1376">
        <v>352288.58069659129</v>
      </c>
      <c r="BG1376" t="s">
        <v>388</v>
      </c>
      <c r="BH1376">
        <v>7.3767168937879382E-6</v>
      </c>
      <c r="BI1376">
        <v>2201607.5519271549</v>
      </c>
      <c r="BJ1376">
        <f t="shared" si="79"/>
        <v>0.16001424976409581</v>
      </c>
    </row>
    <row r="1377" spans="1:62" s="146" customFormat="1" x14ac:dyDescent="0.3">
      <c r="A1377">
        <v>-0.1</v>
      </c>
      <c r="B1377" s="146">
        <v>1000</v>
      </c>
      <c r="C1377" s="146">
        <v>25</v>
      </c>
      <c r="D1377" s="146">
        <v>600</v>
      </c>
      <c r="E1377" s="252">
        <v>20.206571263696475</v>
      </c>
      <c r="F1377" s="146">
        <v>3.0404804874214952</v>
      </c>
      <c r="G1377" s="146">
        <v>22.367363823761494</v>
      </c>
      <c r="H1377" s="146">
        <v>11.197786086083546</v>
      </c>
      <c r="J1377" s="146">
        <v>0.33051312568748392</v>
      </c>
      <c r="K1377" s="146">
        <v>0.18</v>
      </c>
      <c r="L1377" s="146">
        <v>113.57060781216306</v>
      </c>
      <c r="M1377" s="146">
        <v>56.549680238421438</v>
      </c>
      <c r="N1377" s="146">
        <v>2.8352708903241588</v>
      </c>
      <c r="Z1377" s="146">
        <v>0.25319923675339667</v>
      </c>
      <c r="AL1377" s="146">
        <v>1891.4336128347804</v>
      </c>
      <c r="AM1377" s="146">
        <v>0.13593378778913165</v>
      </c>
      <c r="AN1377" s="146">
        <v>0.26615373336264964</v>
      </c>
      <c r="AO1377" s="146">
        <v>524.07932434987163</v>
      </c>
      <c r="AP1377" s="146">
        <v>473.79816767270063</v>
      </c>
      <c r="AQ1377" t="s">
        <v>326</v>
      </c>
      <c r="AR1377">
        <f t="shared" si="80"/>
        <v>9.762677251918257</v>
      </c>
      <c r="AS1377">
        <f t="shared" si="81"/>
        <v>2.6643645582431001</v>
      </c>
      <c r="AT1377">
        <v>0.2</v>
      </c>
      <c r="AU1377">
        <v>1</v>
      </c>
      <c r="AV1377">
        <v>0.3</v>
      </c>
      <c r="AW1377" s="146">
        <v>3</v>
      </c>
      <c r="AX1377" s="146">
        <v>0.26908046225048099</v>
      </c>
      <c r="AY1377">
        <v>0.18</v>
      </c>
      <c r="AZ1377" s="209">
        <v>473.79816767270063</v>
      </c>
      <c r="BA1377" s="146">
        <v>0.26908046225048099</v>
      </c>
      <c r="BB1377" s="252">
        <v>42.599493203623297</v>
      </c>
      <c r="BC1377" s="244">
        <v>199.39225535314503</v>
      </c>
      <c r="BD1377" s="229">
        <v>97457.78766982333</v>
      </c>
      <c r="BE1377" s="244">
        <v>56.828671188563639</v>
      </c>
      <c r="BF1377" s="146">
        <v>360702.89823123452</v>
      </c>
      <c r="BG1377" t="s">
        <v>388</v>
      </c>
      <c r="BH1377" s="146">
        <v>7.7037570286783601E-6</v>
      </c>
      <c r="BI1377" s="146">
        <v>2174577.8766982332</v>
      </c>
      <c r="BJ1377">
        <f t="shared" si="79"/>
        <v>0.16587260548190033</v>
      </c>
    </row>
    <row r="1378" spans="1:62" s="140" customFormat="1" x14ac:dyDescent="0.3">
      <c r="A1378">
        <v>-0.1</v>
      </c>
      <c r="B1378" s="146">
        <v>1000</v>
      </c>
      <c r="C1378" s="146">
        <v>25</v>
      </c>
      <c r="D1378" s="146">
        <v>700</v>
      </c>
      <c r="E1378" s="252">
        <v>20.716561929765756</v>
      </c>
      <c r="F1378" s="146">
        <v>2.6683208574015711</v>
      </c>
      <c r="G1378" s="146">
        <v>22.681436347062444</v>
      </c>
      <c r="H1378" s="146">
        <v>11.136047830903964</v>
      </c>
      <c r="I1378" s="146"/>
      <c r="J1378" s="146">
        <v>0.32694474489125369</v>
      </c>
      <c r="K1378" s="146">
        <v>0.18</v>
      </c>
      <c r="L1378" s="146">
        <v>112.90244999064407</v>
      </c>
      <c r="M1378" s="146">
        <v>56.216987547208682</v>
      </c>
      <c r="N1378" s="146">
        <v>2.963687738281843</v>
      </c>
      <c r="O1378" s="146"/>
      <c r="P1378" s="146"/>
      <c r="Q1378" s="146"/>
      <c r="R1378" s="146"/>
      <c r="S1378" s="146"/>
      <c r="T1378" s="146"/>
      <c r="U1378" s="146"/>
      <c r="V1378" s="146"/>
      <c r="W1378" s="146"/>
      <c r="X1378" s="146"/>
      <c r="Y1378" s="146"/>
      <c r="Z1378" s="146">
        <v>0.26613460926929827</v>
      </c>
      <c r="AA1378" s="146"/>
      <c r="AB1378" s="146"/>
      <c r="AC1378" s="146"/>
      <c r="AD1378" s="146"/>
      <c r="AE1378" s="146"/>
      <c r="AF1378" s="146"/>
      <c r="AG1378" s="146"/>
      <c r="AH1378" s="146"/>
      <c r="AI1378" s="146"/>
      <c r="AJ1378" s="146"/>
      <c r="AK1378" s="146"/>
      <c r="AL1378" s="146">
        <v>2052.0457248546745</v>
      </c>
      <c r="AM1378" s="146">
        <v>0.11764338098222581</v>
      </c>
      <c r="AN1378" s="146">
        <v>0.26475546531115673</v>
      </c>
      <c r="AO1378" s="146">
        <v>621.75208959173551</v>
      </c>
      <c r="AP1378" s="146">
        <v>570.20185571375282</v>
      </c>
      <c r="AQ1378" t="s">
        <v>326</v>
      </c>
      <c r="AR1378">
        <f t="shared" si="80"/>
        <v>9.762677251918257</v>
      </c>
      <c r="AS1378">
        <f t="shared" si="81"/>
        <v>2.6643645582431001</v>
      </c>
      <c r="AT1378">
        <v>0.2</v>
      </c>
      <c r="AU1378">
        <v>1</v>
      </c>
      <c r="AV1378">
        <v>0.3</v>
      </c>
      <c r="AW1378" s="146">
        <v>3</v>
      </c>
      <c r="AX1378" s="146">
        <v>0.27033936127591157</v>
      </c>
      <c r="AY1378">
        <v>0.18</v>
      </c>
      <c r="AZ1378" s="209">
        <v>570.20185571375282</v>
      </c>
      <c r="BA1378" s="140">
        <v>0.27033936127591157</v>
      </c>
      <c r="BB1378" s="253">
        <v>40.457241827289579</v>
      </c>
      <c r="BC1378" s="245">
        <v>197.5515422835513</v>
      </c>
      <c r="BD1378" s="210">
        <v>95308.245124344801</v>
      </c>
      <c r="BE1378" s="245">
        <v>54.734053154810461</v>
      </c>
      <c r="BF1378" s="140">
        <v>366114.29390065465</v>
      </c>
      <c r="BG1378" t="s">
        <v>388</v>
      </c>
      <c r="BH1378" s="140">
        <v>7.9556585972156236E-6</v>
      </c>
      <c r="BI1378" s="140">
        <v>2153082.4512434481</v>
      </c>
      <c r="BJ1378">
        <f t="shared" si="79"/>
        <v>0.17004192927642708</v>
      </c>
    </row>
    <row r="1379" spans="1:62" x14ac:dyDescent="0.3">
      <c r="A1379">
        <v>-0.1</v>
      </c>
      <c r="B1379" s="146">
        <v>1000</v>
      </c>
      <c r="C1379" s="146">
        <v>25</v>
      </c>
      <c r="D1379" s="146">
        <v>800</v>
      </c>
      <c r="E1379" s="252">
        <v>21.117405591423214</v>
      </c>
      <c r="F1379" s="146">
        <v>2.3787973720912894</v>
      </c>
      <c r="G1379" s="146">
        <v>22.930023442075615</v>
      </c>
      <c r="H1379" s="146">
        <v>11.08980729830073</v>
      </c>
      <c r="I1379" s="146"/>
      <c r="J1379" s="146">
        <v>0.32405138848406018</v>
      </c>
      <c r="K1379" s="146">
        <v>0.18</v>
      </c>
      <c r="L1379" s="146">
        <v>112.4039804149682</v>
      </c>
      <c r="M1379" s="146">
        <v>55.968786928614882</v>
      </c>
      <c r="N1379" s="146">
        <v>3.0702578705566204</v>
      </c>
      <c r="O1379" s="146"/>
      <c r="P1379" s="146"/>
      <c r="Q1379" s="146"/>
      <c r="R1379" s="146"/>
      <c r="S1379" s="146"/>
      <c r="T1379" s="146"/>
      <c r="U1379" s="146"/>
      <c r="V1379" s="146"/>
      <c r="W1379" s="146"/>
      <c r="X1379" s="146"/>
      <c r="Y1379" s="146"/>
      <c r="Z1379" s="146">
        <v>0.27685403253373664</v>
      </c>
      <c r="AA1379" s="146"/>
      <c r="AB1379" s="146"/>
      <c r="AC1379" s="146"/>
      <c r="AD1379" s="146"/>
      <c r="AE1379" s="146"/>
      <c r="AF1379" s="146"/>
      <c r="AG1379" s="146"/>
      <c r="AH1379" s="146"/>
      <c r="AI1379" s="146"/>
      <c r="AJ1379" s="146"/>
      <c r="AK1379" s="146"/>
      <c r="AL1379" s="146">
        <v>2202.4559182408375</v>
      </c>
      <c r="AM1379" s="146">
        <v>0.10374160227530765</v>
      </c>
      <c r="AN1379" s="146">
        <v>0.26355449381089785</v>
      </c>
      <c r="AO1379" s="146">
        <v>719.87461383764116</v>
      </c>
      <c r="AP1379" s="146">
        <v>667.32698296252511</v>
      </c>
      <c r="AQ1379" t="s">
        <v>326</v>
      </c>
      <c r="AR1379">
        <f t="shared" si="80"/>
        <v>9.762677251918257</v>
      </c>
      <c r="AS1379">
        <f t="shared" si="81"/>
        <v>2.6643645582431001</v>
      </c>
      <c r="AT1379">
        <v>0.2</v>
      </c>
      <c r="AU1379">
        <v>1</v>
      </c>
      <c r="AV1379">
        <v>0.3</v>
      </c>
      <c r="AW1379" s="146">
        <v>3</v>
      </c>
      <c r="AX1379" s="146">
        <v>0.27138193996012527</v>
      </c>
      <c r="AY1379">
        <v>0.18</v>
      </c>
      <c r="AZ1379" s="209">
        <v>667.32698296252511</v>
      </c>
      <c r="BA1379">
        <v>0.27138193996012527</v>
      </c>
      <c r="BB1379" s="249">
        <v>38.78876738597743</v>
      </c>
      <c r="BC1379" s="243">
        <v>196.1885257877347</v>
      </c>
      <c r="BD1379" s="209">
        <v>93665.531164167551</v>
      </c>
      <c r="BE1379" s="243">
        <v>53.099140054967172</v>
      </c>
      <c r="BF1379">
        <v>370236.71716324601</v>
      </c>
      <c r="BG1379" t="s">
        <v>388</v>
      </c>
      <c r="BH1379">
        <v>8.1548187221815439E-6</v>
      </c>
      <c r="BI1379">
        <v>2136655.3116416754</v>
      </c>
      <c r="BJ1379">
        <f t="shared" si="79"/>
        <v>0.17327863560677867</v>
      </c>
    </row>
    <row r="1380" spans="1:62" x14ac:dyDescent="0.3">
      <c r="A1380">
        <v>-0.1</v>
      </c>
      <c r="B1380" s="146">
        <v>1000</v>
      </c>
      <c r="C1380" s="146">
        <v>25</v>
      </c>
      <c r="D1380" s="146">
        <v>900</v>
      </c>
      <c r="E1380" s="252">
        <v>21.43773284684961</v>
      </c>
      <c r="F1380" s="146">
        <v>2.1467287961027557</v>
      </c>
      <c r="G1380" s="146">
        <v>23.12831911825895</v>
      </c>
      <c r="H1380" s="146">
        <v>11.053183376093484</v>
      </c>
      <c r="I1380" s="146"/>
      <c r="J1380" s="146">
        <v>0.32153901027823639</v>
      </c>
      <c r="K1380" s="146">
        <v>0.18</v>
      </c>
      <c r="L1380" s="146">
        <v>112.01081163943817</v>
      </c>
      <c r="M1380" s="146">
        <v>55.773018243703667</v>
      </c>
      <c r="N1380" s="146">
        <v>3.1615099667122024</v>
      </c>
      <c r="O1380" s="146"/>
      <c r="P1380" s="146"/>
      <c r="Q1380" s="146"/>
      <c r="R1380" s="146"/>
      <c r="S1380" s="146"/>
      <c r="T1380" s="146"/>
      <c r="U1380" s="146"/>
      <c r="V1380" s="146"/>
      <c r="W1380" s="146"/>
      <c r="X1380" s="146"/>
      <c r="Y1380" s="146"/>
      <c r="Z1380" s="146">
        <v>0.28602709817970756</v>
      </c>
      <c r="AA1380" s="146"/>
      <c r="AB1380" s="146"/>
      <c r="AC1380" s="146"/>
      <c r="AD1380" s="146"/>
      <c r="AE1380" s="146"/>
      <c r="AF1380" s="146"/>
      <c r="AG1380" s="146"/>
      <c r="AH1380" s="146"/>
      <c r="AI1380" s="146"/>
      <c r="AJ1380" s="146"/>
      <c r="AK1380" s="146"/>
      <c r="AL1380" s="146">
        <v>2345.7647132780057</v>
      </c>
      <c r="AM1380" s="146">
        <v>9.2818193363995605E-2</v>
      </c>
      <c r="AN1380" s="146">
        <v>0.2625707710921541</v>
      </c>
      <c r="AO1380" s="146">
        <v>818.35445827545811</v>
      </c>
      <c r="AP1380" s="146">
        <v>765.00972992190452</v>
      </c>
      <c r="AQ1380" t="s">
        <v>326</v>
      </c>
      <c r="AR1380">
        <f t="shared" si="80"/>
        <v>9.762677251918257</v>
      </c>
      <c r="AS1380">
        <f t="shared" si="81"/>
        <v>2.6643645582431001</v>
      </c>
      <c r="AT1380">
        <v>0.2</v>
      </c>
      <c r="AU1380">
        <v>1</v>
      </c>
      <c r="AV1380">
        <v>0.3</v>
      </c>
      <c r="AW1380" s="146">
        <v>3</v>
      </c>
      <c r="AX1380" s="146">
        <v>0.27219214940990705</v>
      </c>
      <c r="AY1380">
        <v>0.18</v>
      </c>
      <c r="AZ1380" s="209">
        <v>765.00972992190452</v>
      </c>
      <c r="BA1380">
        <v>0.27219214940990705</v>
      </c>
      <c r="BB1380" s="249">
        <v>37.447244585009081</v>
      </c>
      <c r="BC1380" s="243">
        <v>195.11952169762168</v>
      </c>
      <c r="BD1380" s="209">
        <v>92348.668614414812</v>
      </c>
      <c r="BE1380" s="243">
        <v>51.769227645563817</v>
      </c>
      <c r="BF1380">
        <v>373356.94046910258</v>
      </c>
      <c r="BG1380" t="s">
        <v>388</v>
      </c>
      <c r="BH1380">
        <v>8.3161519052781474E-6</v>
      </c>
      <c r="BI1380">
        <v>2123486.686144148</v>
      </c>
      <c r="BJ1380">
        <f t="shared" si="79"/>
        <v>0.17582259540654266</v>
      </c>
    </row>
    <row r="1381" spans="1:62" x14ac:dyDescent="0.3">
      <c r="A1381">
        <v>-0.1</v>
      </c>
      <c r="B1381" s="146">
        <v>1000</v>
      </c>
      <c r="C1381" s="146">
        <v>25</v>
      </c>
      <c r="D1381" s="146">
        <v>1000</v>
      </c>
      <c r="E1381" s="252">
        <v>21.698267489986577</v>
      </c>
      <c r="F1381" s="146">
        <v>1.9564679125970963</v>
      </c>
      <c r="G1381" s="146">
        <v>23.288778511994977</v>
      </c>
      <c r="H1381" s="146">
        <v>11.02320866236172</v>
      </c>
      <c r="I1381" s="146"/>
      <c r="J1381" s="146">
        <v>0.31926308957735672</v>
      </c>
      <c r="K1381" s="146">
        <v>0.18</v>
      </c>
      <c r="L1381" s="146">
        <v>111.69019883695907</v>
      </c>
      <c r="M1381" s="146">
        <v>55.61337701425348</v>
      </c>
      <c r="N1381" s="146">
        <v>3.241440790286644</v>
      </c>
      <c r="O1381" s="146"/>
      <c r="P1381" s="146"/>
      <c r="Q1381" s="146"/>
      <c r="R1381" s="146"/>
      <c r="S1381" s="146"/>
      <c r="T1381" s="146"/>
      <c r="U1381" s="146"/>
      <c r="V1381" s="146"/>
      <c r="W1381" s="146"/>
      <c r="X1381" s="146"/>
      <c r="Y1381" s="146"/>
      <c r="Z1381" s="146">
        <v>0.29405601305130025</v>
      </c>
      <c r="AA1381" s="146"/>
      <c r="AB1381" s="146"/>
      <c r="AC1381" s="146"/>
      <c r="AD1381" s="146"/>
      <c r="AE1381" s="146"/>
      <c r="AF1381" s="146"/>
      <c r="AG1381" s="146"/>
      <c r="AH1381" s="146"/>
      <c r="AI1381" s="146"/>
      <c r="AJ1381" s="146"/>
      <c r="AK1381" s="146"/>
      <c r="AL1381" s="146">
        <v>2483.8386552363577</v>
      </c>
      <c r="AM1381" s="146">
        <v>8.4009039443155409E-2</v>
      </c>
      <c r="AN1381" s="146">
        <v>0.26177588648396533</v>
      </c>
      <c r="AO1381" s="146">
        <v>917.11128255002336</v>
      </c>
      <c r="AP1381" s="146">
        <v>863.11826009303525</v>
      </c>
      <c r="AQ1381" t="s">
        <v>326</v>
      </c>
      <c r="AR1381">
        <f t="shared" si="80"/>
        <v>9.762677251918257</v>
      </c>
      <c r="AS1381">
        <f t="shared" si="81"/>
        <v>2.6643645582431001</v>
      </c>
      <c r="AT1381">
        <v>0.2</v>
      </c>
      <c r="AU1381">
        <v>1</v>
      </c>
      <c r="AV1381">
        <v>0.3</v>
      </c>
      <c r="AW1381" s="146">
        <v>3</v>
      </c>
      <c r="AX1381" s="146">
        <v>0.27278744104062114</v>
      </c>
      <c r="AY1381">
        <v>0.18</v>
      </c>
      <c r="AZ1381" s="209">
        <v>863.11826009303525</v>
      </c>
      <c r="BA1381">
        <v>0.27278744104062114</v>
      </c>
      <c r="BB1381" s="249">
        <v>36.343514109157304</v>
      </c>
      <c r="BC1381" s="243">
        <v>194.2517188084764</v>
      </c>
      <c r="BD1381" s="209">
        <v>91261.621230116129</v>
      </c>
      <c r="BE1381" s="243">
        <v>50.659107475463806</v>
      </c>
      <c r="BF1381">
        <v>375738.89579399861</v>
      </c>
      <c r="BG1381" t="s">
        <v>388</v>
      </c>
      <c r="BH1381">
        <v>8.4494578695503034E-6</v>
      </c>
      <c r="BI1381">
        <v>2112616.2123011611</v>
      </c>
      <c r="BJ1381">
        <f t="shared" si="79"/>
        <v>0.17785478195527341</v>
      </c>
    </row>
    <row r="1382" spans="1:62" s="140" customFormat="1" x14ac:dyDescent="0.3">
      <c r="A1382" s="140">
        <v>-0.1</v>
      </c>
      <c r="B1382" s="140">
        <v>1000</v>
      </c>
      <c r="C1382" s="140">
        <v>25</v>
      </c>
      <c r="D1382" s="140">
        <v>1100</v>
      </c>
      <c r="E1382" s="253">
        <v>21.917536263266477</v>
      </c>
      <c r="F1382" s="140">
        <v>1.7980775809651934</v>
      </c>
      <c r="G1382" s="140">
        <v>23.424817708703038</v>
      </c>
      <c r="H1382" s="140">
        <v>10.998935373646148</v>
      </c>
      <c r="J1382" s="140">
        <v>0.31713622335207126</v>
      </c>
      <c r="K1382" s="140">
        <v>0.18</v>
      </c>
      <c r="L1382" s="140">
        <v>111.43087132228318</v>
      </c>
      <c r="M1382" s="140">
        <v>55.484251280804912</v>
      </c>
      <c r="N1382" s="140">
        <v>3.3124469651071493</v>
      </c>
      <c r="Z1382" s="140">
        <v>0.30116068988312211</v>
      </c>
      <c r="AL1382" s="140">
        <v>2617.7286519231984</v>
      </c>
      <c r="AM1382" s="140">
        <v>7.675951221157859E-2</v>
      </c>
      <c r="AN1382" s="140">
        <v>0.26105926708804178</v>
      </c>
      <c r="AO1382" s="140">
        <v>1016.0438297872229</v>
      </c>
      <c r="AP1382" s="140">
        <v>961.50516936962538</v>
      </c>
      <c r="AQ1382" t="s">
        <v>326</v>
      </c>
      <c r="AR1382">
        <f t="shared" si="80"/>
        <v>9.762677251918257</v>
      </c>
      <c r="AS1382">
        <f t="shared" si="81"/>
        <v>2.6643645582431001</v>
      </c>
      <c r="AT1382" s="140">
        <v>0.2</v>
      </c>
      <c r="AU1382" s="140">
        <v>1</v>
      </c>
      <c r="AV1382">
        <v>0.3</v>
      </c>
      <c r="AW1382" s="140">
        <v>3</v>
      </c>
      <c r="AX1382" s="140">
        <v>0.27318198423515222</v>
      </c>
      <c r="AY1382">
        <v>0.18</v>
      </c>
      <c r="AZ1382" s="209">
        <v>961.50516936962538</v>
      </c>
      <c r="BA1382" s="140">
        <v>0.27318198423515222</v>
      </c>
      <c r="BB1382" s="253">
        <v>35.4260520041897</v>
      </c>
      <c r="BC1382" s="245">
        <v>193.55235480749275</v>
      </c>
      <c r="BD1382" s="210">
        <v>90374.005050191219</v>
      </c>
      <c r="BE1382" s="245">
        <v>49.744707174093378</v>
      </c>
      <c r="BF1382" s="140">
        <v>377744.59423194977</v>
      </c>
      <c r="BG1382" t="s">
        <v>388</v>
      </c>
      <c r="BH1382" s="140">
        <v>8.5613902825325135E-6</v>
      </c>
      <c r="BI1382" s="140">
        <v>2103740.0505019119</v>
      </c>
      <c r="BJ1382">
        <f t="shared" si="79"/>
        <v>0.17955858859169752</v>
      </c>
    </row>
    <row r="1383" spans="1:62" x14ac:dyDescent="0.3">
      <c r="A1383">
        <v>-0.1</v>
      </c>
      <c r="B1383" s="146">
        <v>1000</v>
      </c>
      <c r="C1383" s="146">
        <v>25</v>
      </c>
      <c r="D1383" s="146">
        <v>400</v>
      </c>
      <c r="E1383" s="252">
        <v>18.56076220726111</v>
      </c>
      <c r="F1383" s="146">
        <v>4.2017120888906687</v>
      </c>
      <c r="G1383" s="146">
        <v>21.331871000302296</v>
      </c>
      <c r="H1383" s="146">
        <v>11.392563377709743</v>
      </c>
      <c r="I1383" s="146"/>
      <c r="J1383" s="146">
        <v>0.34414823171856623</v>
      </c>
      <c r="K1383" s="146">
        <v>0.18</v>
      </c>
      <c r="L1383" s="146">
        <v>115.72042072606118</v>
      </c>
      <c r="M1383" s="146">
        <v>57.620126502603078</v>
      </c>
      <c r="N1383" s="146">
        <v>2.4581648205935362</v>
      </c>
      <c r="O1383" s="146"/>
      <c r="P1383" s="146"/>
      <c r="Q1383" s="146"/>
      <c r="R1383" s="146"/>
      <c r="S1383" s="146"/>
      <c r="T1383" s="146"/>
      <c r="U1383" s="146"/>
      <c r="V1383" s="146"/>
      <c r="W1383" s="146"/>
      <c r="X1383" s="146"/>
      <c r="Y1383" s="146"/>
      <c r="Z1383" s="146">
        <v>0.21576924692849092</v>
      </c>
      <c r="AA1383" s="146"/>
      <c r="AB1383" s="146"/>
      <c r="AC1383" s="146"/>
      <c r="AD1383" s="146"/>
      <c r="AE1383" s="146"/>
      <c r="AF1383" s="146"/>
      <c r="AG1383" s="146"/>
      <c r="AH1383" s="146"/>
      <c r="AI1383" s="146"/>
      <c r="AJ1383" s="146"/>
      <c r="AK1383" s="146"/>
      <c r="AL1383" s="146">
        <v>1514.3371102573037</v>
      </c>
      <c r="AM1383" s="146">
        <v>0.19696875575663877</v>
      </c>
      <c r="AN1383" s="146">
        <v>0.27072487759598918</v>
      </c>
      <c r="AO1383" s="146">
        <v>331.44050014140225</v>
      </c>
      <c r="AP1383" s="146">
        <v>285.2546999605355</v>
      </c>
      <c r="AQ1383" t="s">
        <v>326</v>
      </c>
      <c r="AR1383">
        <f t="shared" si="80"/>
        <v>9.762677251918257</v>
      </c>
      <c r="AS1383">
        <f t="shared" si="81"/>
        <v>2.6643645582431001</v>
      </c>
      <c r="AT1383">
        <v>0.2</v>
      </c>
      <c r="AU1383">
        <v>1</v>
      </c>
      <c r="AV1383">
        <v>0.3</v>
      </c>
      <c r="AW1383" s="146">
        <v>3</v>
      </c>
      <c r="AX1383" s="146">
        <v>0.2676094478029985</v>
      </c>
      <c r="AY1383">
        <v>0.18</v>
      </c>
      <c r="AZ1383" s="209">
        <v>285.2546999605355</v>
      </c>
      <c r="BA1383">
        <v>0.2676094478029985</v>
      </c>
      <c r="BB1383" s="249">
        <v>49.144601276580701</v>
      </c>
      <c r="BC1383" s="243">
        <v>205.42446086696839</v>
      </c>
      <c r="BD1383" s="209">
        <v>103864.28112605392</v>
      </c>
      <c r="BE1383" s="243">
        <v>62.676638571372308</v>
      </c>
      <c r="BF1383">
        <v>339744.54458272608</v>
      </c>
      <c r="BG1383" t="s">
        <v>389</v>
      </c>
      <c r="BH1383">
        <v>6.9371024650033754E-6</v>
      </c>
      <c r="BI1383">
        <v>2238642.8112605391</v>
      </c>
      <c r="BJ1383">
        <f t="shared" si="79"/>
        <v>0.15176362342120228</v>
      </c>
    </row>
    <row r="1384" spans="1:62" x14ac:dyDescent="0.3">
      <c r="A1384">
        <v>-0.1</v>
      </c>
      <c r="B1384" s="146">
        <v>1000</v>
      </c>
      <c r="C1384" s="146">
        <v>25</v>
      </c>
      <c r="D1384" s="146">
        <v>400</v>
      </c>
      <c r="E1384" s="252">
        <v>17.922075698796945</v>
      </c>
      <c r="F1384" s="146">
        <v>4.0197329043812795</v>
      </c>
      <c r="G1384" s="146">
        <v>20.567070422224791</v>
      </c>
      <c r="H1384" s="146">
        <v>10.997893804786292</v>
      </c>
      <c r="I1384" s="146"/>
      <c r="J1384" s="146">
        <v>0.34740523080344798</v>
      </c>
      <c r="K1384" s="146">
        <v>0.18</v>
      </c>
      <c r="L1384" s="146">
        <v>111.74985544645591</v>
      </c>
      <c r="M1384" s="146">
        <v>55.643081550102544</v>
      </c>
      <c r="N1384" s="146">
        <v>2.3749323885266538</v>
      </c>
      <c r="O1384" s="146"/>
      <c r="P1384" s="146"/>
      <c r="Q1384" s="146"/>
      <c r="R1384" s="146"/>
      <c r="S1384" s="146"/>
      <c r="T1384" s="146"/>
      <c r="U1384" s="146"/>
      <c r="V1384" s="146"/>
      <c r="W1384" s="146"/>
      <c r="X1384" s="146"/>
      <c r="Y1384" s="146"/>
      <c r="Z1384" s="146">
        <v>0.21594429176003513</v>
      </c>
      <c r="AA1384" s="146"/>
      <c r="AB1384" s="146"/>
      <c r="AC1384" s="146"/>
      <c r="AD1384" s="146"/>
      <c r="AE1384" s="146"/>
      <c r="AF1384" s="146"/>
      <c r="AG1384" s="146"/>
      <c r="AH1384" s="146"/>
      <c r="AI1384" s="146"/>
      <c r="AJ1384" s="146"/>
      <c r="AK1384" s="146"/>
      <c r="AL1384" s="146">
        <v>1477.0126442268086</v>
      </c>
      <c r="AM1384" s="146">
        <v>0.19544508876857605</v>
      </c>
      <c r="AN1384" s="146">
        <v>0.27213608426282659</v>
      </c>
      <c r="AO1384" s="146">
        <v>334.14296473271816</v>
      </c>
      <c r="AP1384" s="146">
        <v>289.54644996348304</v>
      </c>
      <c r="AQ1384" t="s">
        <v>326</v>
      </c>
      <c r="AR1384">
        <f t="shared" si="80"/>
        <v>9.762677251918257</v>
      </c>
      <c r="AS1384">
        <f t="shared" si="81"/>
        <v>2.6643645582431001</v>
      </c>
      <c r="AT1384">
        <v>0.2</v>
      </c>
      <c r="AU1384">
        <v>1</v>
      </c>
      <c r="AV1384">
        <v>0.3</v>
      </c>
      <c r="AW1384" s="146">
        <v>2.5</v>
      </c>
      <c r="AX1384" s="146">
        <v>0.26963405336578306</v>
      </c>
      <c r="AY1384">
        <v>0.18</v>
      </c>
      <c r="AZ1384" s="209">
        <v>289.54644996348304</v>
      </c>
      <c r="BA1384">
        <v>0.26963405336578306</v>
      </c>
      <c r="BB1384" s="249">
        <v>47.183351906723601</v>
      </c>
      <c r="BC1384" s="243">
        <v>194.41292587556325</v>
      </c>
      <c r="BD1384" s="209">
        <v>97304.589796102475</v>
      </c>
      <c r="BE1384" s="243">
        <v>59.638382619319593</v>
      </c>
      <c r="BF1384">
        <v>386794.16824502248</v>
      </c>
      <c r="BG1384" t="s">
        <v>389</v>
      </c>
      <c r="BH1384">
        <v>6.730734457919011E-6</v>
      </c>
      <c r="BI1384">
        <v>2173045.8979610247</v>
      </c>
      <c r="BJ1384">
        <f t="shared" si="79"/>
        <v>0.1779963177988797</v>
      </c>
    </row>
    <row r="1385" spans="1:62" x14ac:dyDescent="0.3">
      <c r="A1385">
        <v>-0.1</v>
      </c>
      <c r="B1385" s="146">
        <v>1000</v>
      </c>
      <c r="C1385" s="146">
        <v>25</v>
      </c>
      <c r="D1385" s="146">
        <v>400</v>
      </c>
      <c r="E1385" s="252">
        <v>15.62248168017133</v>
      </c>
      <c r="F1385" s="146">
        <v>3.4038461616989761</v>
      </c>
      <c r="G1385" s="146">
        <v>17.845948497721778</v>
      </c>
      <c r="H1385" s="146">
        <v>9.5872726713254117</v>
      </c>
      <c r="I1385" s="146"/>
      <c r="J1385" s="146">
        <v>0.3593704367544126</v>
      </c>
      <c r="K1385" s="146">
        <v>0.18</v>
      </c>
      <c r="L1385" s="146">
        <v>97.529116509780536</v>
      </c>
      <c r="M1385" s="146">
        <v>48.562215689517281</v>
      </c>
      <c r="N1385" s="146">
        <v>2.081505903485013</v>
      </c>
      <c r="O1385" s="146"/>
      <c r="P1385" s="146"/>
      <c r="Q1385" s="146"/>
      <c r="R1385" s="146"/>
      <c r="S1385" s="146"/>
      <c r="T1385" s="146"/>
      <c r="U1385" s="146"/>
      <c r="V1385" s="146"/>
      <c r="W1385" s="146"/>
      <c r="X1385" s="146"/>
      <c r="Y1385" s="146"/>
      <c r="Z1385" s="146">
        <v>0.21711136992177058</v>
      </c>
      <c r="AA1385" s="146"/>
      <c r="AB1385" s="146"/>
      <c r="AC1385" s="146"/>
      <c r="AD1385" s="146"/>
      <c r="AE1385" s="146"/>
      <c r="AF1385" s="146"/>
      <c r="AG1385" s="146"/>
      <c r="AH1385" s="146"/>
      <c r="AI1385" s="146"/>
      <c r="AJ1385" s="146"/>
      <c r="AK1385" s="146"/>
      <c r="AL1385" s="146">
        <v>1345.4240345787698</v>
      </c>
      <c r="AM1385" s="146">
        <v>0.190734953770236</v>
      </c>
      <c r="AN1385" s="146">
        <v>0.27672642112627333</v>
      </c>
      <c r="AO1385" s="146">
        <v>343.54539181120469</v>
      </c>
      <c r="AP1385" s="146">
        <v>304.67108283626339</v>
      </c>
      <c r="AQ1385" t="s">
        <v>326</v>
      </c>
      <c r="AR1385">
        <f t="shared" si="80"/>
        <v>9.762677251918257</v>
      </c>
      <c r="AS1385">
        <f t="shared" si="81"/>
        <v>2.6643645582431001</v>
      </c>
      <c r="AT1385">
        <v>0.2</v>
      </c>
      <c r="AU1385">
        <v>1</v>
      </c>
      <c r="AV1385">
        <v>0.3</v>
      </c>
      <c r="AW1385" s="146">
        <v>1.5</v>
      </c>
      <c r="AX1385" s="146">
        <v>0.27691430729920014</v>
      </c>
      <c r="AY1385">
        <v>0.18</v>
      </c>
      <c r="AZ1385" s="209">
        <v>304.67108283626339</v>
      </c>
      <c r="BA1385">
        <v>0.27691430729920014</v>
      </c>
      <c r="BB1385" s="249">
        <v>40.419979348609161</v>
      </c>
      <c r="BC1385" s="243">
        <v>159.0336899228131</v>
      </c>
      <c r="BD1385" s="209">
        <v>76526.687852295596</v>
      </c>
      <c r="BE1385" s="243">
        <v>49.583804757570803</v>
      </c>
      <c r="BF1385">
        <v>507799.65130552108</v>
      </c>
      <c r="BG1385" t="s">
        <v>389</v>
      </c>
      <c r="BH1385">
        <v>6.0212270976103385E-6</v>
      </c>
      <c r="BI1385">
        <v>1965266.8785229558</v>
      </c>
      <c r="BJ1385">
        <f t="shared" si="79"/>
        <v>0.25838712128867214</v>
      </c>
    </row>
    <row r="1386" spans="1:62" x14ac:dyDescent="0.3">
      <c r="A1386">
        <v>-0.1</v>
      </c>
      <c r="B1386" s="146">
        <v>1000</v>
      </c>
      <c r="C1386" s="146">
        <v>25</v>
      </c>
      <c r="D1386" s="146">
        <v>400</v>
      </c>
      <c r="E1386" s="252">
        <v>13.509148366034944</v>
      </c>
      <c r="F1386" s="146">
        <v>2.8840939991939223</v>
      </c>
      <c r="G1386" s="146">
        <v>15.381983746790441</v>
      </c>
      <c r="H1386" s="146">
        <v>8.2988707512981534</v>
      </c>
      <c r="I1386" s="146"/>
      <c r="J1386" s="146">
        <v>0.37105932876145448</v>
      </c>
      <c r="K1386" s="146">
        <v>0.18</v>
      </c>
      <c r="L1386" s="146">
        <v>84.504294537124366</v>
      </c>
      <c r="M1386" s="146">
        <v>42.076827155414627</v>
      </c>
      <c r="N1386" s="146">
        <v>1.81523705794738</v>
      </c>
      <c r="O1386" s="146"/>
      <c r="P1386" s="146"/>
      <c r="Q1386" s="146"/>
      <c r="R1386" s="146"/>
      <c r="S1386" s="146"/>
      <c r="T1386" s="146"/>
      <c r="U1386" s="146"/>
      <c r="V1386" s="146"/>
      <c r="W1386" s="146"/>
      <c r="X1386" s="146"/>
      <c r="Y1386" s="146"/>
      <c r="Z1386" s="146">
        <v>0.21873301950912188</v>
      </c>
      <c r="AA1386" s="146"/>
      <c r="AB1386" s="146"/>
      <c r="AC1386" s="146"/>
      <c r="AD1386" s="146"/>
      <c r="AE1386" s="146"/>
      <c r="AF1386" s="146"/>
      <c r="AG1386" s="146"/>
      <c r="AH1386" s="146"/>
      <c r="AI1386" s="146"/>
      <c r="AJ1386" s="146"/>
      <c r="AK1386" s="146"/>
      <c r="AL1386" s="146">
        <v>1225.8040734585938</v>
      </c>
      <c r="AM1386" s="146">
        <v>0.18749818272273944</v>
      </c>
      <c r="AN1386" s="146">
        <v>0.28027931551518909</v>
      </c>
      <c r="AO1386" s="146">
        <v>351.80112260084763</v>
      </c>
      <c r="AP1386" s="146">
        <v>318.18554448490374</v>
      </c>
      <c r="AQ1386" t="s">
        <v>326</v>
      </c>
      <c r="AR1386">
        <f t="shared" si="80"/>
        <v>9.762677251918257</v>
      </c>
      <c r="AS1386">
        <f t="shared" si="81"/>
        <v>2.6643645582431001</v>
      </c>
      <c r="AT1386">
        <v>0.2</v>
      </c>
      <c r="AU1386">
        <v>1</v>
      </c>
      <c r="AV1386">
        <v>0.3</v>
      </c>
      <c r="AW1386" s="146">
        <v>1</v>
      </c>
      <c r="AX1386" s="146">
        <v>0.2837914108462401</v>
      </c>
      <c r="AY1386">
        <v>0.18</v>
      </c>
      <c r="AZ1386" s="209">
        <v>318.18554448490374</v>
      </c>
      <c r="BA1386">
        <v>0.2837914108462401</v>
      </c>
      <c r="BB1386" s="249">
        <v>34.550251558238102</v>
      </c>
      <c r="BC1386" s="243">
        <v>130.97295405389829</v>
      </c>
      <c r="BD1386" s="209">
        <v>60564.978982039735</v>
      </c>
      <c r="BE1386" s="243">
        <v>41.342398409515802</v>
      </c>
      <c r="BF1386">
        <v>577513.69585019851</v>
      </c>
      <c r="BG1386" t="s">
        <v>389</v>
      </c>
      <c r="BH1386">
        <v>5.3554904454709264E-6</v>
      </c>
      <c r="BI1386">
        <v>1805649.7898203973</v>
      </c>
      <c r="BJ1386">
        <f t="shared" si="79"/>
        <v>0.319837046533615</v>
      </c>
    </row>
    <row r="1387" spans="1:62" x14ac:dyDescent="0.3">
      <c r="A1387">
        <v>-0.1</v>
      </c>
      <c r="B1387" s="146">
        <v>1000</v>
      </c>
      <c r="C1387" s="146">
        <v>25</v>
      </c>
      <c r="D1387" s="146">
        <v>400</v>
      </c>
      <c r="E1387" s="252">
        <v>12.334355837249264</v>
      </c>
      <c r="F1387" s="146">
        <v>2.6109097395745255</v>
      </c>
      <c r="G1387" s="146">
        <v>14.02408576295969</v>
      </c>
      <c r="H1387" s="146">
        <v>7.5631704377752529</v>
      </c>
      <c r="I1387" s="146"/>
      <c r="J1387" s="146">
        <v>0.3741209685192754</v>
      </c>
      <c r="K1387" s="146">
        <v>0.18</v>
      </c>
      <c r="L1387" s="146">
        <v>77.053350049495577</v>
      </c>
      <c r="M1387" s="146">
        <v>38.366813302653398</v>
      </c>
      <c r="N1387" s="146">
        <v>1.6897882166783873</v>
      </c>
      <c r="O1387" s="146"/>
      <c r="P1387" s="146"/>
      <c r="Q1387" s="146"/>
      <c r="R1387" s="146"/>
      <c r="S1387" s="146"/>
      <c r="T1387" s="146"/>
      <c r="U1387" s="146"/>
      <c r="V1387" s="146"/>
      <c r="W1387" s="146"/>
      <c r="X1387" s="146"/>
      <c r="Y1387" s="146"/>
      <c r="Z1387" s="146">
        <v>0.22342326284735262</v>
      </c>
      <c r="AA1387" s="146"/>
      <c r="AB1387" s="146"/>
      <c r="AC1387" s="146"/>
      <c r="AD1387" s="146"/>
      <c r="AE1387" s="146"/>
      <c r="AF1387" s="146"/>
      <c r="AG1387" s="146"/>
      <c r="AH1387" s="146"/>
      <c r="AI1387" s="146"/>
      <c r="AJ1387" s="146"/>
      <c r="AK1387" s="146"/>
      <c r="AL1387" s="146">
        <v>1170.3209222413957</v>
      </c>
      <c r="AM1387" s="146">
        <v>0.1861732581863155</v>
      </c>
      <c r="AN1387" s="146">
        <v>0.28108709698190265</v>
      </c>
      <c r="AO1387" s="146">
        <v>356.11909628835298</v>
      </c>
      <c r="AP1387" s="146">
        <v>325.42681390220156</v>
      </c>
      <c r="AQ1387" t="s">
        <v>326</v>
      </c>
      <c r="AR1387">
        <f t="shared" si="80"/>
        <v>9.762677251918257</v>
      </c>
      <c r="AS1387">
        <f t="shared" si="81"/>
        <v>2.6643645582431001</v>
      </c>
      <c r="AT1387">
        <v>0.2</v>
      </c>
      <c r="AU1387">
        <v>1</v>
      </c>
      <c r="AV1387">
        <v>0.3</v>
      </c>
      <c r="AW1387" s="146">
        <v>0.8</v>
      </c>
      <c r="AX1387" s="146">
        <v>0.28524707347543338</v>
      </c>
      <c r="AY1387">
        <v>0.18</v>
      </c>
      <c r="AZ1387" s="209">
        <v>325.42681390220156</v>
      </c>
      <c r="BA1387">
        <v>0.28524707347543338</v>
      </c>
      <c r="BB1387" s="249">
        <v>31.419571744626214</v>
      </c>
      <c r="BC1387" s="243">
        <v>116.35406944658718</v>
      </c>
      <c r="BD1387" s="209">
        <v>52793.98707619316</v>
      </c>
      <c r="BE1387" s="243">
        <v>37.355952922677965</v>
      </c>
      <c r="BF1387">
        <v>604400.85696613113</v>
      </c>
      <c r="BG1387" t="s">
        <v>389</v>
      </c>
      <c r="BH1387">
        <v>4.9674705846853575E-6</v>
      </c>
      <c r="BI1387">
        <v>1727939.8707619316</v>
      </c>
      <c r="BJ1387">
        <f t="shared" si="79"/>
        <v>0.34978118578838152</v>
      </c>
    </row>
    <row r="1388" spans="1:62" x14ac:dyDescent="0.3">
      <c r="A1388">
        <v>-0.1</v>
      </c>
      <c r="B1388" s="146">
        <v>1000</v>
      </c>
      <c r="C1388" s="146">
        <v>25</v>
      </c>
      <c r="D1388" s="146">
        <v>400</v>
      </c>
      <c r="E1388" s="252">
        <v>10.915702741574606</v>
      </c>
      <c r="F1388" s="146">
        <v>2.2963875292420743</v>
      </c>
      <c r="G1388" s="146">
        <v>12.395216582827953</v>
      </c>
      <c r="H1388" s="146">
        <v>6.6616237260791333</v>
      </c>
      <c r="I1388" s="146"/>
      <c r="J1388" s="146">
        <v>0.37673264040061705</v>
      </c>
      <c r="K1388" s="146">
        <v>0.18</v>
      </c>
      <c r="L1388" s="146">
        <v>67.910230568652295</v>
      </c>
      <c r="M1388" s="146">
        <v>33.814222689785382</v>
      </c>
      <c r="N1388" s="146">
        <v>1.533807640015258</v>
      </c>
      <c r="O1388" s="146"/>
      <c r="P1388" s="146"/>
      <c r="Q1388" s="146"/>
      <c r="R1388" s="146"/>
      <c r="S1388" s="146"/>
      <c r="T1388" s="146"/>
      <c r="U1388" s="146"/>
      <c r="V1388" s="146"/>
      <c r="W1388" s="146"/>
      <c r="X1388" s="146"/>
      <c r="Y1388" s="146"/>
      <c r="Z1388" s="146">
        <v>0.23024531301740442</v>
      </c>
      <c r="AA1388" s="146"/>
      <c r="AB1388" s="146"/>
      <c r="AC1388" s="146"/>
      <c r="AD1388" s="146"/>
      <c r="AE1388" s="146"/>
      <c r="AF1388" s="146"/>
      <c r="AG1388" s="146"/>
      <c r="AH1388" s="146"/>
      <c r="AI1388" s="146"/>
      <c r="AJ1388" s="146"/>
      <c r="AK1388" s="146"/>
      <c r="AL1388" s="146">
        <v>1100.8444372803795</v>
      </c>
      <c r="AM1388" s="146">
        <v>0.185264010023305</v>
      </c>
      <c r="AN1388" s="146">
        <v>0.28063035708523643</v>
      </c>
      <c r="AO1388" s="146">
        <v>361.10291539749863</v>
      </c>
      <c r="AP1388" s="146">
        <v>333.94061727274942</v>
      </c>
      <c r="AQ1388" t="s">
        <v>326</v>
      </c>
      <c r="AR1388">
        <f t="shared" si="80"/>
        <v>9.762677251918257</v>
      </c>
      <c r="AS1388">
        <f t="shared" si="81"/>
        <v>2.6643645582431001</v>
      </c>
      <c r="AT1388">
        <v>0.2</v>
      </c>
      <c r="AU1388">
        <v>1</v>
      </c>
      <c r="AV1388">
        <v>0.3</v>
      </c>
      <c r="AW1388" s="146">
        <v>0.6</v>
      </c>
      <c r="AX1388" s="146">
        <v>0.28597982527117838</v>
      </c>
      <c r="AY1388">
        <v>0.18</v>
      </c>
      <c r="AZ1388" s="209">
        <v>333.94061727274942</v>
      </c>
      <c r="BA1388">
        <v>0.28597982527117838</v>
      </c>
      <c r="BB1388" s="249">
        <v>27.748625228022128</v>
      </c>
      <c r="BC1388" s="243">
        <v>99.574270242825534</v>
      </c>
      <c r="BD1388" s="209">
        <v>44155.533330341888</v>
      </c>
      <c r="BE1388" s="243">
        <v>32.953760410098489</v>
      </c>
      <c r="BF1388">
        <v>633508.92293739377</v>
      </c>
      <c r="BG1388" t="s">
        <v>389</v>
      </c>
      <c r="BH1388">
        <v>4.4680287007593428E-6</v>
      </c>
      <c r="BI1388">
        <v>1641555.3333034189</v>
      </c>
      <c r="BJ1388">
        <f t="shared" si="79"/>
        <v>0.38591993220389259</v>
      </c>
    </row>
    <row r="1389" spans="1:62" x14ac:dyDescent="0.3">
      <c r="A1389">
        <v>-0.1</v>
      </c>
      <c r="B1389" s="146">
        <v>1000</v>
      </c>
      <c r="C1389" s="146">
        <v>25</v>
      </c>
      <c r="D1389" s="146">
        <v>400</v>
      </c>
      <c r="E1389" s="252">
        <v>9.0294944660265095</v>
      </c>
      <c r="F1389" s="146">
        <v>1.889533422953064</v>
      </c>
      <c r="G1389" s="146">
        <v>10.240292086055625</v>
      </c>
      <c r="H1389" s="146">
        <v>5.4875098266697488</v>
      </c>
      <c r="I1389" s="146"/>
      <c r="J1389" s="146">
        <v>0.38046074389109491</v>
      </c>
      <c r="K1389" s="146">
        <v>0.18</v>
      </c>
      <c r="L1389" s="146">
        <v>55.982865811914017</v>
      </c>
      <c r="M1389" s="146">
        <v>27.87528588145096</v>
      </c>
      <c r="N1389" s="146">
        <v>1.3272595533636036</v>
      </c>
      <c r="O1389" s="146"/>
      <c r="P1389" s="146"/>
      <c r="Q1389" s="146"/>
      <c r="R1389" s="146"/>
      <c r="S1389" s="146"/>
      <c r="T1389" s="146"/>
      <c r="U1389" s="146"/>
      <c r="V1389" s="146"/>
      <c r="W1389" s="146"/>
      <c r="X1389" s="146"/>
      <c r="Y1389" s="146"/>
      <c r="Z1389" s="146">
        <v>0.24186918935671203</v>
      </c>
      <c r="AA1389" s="146"/>
      <c r="AB1389" s="146"/>
      <c r="AC1389" s="146"/>
      <c r="AD1389" s="146"/>
      <c r="AE1389" s="146"/>
      <c r="AF1389" s="146"/>
      <c r="AG1389" s="146"/>
      <c r="AH1389" s="146"/>
      <c r="AI1389" s="146"/>
      <c r="AJ1389" s="146"/>
      <c r="AK1389" s="146"/>
      <c r="AL1389" s="146">
        <v>1008.9810446322269</v>
      </c>
      <c r="AM1389" s="146">
        <v>0.18451948509614027</v>
      </c>
      <c r="AN1389" s="146">
        <v>0.280592727584075</v>
      </c>
      <c r="AO1389" s="146">
        <v>367.81992696756203</v>
      </c>
      <c r="AP1389" s="146">
        <v>345.35126795042555</v>
      </c>
      <c r="AQ1389" t="s">
        <v>326</v>
      </c>
      <c r="AR1389">
        <f t="shared" si="80"/>
        <v>9.762677251918257</v>
      </c>
      <c r="AS1389">
        <f t="shared" si="81"/>
        <v>2.6643645582431001</v>
      </c>
      <c r="AT1389">
        <v>0.2</v>
      </c>
      <c r="AU1389">
        <v>1</v>
      </c>
      <c r="AV1389">
        <v>0.3</v>
      </c>
      <c r="AW1389" s="146">
        <v>0.4</v>
      </c>
      <c r="AX1389" s="146">
        <v>0.28718503804928391</v>
      </c>
      <c r="AY1389">
        <v>0.18</v>
      </c>
      <c r="AZ1389" s="209">
        <v>345.35126795042555</v>
      </c>
      <c r="BA1389">
        <v>0.28718503804928391</v>
      </c>
      <c r="BB1389" s="249">
        <v>22.938676038203766</v>
      </c>
      <c r="BC1389" s="243">
        <v>79.283462762593558</v>
      </c>
      <c r="BD1389" s="209">
        <v>33974.590983151647</v>
      </c>
      <c r="BE1389" s="243">
        <v>27.128900658439569</v>
      </c>
      <c r="BF1389">
        <v>651608.33862182649</v>
      </c>
      <c r="BG1389" t="s">
        <v>389</v>
      </c>
      <c r="BH1389">
        <v>3.7817435181135353E-6</v>
      </c>
      <c r="BI1389">
        <v>1539745.9098315164</v>
      </c>
      <c r="BJ1389">
        <f t="shared" si="79"/>
        <v>0.42319212180477711</v>
      </c>
    </row>
    <row r="1390" spans="1:62" x14ac:dyDescent="0.3">
      <c r="A1390">
        <v>-0.1</v>
      </c>
      <c r="B1390" s="146">
        <v>1000</v>
      </c>
      <c r="C1390" s="146">
        <v>25</v>
      </c>
      <c r="D1390" s="146">
        <v>400</v>
      </c>
      <c r="E1390" s="252">
        <v>7.8292893769865781</v>
      </c>
      <c r="F1390" s="146">
        <v>1.641237716862511</v>
      </c>
      <c r="G1390" s="146">
        <v>8.8768366624703727</v>
      </c>
      <c r="H1390" s="146">
        <v>4.747199803921502</v>
      </c>
      <c r="I1390" s="146"/>
      <c r="J1390" s="146">
        <v>0.38593485364488145</v>
      </c>
      <c r="K1390" s="146">
        <v>0.18</v>
      </c>
      <c r="L1390" s="146">
        <v>48.451849561516838</v>
      </c>
      <c r="M1390" s="146">
        <v>24.125402271294693</v>
      </c>
      <c r="N1390" s="146">
        <v>1.1731155608867567</v>
      </c>
      <c r="O1390" s="146"/>
      <c r="P1390" s="146"/>
      <c r="Q1390" s="146"/>
      <c r="R1390" s="146"/>
      <c r="S1390" s="146"/>
      <c r="T1390" s="146"/>
      <c r="U1390" s="146"/>
      <c r="V1390" s="146"/>
      <c r="W1390" s="146"/>
      <c r="X1390" s="146"/>
      <c r="Y1390" s="146"/>
      <c r="Z1390" s="146">
        <v>0.24711737642002879</v>
      </c>
      <c r="AA1390" s="146"/>
      <c r="AB1390" s="146"/>
      <c r="AC1390" s="146"/>
      <c r="AD1390" s="146"/>
      <c r="AE1390" s="146"/>
      <c r="AF1390" s="146"/>
      <c r="AG1390" s="146"/>
      <c r="AH1390" s="146"/>
      <c r="AI1390" s="146"/>
      <c r="AJ1390" s="146"/>
      <c r="AK1390" s="146"/>
      <c r="AL1390" s="146">
        <v>939.12020680389128</v>
      </c>
      <c r="AM1390" s="146">
        <v>0.18488993086933334</v>
      </c>
      <c r="AN1390" s="146">
        <v>0.28006246913686789</v>
      </c>
      <c r="AO1390" s="146">
        <v>372.04448921301065</v>
      </c>
      <c r="AP1390" s="146">
        <v>352.5624263605128</v>
      </c>
      <c r="AQ1390" t="s">
        <v>326</v>
      </c>
      <c r="AR1390">
        <f t="shared" si="80"/>
        <v>9.762677251918257</v>
      </c>
      <c r="AS1390">
        <f t="shared" si="81"/>
        <v>2.6643645582431001</v>
      </c>
      <c r="AT1390">
        <v>0.2</v>
      </c>
      <c r="AU1390">
        <v>1</v>
      </c>
      <c r="AV1390">
        <v>0.3</v>
      </c>
      <c r="AW1390" s="146">
        <v>0.3</v>
      </c>
      <c r="AX1390" s="146">
        <v>0.28983663970258439</v>
      </c>
      <c r="AY1390">
        <v>0.18</v>
      </c>
      <c r="AZ1390" s="209">
        <v>352.5624263605128</v>
      </c>
      <c r="BA1390">
        <v>0.28983663970258439</v>
      </c>
      <c r="BB1390" s="249">
        <v>19.940604096996253</v>
      </c>
      <c r="BC1390" s="243">
        <v>67.254113162201691</v>
      </c>
      <c r="BD1390" s="209">
        <v>28152.94268591197</v>
      </c>
      <c r="BE1390" s="243">
        <v>23.517257658814156</v>
      </c>
      <c r="BF1390">
        <v>654361.87564985931</v>
      </c>
      <c r="BG1390" t="s">
        <v>389</v>
      </c>
      <c r="BH1390">
        <v>3.32261395177046E-6</v>
      </c>
      <c r="BI1390">
        <v>1481529.4268591197</v>
      </c>
      <c r="BJ1390">
        <f t="shared" si="79"/>
        <v>0.44167997191734709</v>
      </c>
    </row>
    <row r="1391" spans="1:62" x14ac:dyDescent="0.3">
      <c r="A1391">
        <v>-0.1</v>
      </c>
      <c r="B1391" s="146">
        <v>1000</v>
      </c>
      <c r="C1391" s="146">
        <v>25</v>
      </c>
      <c r="D1391" s="146">
        <v>400</v>
      </c>
      <c r="E1391" s="252">
        <v>6.3468734475626896</v>
      </c>
      <c r="F1391" s="146">
        <v>1.3367326632359191</v>
      </c>
      <c r="G1391" s="146">
        <v>7.1960825015895313</v>
      </c>
      <c r="H1391" s="146">
        <v>3.8452964982905513</v>
      </c>
      <c r="I1391" s="146"/>
      <c r="J1391" s="146">
        <v>0.39156054633671233</v>
      </c>
      <c r="K1391" s="146">
        <v>0.18</v>
      </c>
      <c r="L1391" s="146">
        <v>39.266785345158056</v>
      </c>
      <c r="M1391" s="146">
        <v>19.551926312941774</v>
      </c>
      <c r="N1391" s="146">
        <v>0.99327168669854737</v>
      </c>
      <c r="O1391" s="146"/>
      <c r="P1391" s="146"/>
      <c r="Q1391" s="146"/>
      <c r="R1391" s="146"/>
      <c r="S1391" s="146"/>
      <c r="T1391" s="146"/>
      <c r="U1391" s="146"/>
      <c r="V1391" s="146"/>
      <c r="W1391" s="146"/>
      <c r="X1391" s="146"/>
      <c r="Y1391" s="146"/>
      <c r="Z1391" s="146">
        <v>0.25830821814133503</v>
      </c>
      <c r="AA1391" s="146"/>
      <c r="AB1391" s="146"/>
      <c r="AC1391" s="146"/>
      <c r="AD1391" s="146"/>
      <c r="AE1391" s="146"/>
      <c r="AF1391" s="146"/>
      <c r="AG1391" s="146"/>
      <c r="AH1391" s="146"/>
      <c r="AI1391" s="146"/>
      <c r="AJ1391" s="146"/>
      <c r="AK1391" s="146"/>
      <c r="AL1391" s="146">
        <v>858.18628219832453</v>
      </c>
      <c r="AM1391" s="146">
        <v>0.18575838491855121</v>
      </c>
      <c r="AN1391" s="146">
        <v>0.28013751635908335</v>
      </c>
      <c r="AO1391" s="146">
        <v>377.34372200463434</v>
      </c>
      <c r="AP1391" s="146">
        <v>361.55043884905103</v>
      </c>
      <c r="AQ1391" t="s">
        <v>326</v>
      </c>
      <c r="AR1391">
        <f t="shared" si="80"/>
        <v>9.762677251918257</v>
      </c>
      <c r="AS1391">
        <f t="shared" si="81"/>
        <v>2.6643645582431001</v>
      </c>
      <c r="AT1391">
        <v>0.2</v>
      </c>
      <c r="AU1391">
        <v>1</v>
      </c>
      <c r="AV1391">
        <v>0.3</v>
      </c>
      <c r="AW1391" s="146">
        <v>0.2</v>
      </c>
      <c r="AX1391" s="146">
        <v>0.29277208260386423</v>
      </c>
      <c r="AY1391">
        <v>0.18</v>
      </c>
      <c r="AZ1391" s="209">
        <v>361.55043884905103</v>
      </c>
      <c r="BA1391">
        <v>0.29277208260386423</v>
      </c>
      <c r="BB1391" s="249">
        <v>16.248707196989258</v>
      </c>
      <c r="BC1391" s="243">
        <v>53.277029691531354</v>
      </c>
      <c r="BD1391" s="209">
        <v>21601.006797681555</v>
      </c>
      <c r="BE1391" s="243">
        <v>19.060059272021633</v>
      </c>
      <c r="BF1391">
        <v>648534.33880935085</v>
      </c>
      <c r="BG1391" t="s">
        <v>389</v>
      </c>
      <c r="BH1391">
        <v>2.7276309434586476E-6</v>
      </c>
      <c r="BI1391">
        <v>1416010.0679768156</v>
      </c>
      <c r="BJ1391">
        <f t="shared" si="79"/>
        <v>0.45800122010147271</v>
      </c>
    </row>
    <row r="1392" spans="1:62" s="140" customFormat="1" x14ac:dyDescent="0.3">
      <c r="A1392" s="140">
        <v>-0.1</v>
      </c>
      <c r="B1392" s="140">
        <v>1000</v>
      </c>
      <c r="C1392" s="140">
        <v>25</v>
      </c>
      <c r="D1392" s="140">
        <v>400</v>
      </c>
      <c r="E1392" s="253">
        <v>4.3378957564964464</v>
      </c>
      <c r="F1392" s="140">
        <v>0.93102396317408542</v>
      </c>
      <c r="G1392" s="140">
        <v>4.9249357946116987</v>
      </c>
      <c r="H1392" s="140">
        <v>2.6297370525265418</v>
      </c>
      <c r="J1392" s="140">
        <v>0.40107369378414792</v>
      </c>
      <c r="K1392" s="140">
        <v>0.18</v>
      </c>
      <c r="L1392" s="140">
        <v>26.871362377074622</v>
      </c>
      <c r="M1392" s="140">
        <v>13.379931474062055</v>
      </c>
      <c r="N1392" s="140">
        <v>0.73242775888827394</v>
      </c>
      <c r="Z1392" s="140">
        <v>0.27851748834910617</v>
      </c>
      <c r="AL1392" s="140">
        <v>739.91084511870326</v>
      </c>
      <c r="AM1392" s="140">
        <v>0.18904286309533322</v>
      </c>
      <c r="AN1392" s="140">
        <v>0.2797053741694841</v>
      </c>
      <c r="AO1392" s="140">
        <v>384.49119624756315</v>
      </c>
      <c r="AP1392" s="140">
        <v>373.69696567456617</v>
      </c>
      <c r="AQ1392" t="s">
        <v>326</v>
      </c>
      <c r="AR1392">
        <f t="shared" si="80"/>
        <v>9.762677251918257</v>
      </c>
      <c r="AS1392">
        <f t="shared" si="81"/>
        <v>2.6643645582431001</v>
      </c>
      <c r="AT1392" s="140">
        <v>0.2</v>
      </c>
      <c r="AU1392" s="140">
        <v>1</v>
      </c>
      <c r="AV1392">
        <v>0.3</v>
      </c>
      <c r="AW1392" s="140">
        <v>0.1</v>
      </c>
      <c r="AX1392" s="140">
        <v>0.29918289776116896</v>
      </c>
      <c r="AY1392">
        <v>0.18</v>
      </c>
      <c r="AZ1392" s="209">
        <v>373.69696567456617</v>
      </c>
      <c r="BA1392" s="140">
        <v>0.29918289776116896</v>
      </c>
      <c r="BB1392" s="253">
        <v>11.275015759493749</v>
      </c>
      <c r="BC1392" s="245">
        <v>35.44782417553305</v>
      </c>
      <c r="BD1392" s="210">
        <v>13705.517005269412</v>
      </c>
      <c r="BE1392" s="245">
        <v>13.16339843575083</v>
      </c>
      <c r="BF1392" s="140">
        <v>616566.0526228809</v>
      </c>
      <c r="BG1392" t="s">
        <v>389</v>
      </c>
      <c r="BH1392" s="140">
        <v>1.8731577262414326E-6</v>
      </c>
      <c r="BI1392" s="140">
        <v>1337055.1700526942</v>
      </c>
      <c r="BJ1392">
        <f t="shared" si="79"/>
        <v>0.46113733107855354</v>
      </c>
    </row>
    <row r="1393" spans="1:62" x14ac:dyDescent="0.3">
      <c r="A1393">
        <v>-0.1</v>
      </c>
      <c r="B1393" s="146">
        <v>1000</v>
      </c>
      <c r="C1393" s="146">
        <v>25</v>
      </c>
      <c r="D1393" s="146">
        <v>400</v>
      </c>
      <c r="E1393" s="252">
        <v>18.564881026197124</v>
      </c>
      <c r="F1393" s="146">
        <v>4.2034916196714995</v>
      </c>
      <c r="G1393" s="146">
        <v>21.337096532711559</v>
      </c>
      <c r="H1393" s="146">
        <v>11.394223525648956</v>
      </c>
      <c r="I1393" s="146"/>
      <c r="J1393" s="146">
        <v>0.34418614559922045</v>
      </c>
      <c r="K1393" s="146">
        <v>0.18</v>
      </c>
      <c r="L1393" s="146">
        <v>115.73715891177437</v>
      </c>
      <c r="M1393" s="146">
        <v>57.628460868933303</v>
      </c>
      <c r="N1393" s="146">
        <v>2.4572591229824106</v>
      </c>
      <c r="O1393" s="146"/>
      <c r="P1393" s="146"/>
      <c r="Q1393" s="146"/>
      <c r="R1393" s="146"/>
      <c r="S1393" s="146"/>
      <c r="T1393" s="146"/>
      <c r="U1393" s="146"/>
      <c r="V1393" s="146"/>
      <c r="W1393" s="146"/>
      <c r="X1393" s="146"/>
      <c r="Y1393" s="146"/>
      <c r="Z1393" s="146">
        <v>0.21565832173214786</v>
      </c>
      <c r="AA1393" s="146"/>
      <c r="AB1393" s="146"/>
      <c r="AC1393" s="146"/>
      <c r="AD1393" s="146"/>
      <c r="AE1393" s="146"/>
      <c r="AF1393" s="146"/>
      <c r="AG1393" s="146"/>
      <c r="AH1393" s="146"/>
      <c r="AI1393" s="146"/>
      <c r="AJ1393" s="146"/>
      <c r="AK1393" s="146"/>
      <c r="AL1393" s="146">
        <v>1513.8409178776726</v>
      </c>
      <c r="AM1393" s="146">
        <v>0.19700391818667523</v>
      </c>
      <c r="AN1393" s="146">
        <v>0.27065455425083246</v>
      </c>
      <c r="AO1393" s="146">
        <v>331.40746854386242</v>
      </c>
      <c r="AP1393" s="146">
        <v>285.21135638646621</v>
      </c>
      <c r="AQ1393" t="s">
        <v>326</v>
      </c>
      <c r="AR1393">
        <f t="shared" si="80"/>
        <v>9.762677251918257</v>
      </c>
      <c r="AS1393">
        <f t="shared" si="81"/>
        <v>2.6643645582431001</v>
      </c>
      <c r="AT1393">
        <v>0.2</v>
      </c>
      <c r="AU1393">
        <v>1</v>
      </c>
      <c r="AV1393">
        <v>0.3</v>
      </c>
      <c r="AW1393" s="146">
        <v>3</v>
      </c>
      <c r="AX1393" s="146">
        <v>0.26761863082481246</v>
      </c>
      <c r="AY1393">
        <v>0.18</v>
      </c>
      <c r="AZ1393" s="209">
        <v>285.21135638646621</v>
      </c>
      <c r="BA1393">
        <v>0.26761863082481246</v>
      </c>
      <c r="BB1393" s="249">
        <v>49.160872356544374</v>
      </c>
      <c r="BC1393" s="243">
        <v>205.47210019774619</v>
      </c>
      <c r="BD1393" s="209">
        <v>103910.35152898812</v>
      </c>
      <c r="BE1393" s="243">
        <v>62.715778473726623</v>
      </c>
      <c r="BF1393">
        <v>339934.57549273176</v>
      </c>
      <c r="BG1393" t="s">
        <v>390</v>
      </c>
      <c r="BH1393">
        <v>6.9368643048547534E-6</v>
      </c>
      <c r="BI1393">
        <v>2239103.5152898813</v>
      </c>
      <c r="BJ1393">
        <f t="shared" si="79"/>
        <v>0.15181726667457032</v>
      </c>
    </row>
    <row r="1394" spans="1:62" s="140" customFormat="1" x14ac:dyDescent="0.3">
      <c r="A1394">
        <v>-0.2</v>
      </c>
      <c r="B1394" s="146">
        <v>1000</v>
      </c>
      <c r="C1394" s="146">
        <v>25</v>
      </c>
      <c r="D1394" s="146">
        <v>400</v>
      </c>
      <c r="E1394" s="252">
        <v>18.463614169275314</v>
      </c>
      <c r="F1394" s="146">
        <v>4.2709352176047464</v>
      </c>
      <c r="G1394" s="146">
        <v>21.271149153063817</v>
      </c>
      <c r="H1394" s="146">
        <v>11.405148116681557</v>
      </c>
      <c r="I1394" s="146"/>
      <c r="J1394" s="146">
        <v>0.34520505112086713</v>
      </c>
      <c r="K1394" s="146">
        <v>0.18</v>
      </c>
      <c r="L1394" s="146">
        <v>115.86092948444168</v>
      </c>
      <c r="M1394" s="146">
        <v>57.69008936984649</v>
      </c>
      <c r="N1394" s="146">
        <v>2.4355642204266754</v>
      </c>
      <c r="O1394" s="146"/>
      <c r="P1394" s="146"/>
      <c r="Q1394" s="146"/>
      <c r="R1394" s="146"/>
      <c r="S1394" s="146"/>
      <c r="T1394" s="146"/>
      <c r="U1394" s="146"/>
      <c r="V1394" s="146"/>
      <c r="W1394" s="146"/>
      <c r="X1394" s="146"/>
      <c r="Y1394" s="146"/>
      <c r="Z1394" s="146">
        <v>0.21354954758231823</v>
      </c>
      <c r="AA1394" s="146"/>
      <c r="AB1394" s="146"/>
      <c r="AC1394" s="146"/>
      <c r="AD1394" s="146"/>
      <c r="AE1394" s="146"/>
      <c r="AF1394" s="146"/>
      <c r="AG1394" s="146"/>
      <c r="AH1394" s="146"/>
      <c r="AI1394" s="146"/>
      <c r="AJ1394" s="146"/>
      <c r="AK1394" s="146"/>
      <c r="AL1394" s="146">
        <v>1495.1793904927927</v>
      </c>
      <c r="AM1394" s="146">
        <v>0.20078535423130051</v>
      </c>
      <c r="AN1394" s="146">
        <v>0.2408549974480515</v>
      </c>
      <c r="AO1394" s="146">
        <v>323.34136984947713</v>
      </c>
      <c r="AP1394" s="146">
        <v>277.39728027945694</v>
      </c>
      <c r="AQ1394" t="s">
        <v>326</v>
      </c>
      <c r="AR1394">
        <f t="shared" si="80"/>
        <v>9.762677251918257</v>
      </c>
      <c r="AS1394">
        <f t="shared" si="81"/>
        <v>2.6643645582431001</v>
      </c>
      <c r="AT1394">
        <v>0.2</v>
      </c>
      <c r="AU1394">
        <v>1</v>
      </c>
      <c r="AV1394">
        <v>0.3</v>
      </c>
      <c r="AW1394" s="146">
        <v>3</v>
      </c>
      <c r="AX1394" s="146">
        <v>0.26769863322102261</v>
      </c>
      <c r="AY1394">
        <v>0.18</v>
      </c>
      <c r="AZ1394" s="209">
        <v>277.39728027945694</v>
      </c>
      <c r="BA1394" s="140">
        <v>0.26769863322102261</v>
      </c>
      <c r="BB1394" s="253">
        <v>49.530022712255445</v>
      </c>
      <c r="BC1394" s="245">
        <v>205.82469897363302</v>
      </c>
      <c r="BD1394" s="210">
        <v>104249.25301913716</v>
      </c>
      <c r="BE1394" s="245">
        <v>63.00225102081891</v>
      </c>
      <c r="BF1394" s="140">
        <v>338428.24228781369</v>
      </c>
      <c r="BG1394" t="s">
        <v>390</v>
      </c>
      <c r="BH1394" s="140">
        <v>6.8926938884516405E-6</v>
      </c>
      <c r="BI1394" s="140">
        <v>2242492.5301913717</v>
      </c>
      <c r="BJ1394">
        <f t="shared" si="79"/>
        <v>0.1509161068460427</v>
      </c>
    </row>
    <row r="1395" spans="1:62" x14ac:dyDescent="0.3">
      <c r="A1395">
        <v>-0.3</v>
      </c>
      <c r="B1395" s="146">
        <v>1000</v>
      </c>
      <c r="C1395" s="146">
        <v>25</v>
      </c>
      <c r="D1395" s="146">
        <v>400</v>
      </c>
      <c r="E1395" s="252">
        <v>18.396778420234529</v>
      </c>
      <c r="F1395" s="146">
        <v>4.3856825247400417</v>
      </c>
      <c r="G1395" s="146">
        <v>21.267380849092071</v>
      </c>
      <c r="H1395" s="146">
        <v>11.444823606890198</v>
      </c>
      <c r="I1395" s="146"/>
      <c r="J1395" s="146">
        <v>0.34446665926264824</v>
      </c>
      <c r="K1395" s="146">
        <v>0.18</v>
      </c>
      <c r="L1395" s="146">
        <v>116.27974270090144</v>
      </c>
      <c r="M1395" s="146">
        <v>57.898627070988276</v>
      </c>
      <c r="N1395" s="146">
        <v>2.429091704075022</v>
      </c>
      <c r="O1395" s="146"/>
      <c r="P1395" s="146"/>
      <c r="Q1395" s="146"/>
      <c r="R1395" s="146"/>
      <c r="S1395" s="146"/>
      <c r="T1395" s="146"/>
      <c r="U1395" s="146"/>
      <c r="V1395" s="146"/>
      <c r="W1395" s="146"/>
      <c r="X1395" s="146"/>
      <c r="Y1395" s="146"/>
      <c r="Z1395" s="146">
        <v>0.21224369964187309</v>
      </c>
      <c r="AA1395" s="146"/>
      <c r="AB1395" s="146"/>
      <c r="AC1395" s="146"/>
      <c r="AD1395" s="146"/>
      <c r="AE1395" s="146"/>
      <c r="AF1395" s="146"/>
      <c r="AG1395" s="146"/>
      <c r="AH1395" s="146"/>
      <c r="AI1395" s="146"/>
      <c r="AJ1395" s="146"/>
      <c r="AK1395" s="146"/>
      <c r="AL1395" s="146">
        <v>1481.309053322341</v>
      </c>
      <c r="AM1395" s="146">
        <v>0.20621639100083505</v>
      </c>
      <c r="AN1395" s="146">
        <v>0.21034732631767158</v>
      </c>
      <c r="AO1395" s="146">
        <v>312.54094481595041</v>
      </c>
      <c r="AP1395" s="146">
        <v>266.76320128483013</v>
      </c>
      <c r="AQ1395" t="s">
        <v>326</v>
      </c>
      <c r="AR1395">
        <f t="shared" si="80"/>
        <v>9.762677251918257</v>
      </c>
      <c r="AS1395">
        <f t="shared" si="81"/>
        <v>2.6643645582431001</v>
      </c>
      <c r="AT1395">
        <v>0.2</v>
      </c>
      <c r="AU1395">
        <v>1</v>
      </c>
      <c r="AV1395">
        <v>0.3</v>
      </c>
      <c r="AW1395" s="146">
        <v>3</v>
      </c>
      <c r="AX1395" s="146">
        <v>0.26643466845695746</v>
      </c>
      <c r="AY1395">
        <v>0.18</v>
      </c>
      <c r="AZ1395" s="209">
        <v>266.76320128483013</v>
      </c>
      <c r="BA1395">
        <v>0.26643466845695746</v>
      </c>
      <c r="BB1395" s="249">
        <v>50.284368606732727</v>
      </c>
      <c r="BC1395" s="243">
        <v>207.02214639372477</v>
      </c>
      <c r="BD1395" s="209">
        <v>105473.88609456054</v>
      </c>
      <c r="BE1395" s="243">
        <v>64.082320201282968</v>
      </c>
      <c r="BF1395">
        <v>339545.17949390569</v>
      </c>
      <c r="BG1395" t="s">
        <v>390</v>
      </c>
      <c r="BH1395">
        <v>6.8301955062898681E-6</v>
      </c>
      <c r="BI1395">
        <v>2254738.8609456057</v>
      </c>
      <c r="BJ1395">
        <f t="shared" si="79"/>
        <v>0.15059179817901627</v>
      </c>
    </row>
    <row r="1396" spans="1:62" x14ac:dyDescent="0.3">
      <c r="A1396">
        <v>-0.4</v>
      </c>
      <c r="B1396" s="146">
        <v>1000</v>
      </c>
      <c r="C1396" s="146">
        <v>25</v>
      </c>
      <c r="D1396" s="146">
        <v>400</v>
      </c>
      <c r="E1396" s="252">
        <v>18.169720163390092</v>
      </c>
      <c r="F1396" s="146">
        <v>4.4844456908372878</v>
      </c>
      <c r="G1396" s="146">
        <v>21.090256122050924</v>
      </c>
      <c r="H1396" s="146">
        <v>11.446719129415849</v>
      </c>
      <c r="I1396" s="146"/>
      <c r="J1396" s="146">
        <v>0.34579948629356783</v>
      </c>
      <c r="K1396" s="146">
        <v>0.18</v>
      </c>
      <c r="L1396" s="146">
        <v>116.32493615135962</v>
      </c>
      <c r="M1396" s="146">
        <v>57.921130033872011</v>
      </c>
      <c r="N1396" s="146">
        <v>2.403070672613433</v>
      </c>
      <c r="O1396" s="146"/>
      <c r="P1396" s="146"/>
      <c r="Q1396" s="146"/>
      <c r="R1396" s="146"/>
      <c r="S1396" s="146"/>
      <c r="T1396" s="146"/>
      <c r="U1396" s="146"/>
      <c r="V1396" s="146"/>
      <c r="W1396" s="146"/>
      <c r="X1396" s="146"/>
      <c r="Y1396" s="146"/>
      <c r="Z1396" s="146">
        <v>0.2099353225535173</v>
      </c>
      <c r="AA1396" s="146"/>
      <c r="AB1396" s="146"/>
      <c r="AC1396" s="146"/>
      <c r="AD1396" s="146"/>
      <c r="AE1396" s="146"/>
      <c r="AF1396" s="146"/>
      <c r="AG1396" s="146"/>
      <c r="AH1396" s="146"/>
      <c r="AI1396" s="146"/>
      <c r="AJ1396" s="146"/>
      <c r="AK1396" s="146"/>
      <c r="AL1396" s="146">
        <v>1455.996051701818</v>
      </c>
      <c r="AM1396" s="146">
        <v>0.2126311631724839</v>
      </c>
      <c r="AN1396" s="146">
        <v>0.18110581272152332</v>
      </c>
      <c r="AO1396" s="146">
        <v>299.67345669170379</v>
      </c>
      <c r="AP1396" s="146">
        <v>254.46071539510109</v>
      </c>
      <c r="AQ1396" t="s">
        <v>326</v>
      </c>
      <c r="AR1396">
        <f t="shared" si="80"/>
        <v>9.762677251918257</v>
      </c>
      <c r="AS1396">
        <f t="shared" si="81"/>
        <v>2.6643645582431001</v>
      </c>
      <c r="AT1396">
        <v>0.2</v>
      </c>
      <c r="AU1396">
        <v>1</v>
      </c>
      <c r="AV1396">
        <v>0.3</v>
      </c>
      <c r="AW1396" s="146">
        <v>3</v>
      </c>
      <c r="AX1396" s="146">
        <v>0.26649411668098788</v>
      </c>
      <c r="AY1396">
        <v>0.18</v>
      </c>
      <c r="AZ1396" s="209">
        <v>254.46071539510109</v>
      </c>
      <c r="BA1396">
        <v>0.26649411668098788</v>
      </c>
      <c r="BB1396" s="249">
        <v>50.748817644332291</v>
      </c>
      <c r="BC1396" s="243">
        <v>207.15176254955148</v>
      </c>
      <c r="BD1396" s="209">
        <v>105589.13456993994</v>
      </c>
      <c r="BE1396" s="243">
        <v>64.173482747323149</v>
      </c>
      <c r="BF1396">
        <v>334747.39966098627</v>
      </c>
      <c r="BG1396" t="s">
        <v>390</v>
      </c>
      <c r="BH1396">
        <v>6.7533063004155338E-6</v>
      </c>
      <c r="BI1396">
        <v>2255891.3456993997</v>
      </c>
      <c r="BJ1396">
        <f t="shared" si="79"/>
        <v>0.14838808628755287</v>
      </c>
    </row>
    <row r="1397" spans="1:62" x14ac:dyDescent="0.3">
      <c r="A1397">
        <v>-0.5</v>
      </c>
      <c r="B1397" s="146">
        <v>1000</v>
      </c>
      <c r="C1397" s="146">
        <v>25</v>
      </c>
      <c r="D1397" s="146">
        <v>400</v>
      </c>
      <c r="E1397" s="252">
        <v>17.894555466694541</v>
      </c>
      <c r="F1397" s="146">
        <v>4.651639186279164</v>
      </c>
      <c r="G1397" s="146">
        <v>20.902557874712056</v>
      </c>
      <c r="H1397" s="146">
        <v>11.474619322008442</v>
      </c>
      <c r="I1397" s="146"/>
      <c r="J1397" s="146">
        <v>0.34869953665501979</v>
      </c>
      <c r="K1397" s="146">
        <v>0.18</v>
      </c>
      <c r="L1397" s="146">
        <v>116.64638441875974</v>
      </c>
      <c r="M1397" s="146">
        <v>58.081187262452985</v>
      </c>
      <c r="N1397" s="146">
        <v>2.3507489836928421</v>
      </c>
      <c r="O1397" s="146"/>
      <c r="P1397" s="146"/>
      <c r="Q1397" s="146"/>
      <c r="R1397" s="146"/>
      <c r="S1397" s="146"/>
      <c r="T1397" s="146"/>
      <c r="U1397" s="146"/>
      <c r="V1397" s="146"/>
      <c r="W1397" s="146"/>
      <c r="X1397" s="146"/>
      <c r="Y1397" s="146"/>
      <c r="Z1397" s="146">
        <v>0.20486509554038804</v>
      </c>
      <c r="AA1397" s="146"/>
      <c r="AB1397" s="146"/>
      <c r="AC1397" s="146"/>
      <c r="AD1397" s="146"/>
      <c r="AE1397" s="146"/>
      <c r="AF1397" s="146"/>
      <c r="AG1397" s="146"/>
      <c r="AH1397" s="146"/>
      <c r="AI1397" s="146"/>
      <c r="AJ1397" s="146"/>
      <c r="AK1397" s="146"/>
      <c r="AL1397" s="146">
        <v>1412.6300953806563</v>
      </c>
      <c r="AM1397" s="146">
        <v>0.2225392324786587</v>
      </c>
      <c r="AN1397" s="146">
        <v>0.15137137399841114</v>
      </c>
      <c r="AO1397" s="146">
        <v>281.7837547878612</v>
      </c>
      <c r="AP1397" s="146">
        <v>237.25560353423572</v>
      </c>
      <c r="AQ1397" t="s">
        <v>326</v>
      </c>
      <c r="AR1397">
        <f t="shared" si="80"/>
        <v>9.762677251918257</v>
      </c>
      <c r="AS1397">
        <f t="shared" si="81"/>
        <v>2.6643645582431001</v>
      </c>
      <c r="AT1397">
        <v>0.2</v>
      </c>
      <c r="AU1397">
        <v>1</v>
      </c>
      <c r="AV1397">
        <v>0.3</v>
      </c>
      <c r="AW1397" s="146">
        <v>3</v>
      </c>
      <c r="AX1397" s="146">
        <v>0.2670007562513077</v>
      </c>
      <c r="AY1397">
        <v>0.18</v>
      </c>
      <c r="AZ1397" s="209">
        <v>237.25560353423572</v>
      </c>
      <c r="BA1397">
        <v>0.2670007562513077</v>
      </c>
      <c r="BB1397" s="249">
        <v>51.633330838832151</v>
      </c>
      <c r="BC1397" s="243">
        <v>208.07595871315189</v>
      </c>
      <c r="BD1397" s="209">
        <v>106393.54984836113</v>
      </c>
      <c r="BE1397" s="243">
        <v>64.797167238021729</v>
      </c>
      <c r="BF1397">
        <v>330293.2471701887</v>
      </c>
      <c r="BG1397" t="s">
        <v>390</v>
      </c>
      <c r="BH1397">
        <v>6.638417255123031E-6</v>
      </c>
      <c r="BI1397">
        <v>2263935.4984836113</v>
      </c>
      <c r="BJ1397">
        <f t="shared" si="79"/>
        <v>0.1458933999627727</v>
      </c>
    </row>
    <row r="1398" spans="1:62" x14ac:dyDescent="0.3">
      <c r="A1398">
        <v>-0.6</v>
      </c>
      <c r="B1398" s="146">
        <v>1000</v>
      </c>
      <c r="C1398" s="146">
        <v>25</v>
      </c>
      <c r="D1398" s="146">
        <v>400</v>
      </c>
      <c r="E1398" s="252">
        <v>17.470319505185884</v>
      </c>
      <c r="F1398" s="146">
        <v>4.9168981190644878</v>
      </c>
      <c r="G1398" s="146">
        <v>20.617167679602794</v>
      </c>
      <c r="H1398" s="146">
        <v>11.523034021445159</v>
      </c>
      <c r="I1398" s="146"/>
      <c r="J1398" s="146">
        <v>0.35556996250663181</v>
      </c>
      <c r="K1398" s="146">
        <v>0.18</v>
      </c>
      <c r="L1398" s="146">
        <v>117.20339835417737</v>
      </c>
      <c r="M1398" s="146">
        <v>58.358538599590403</v>
      </c>
      <c r="N1398" s="146">
        <v>2.2457581802958035</v>
      </c>
      <c r="O1398" s="146"/>
      <c r="P1398" s="146"/>
      <c r="Q1398" s="146"/>
      <c r="R1398" s="146"/>
      <c r="S1398" s="146"/>
      <c r="T1398" s="146"/>
      <c r="U1398" s="146"/>
      <c r="V1398" s="146"/>
      <c r="W1398" s="146"/>
      <c r="X1398" s="146"/>
      <c r="Y1398" s="146"/>
      <c r="Z1398" s="146">
        <v>0.1948929575419367</v>
      </c>
      <c r="AA1398" s="146"/>
      <c r="AB1398" s="146"/>
      <c r="AC1398" s="146"/>
      <c r="AD1398" s="146"/>
      <c r="AE1398" s="146"/>
      <c r="AF1398" s="146"/>
      <c r="AG1398" s="146"/>
      <c r="AH1398" s="146"/>
      <c r="AI1398" s="146"/>
      <c r="AJ1398" s="146"/>
      <c r="AK1398" s="146"/>
      <c r="AL1398" s="146">
        <v>1335.7298572029863</v>
      </c>
      <c r="AM1398" s="146">
        <v>0.23848562496433146</v>
      </c>
      <c r="AN1398" s="146">
        <v>0.12159468904079827</v>
      </c>
      <c r="AO1398" s="146">
        <v>256.32333416039148</v>
      </c>
      <c r="AP1398" s="146">
        <v>212.85076705508615</v>
      </c>
      <c r="AQ1398" t="s">
        <v>326</v>
      </c>
      <c r="AR1398">
        <f t="shared" si="80"/>
        <v>9.762677251918257</v>
      </c>
      <c r="AS1398">
        <f t="shared" si="81"/>
        <v>2.6643645582431001</v>
      </c>
      <c r="AT1398">
        <v>0.2</v>
      </c>
      <c r="AU1398">
        <v>1</v>
      </c>
      <c r="AV1398">
        <v>0.3</v>
      </c>
      <c r="AW1398" s="146">
        <v>3</v>
      </c>
      <c r="AX1398" s="146">
        <v>0.26908930209244275</v>
      </c>
      <c r="AY1398">
        <v>0.18</v>
      </c>
      <c r="AZ1398" s="209">
        <v>212.85076705508615</v>
      </c>
      <c r="BA1398">
        <v>0.26908930209244275</v>
      </c>
      <c r="BB1398" s="249">
        <v>53.017870528628976</v>
      </c>
      <c r="BC1398" s="243">
        <v>209.68694677247368</v>
      </c>
      <c r="BD1398" s="209">
        <v>107654.09315637266</v>
      </c>
      <c r="BE1398" s="243">
        <v>65.672699181393227</v>
      </c>
      <c r="BF1398">
        <v>323375.68856577162</v>
      </c>
      <c r="BG1398" t="s">
        <v>390</v>
      </c>
      <c r="BH1398">
        <v>6.4615254952519226E-6</v>
      </c>
      <c r="BI1398">
        <v>2276540.9315637266</v>
      </c>
      <c r="BJ1398">
        <f t="shared" si="79"/>
        <v>0.14204694678766397</v>
      </c>
    </row>
    <row r="1399" spans="1:62" x14ac:dyDescent="0.3">
      <c r="A1399">
        <v>-0.7</v>
      </c>
      <c r="B1399" s="146">
        <v>1000</v>
      </c>
      <c r="C1399" s="146">
        <v>25</v>
      </c>
      <c r="D1399" s="146">
        <v>400</v>
      </c>
      <c r="E1399" s="252">
        <v>16.713287258326453</v>
      </c>
      <c r="F1399" s="146">
        <v>5.3512951836298246</v>
      </c>
      <c r="G1399" s="146">
        <v>20.086223786026835</v>
      </c>
      <c r="H1399" s="146">
        <v>11.592122461885983</v>
      </c>
      <c r="I1399" s="146"/>
      <c r="J1399" s="146">
        <v>0.36639457207232534</v>
      </c>
      <c r="K1399" s="146">
        <v>0.18</v>
      </c>
      <c r="L1399" s="146">
        <v>118.04130915177088</v>
      </c>
      <c r="M1399" s="146">
        <v>58.775755594242753</v>
      </c>
      <c r="N1399" s="146">
        <v>2.0982070027321207</v>
      </c>
      <c r="O1399" s="146"/>
      <c r="P1399" s="146"/>
      <c r="Q1399" s="146"/>
      <c r="R1399" s="146"/>
      <c r="S1399" s="146"/>
      <c r="T1399" s="146"/>
      <c r="U1399" s="146"/>
      <c r="V1399" s="146"/>
      <c r="W1399" s="146"/>
      <c r="X1399" s="146"/>
      <c r="Y1399" s="146"/>
      <c r="Z1399" s="146">
        <v>0.18100283271082285</v>
      </c>
      <c r="AA1399" s="146"/>
      <c r="AB1399" s="146"/>
      <c r="AC1399" s="146"/>
      <c r="AD1399" s="146"/>
      <c r="AE1399" s="146"/>
      <c r="AF1399" s="146"/>
      <c r="AG1399" s="146"/>
      <c r="AH1399" s="146"/>
      <c r="AI1399" s="146"/>
      <c r="AJ1399" s="146"/>
      <c r="AK1399" s="146"/>
      <c r="AL1399" s="146">
        <v>1225.8565031323626</v>
      </c>
      <c r="AM1399" s="146">
        <v>0.26641618855966853</v>
      </c>
      <c r="AN1399" s="146">
        <v>9.2004011908682876E-2</v>
      </c>
      <c r="AO1399" s="146">
        <v>218.34175584739759</v>
      </c>
      <c r="AP1399" s="146">
        <v>176.75300176630259</v>
      </c>
      <c r="AQ1399" t="s">
        <v>326</v>
      </c>
      <c r="AR1399">
        <f t="shared" si="80"/>
        <v>9.762677251918257</v>
      </c>
      <c r="AS1399">
        <f t="shared" si="81"/>
        <v>2.6643645582431001</v>
      </c>
      <c r="AT1399">
        <v>0.2</v>
      </c>
      <c r="AU1399">
        <v>1</v>
      </c>
      <c r="AV1399">
        <v>0.3</v>
      </c>
      <c r="AW1399" s="146">
        <v>3</v>
      </c>
      <c r="AX1399" s="146">
        <v>0.27233978739401349</v>
      </c>
      <c r="AY1399">
        <v>0.18</v>
      </c>
      <c r="AZ1399" s="209">
        <v>176.75300176630259</v>
      </c>
      <c r="BA1399">
        <v>0.27233978739401349</v>
      </c>
      <c r="BB1399" s="249">
        <v>55.210133548310324</v>
      </c>
      <c r="BC1399" s="243">
        <v>212.13343372928873</v>
      </c>
      <c r="BD1399" s="209">
        <v>109422.44583450445</v>
      </c>
      <c r="BE1399" s="243">
        <v>66.782140624899199</v>
      </c>
      <c r="BF1399">
        <v>309903.51490621513</v>
      </c>
      <c r="BG1399" t="s">
        <v>390</v>
      </c>
      <c r="BH1399">
        <v>6.1624621325160406E-6</v>
      </c>
      <c r="BI1399">
        <v>2294224.4583450444</v>
      </c>
      <c r="BJ1399">
        <f t="shared" si="79"/>
        <v>0.13507985837173331</v>
      </c>
    </row>
    <row r="1400" spans="1:62" x14ac:dyDescent="0.3">
      <c r="A1400">
        <v>-0.8</v>
      </c>
      <c r="B1400" s="146">
        <v>1000</v>
      </c>
      <c r="C1400" s="146">
        <v>25</v>
      </c>
      <c r="D1400" s="146">
        <v>400</v>
      </c>
      <c r="E1400" s="252">
        <v>15.185046836755074</v>
      </c>
      <c r="F1400" s="146">
        <v>6.5396469919822593</v>
      </c>
      <c r="G1400" s="146">
        <v>19.183188765168442</v>
      </c>
      <c r="H1400" s="146">
        <v>11.742969459197344</v>
      </c>
      <c r="I1400" s="146"/>
      <c r="J1400" s="146">
        <v>0.39110879124750964</v>
      </c>
      <c r="K1400" s="146">
        <v>0.18</v>
      </c>
      <c r="L1400" s="146">
        <v>120.07751695813921</v>
      </c>
      <c r="M1400" s="146">
        <v>59.789634999903349</v>
      </c>
      <c r="N1400" s="146">
        <v>1.7675612328259156</v>
      </c>
      <c r="O1400" s="146"/>
      <c r="P1400" s="146"/>
      <c r="Q1400" s="146"/>
      <c r="R1400" s="146"/>
      <c r="S1400" s="146"/>
      <c r="T1400" s="146"/>
      <c r="U1400" s="146"/>
      <c r="V1400" s="146"/>
      <c r="W1400" s="146"/>
      <c r="X1400" s="146"/>
      <c r="Y1400" s="146"/>
      <c r="Z1400" s="146">
        <v>0.15052080642528828</v>
      </c>
      <c r="AA1400" s="146"/>
      <c r="AB1400" s="146"/>
      <c r="AC1400" s="146"/>
      <c r="AD1400" s="146"/>
      <c r="AE1400" s="146"/>
      <c r="AF1400" s="146"/>
      <c r="AG1400" s="146"/>
      <c r="AH1400" s="146"/>
      <c r="AI1400" s="146"/>
      <c r="AJ1400" s="146"/>
      <c r="AK1400" s="146"/>
      <c r="AL1400" s="146">
        <v>996.19192861295664</v>
      </c>
      <c r="AM1400" s="146">
        <v>0.34090510561291643</v>
      </c>
      <c r="AN1400" s="146">
        <v>6.0788119853427337E-2</v>
      </c>
      <c r="AO1400" s="146">
        <v>150.19712941658096</v>
      </c>
      <c r="AP1400" s="146">
        <v>112.41131219999961</v>
      </c>
      <c r="AQ1400" t="s">
        <v>326</v>
      </c>
      <c r="AR1400">
        <f t="shared" si="80"/>
        <v>9.762677251918257</v>
      </c>
      <c r="AS1400">
        <f t="shared" si="81"/>
        <v>2.6643645582431001</v>
      </c>
      <c r="AT1400">
        <v>0.2</v>
      </c>
      <c r="AU1400">
        <v>1</v>
      </c>
      <c r="AV1400">
        <v>0.3</v>
      </c>
      <c r="AW1400" s="146">
        <v>3</v>
      </c>
      <c r="AX1400" s="146">
        <v>0.27860558816504355</v>
      </c>
      <c r="AY1400">
        <v>0.18</v>
      </c>
      <c r="AZ1400" s="209">
        <v>112.41131219999961</v>
      </c>
      <c r="BA1400">
        <v>0.27860558816504355</v>
      </c>
      <c r="BB1400" s="249">
        <v>61.657938505995169</v>
      </c>
      <c r="BC1400" s="243">
        <v>218.19800091571318</v>
      </c>
      <c r="BD1400" s="209">
        <v>116854.06615864098</v>
      </c>
      <c r="BE1400" s="243">
        <v>73.129372053182024</v>
      </c>
      <c r="BF1400">
        <v>293846.02715887188</v>
      </c>
      <c r="BG1400" t="s">
        <v>390</v>
      </c>
      <c r="BH1400">
        <v>5.4520409880201582E-6</v>
      </c>
      <c r="BI1400">
        <v>2368540.6615864099</v>
      </c>
      <c r="BJ1400">
        <f t="shared" si="79"/>
        <v>0.12406205725092286</v>
      </c>
    </row>
    <row r="1401" spans="1:62" x14ac:dyDescent="0.3">
      <c r="A1401">
        <v>-0.85</v>
      </c>
      <c r="B1401" s="146">
        <v>1000</v>
      </c>
      <c r="C1401" s="146">
        <v>25</v>
      </c>
      <c r="D1401" s="146">
        <v>400</v>
      </c>
      <c r="E1401" s="252">
        <v>10.619797231056967</v>
      </c>
      <c r="F1401" s="146">
        <v>4.1471419849373738</v>
      </c>
      <c r="G1401" s="146">
        <v>13.118226567569586</v>
      </c>
      <c r="H1401" s="146">
        <v>7.8018634591672082</v>
      </c>
      <c r="I1401" s="146"/>
      <c r="J1401" s="146">
        <v>0.39201070203198063</v>
      </c>
      <c r="K1401" s="146">
        <v>0.18</v>
      </c>
      <c r="L1401" s="146">
        <v>80.008758912493988</v>
      </c>
      <c r="M1401" s="146">
        <v>39.838386180494929</v>
      </c>
      <c r="N1401" s="146">
        <v>1.4266697866340508</v>
      </c>
      <c r="O1401" s="146"/>
      <c r="P1401" s="146"/>
      <c r="Q1401" s="146"/>
      <c r="R1401" s="146"/>
      <c r="S1401" s="146"/>
      <c r="T1401" s="146"/>
      <c r="U1401" s="146"/>
      <c r="V1401" s="146"/>
      <c r="W1401" s="146"/>
      <c r="X1401" s="146"/>
      <c r="Y1401" s="146"/>
      <c r="Z1401" s="146">
        <v>0.18286269608547306</v>
      </c>
      <c r="AA1401" s="146"/>
      <c r="AB1401" s="146"/>
      <c r="AC1401" s="146"/>
      <c r="AD1401" s="146"/>
      <c r="AE1401" s="146"/>
      <c r="AF1401" s="146"/>
      <c r="AG1401" s="146"/>
      <c r="AH1401" s="146"/>
      <c r="AI1401" s="146"/>
      <c r="AJ1401" s="146"/>
      <c r="AK1401" s="146"/>
      <c r="AL1401" s="146">
        <v>854.61277929695041</v>
      </c>
      <c r="AM1401" s="146">
        <v>0.31613587123047493</v>
      </c>
      <c r="AN1401" s="146">
        <v>4.5716606074291039E-2</v>
      </c>
      <c r="AO1401" s="146">
        <v>167.70372643587243</v>
      </c>
      <c r="AP1401" s="146">
        <v>141.27788597992529</v>
      </c>
      <c r="AQ1401" t="s">
        <v>326</v>
      </c>
      <c r="AR1401">
        <f t="shared" si="80"/>
        <v>9.762677251918257</v>
      </c>
      <c r="AS1401">
        <f t="shared" si="81"/>
        <v>2.6643645582431001</v>
      </c>
      <c r="AT1401">
        <v>0.2</v>
      </c>
      <c r="AU1401">
        <v>1</v>
      </c>
      <c r="AV1401">
        <v>0.3</v>
      </c>
      <c r="AW1401" s="146">
        <v>3</v>
      </c>
      <c r="AX1401" s="146">
        <v>0.27941622638390479</v>
      </c>
      <c r="AY1401">
        <v>0.18</v>
      </c>
      <c r="AZ1401" s="209">
        <v>141.27788597992529</v>
      </c>
      <c r="BA1401">
        <v>0.27941622638390479</v>
      </c>
      <c r="BB1401" s="249">
        <v>40.544056071991385</v>
      </c>
      <c r="BC1401" s="243">
        <v>122.04273843663866</v>
      </c>
      <c r="BD1401" s="209">
        <v>61388.582342157672</v>
      </c>
      <c r="BE1401" s="243">
        <v>47.900599180934215</v>
      </c>
      <c r="BF1401">
        <v>658865.66602316813</v>
      </c>
      <c r="BG1401" t="s">
        <v>390</v>
      </c>
      <c r="BH1401">
        <v>3.9703853504617445E-6</v>
      </c>
      <c r="BI1401">
        <v>1813885.8234215768</v>
      </c>
      <c r="BJ1401">
        <f t="shared" si="79"/>
        <v>0.36323436542457443</v>
      </c>
    </row>
    <row r="1402" spans="1:62" s="160" customFormat="1" ht="15" thickBot="1" x14ac:dyDescent="0.35">
      <c r="A1402" s="160">
        <v>-0.87</v>
      </c>
      <c r="B1402" s="160">
        <v>1000</v>
      </c>
      <c r="C1402" s="160">
        <v>25</v>
      </c>
      <c r="D1402" s="160">
        <v>400</v>
      </c>
      <c r="E1402" s="250">
        <v>3.6666085703769435</v>
      </c>
      <c r="F1402" s="160">
        <v>0.96167138214785375</v>
      </c>
      <c r="G1402" s="160">
        <v>4.2572374966261055</v>
      </c>
      <c r="H1402" s="160">
        <v>2.332767027669667</v>
      </c>
      <c r="J1402" s="160">
        <v>0.40299526184125245</v>
      </c>
      <c r="K1402" s="160">
        <v>0.18</v>
      </c>
      <c r="L1402" s="160">
        <v>23.873324688203539</v>
      </c>
      <c r="M1402" s="160">
        <v>11.88713262483164</v>
      </c>
      <c r="N1402" s="160">
        <v>0.68255914448593114</v>
      </c>
      <c r="Z1402" s="160">
        <v>0.29259636148397472</v>
      </c>
      <c r="AL1402" s="160">
        <v>640.72551420922684</v>
      </c>
      <c r="AM1402" s="160">
        <v>0.22589094052422162</v>
      </c>
      <c r="AN1402" s="160">
        <v>4.0102806677714847E-2</v>
      </c>
      <c r="AO1402" s="160">
        <v>308.5697766781376</v>
      </c>
      <c r="AP1402" s="160">
        <v>299.44594196626144</v>
      </c>
      <c r="AQ1402" s="160" t="s">
        <v>326</v>
      </c>
      <c r="AR1402" s="160">
        <f t="shared" si="80"/>
        <v>9.762677251918257</v>
      </c>
      <c r="AS1402" s="160">
        <f t="shared" si="81"/>
        <v>2.6643645582431001</v>
      </c>
      <c r="AT1402" s="160">
        <v>0.2</v>
      </c>
      <c r="AU1402" s="160">
        <v>1</v>
      </c>
      <c r="AV1402" s="160">
        <v>0.3</v>
      </c>
      <c r="AW1402" s="160">
        <v>3</v>
      </c>
      <c r="AX1402" s="160">
        <v>0.29385283717716598</v>
      </c>
      <c r="AY1402" s="160">
        <v>0.18</v>
      </c>
      <c r="AZ1402" s="248">
        <v>299.44594196626144</v>
      </c>
      <c r="BA1402" s="160">
        <v>0.29385283717716598</v>
      </c>
      <c r="BB1402" s="250">
        <v>10.82994000702808</v>
      </c>
      <c r="BC1402" s="246">
        <v>31.292148592164342</v>
      </c>
      <c r="BD1402" s="248">
        <v>12343.268289692969</v>
      </c>
      <c r="BE1402" s="246">
        <v>12.625145477929776</v>
      </c>
      <c r="BF1402" s="160">
        <v>853934.83035606518</v>
      </c>
      <c r="BG1402" s="254" t="s">
        <v>390</v>
      </c>
      <c r="BH1402" s="160">
        <v>1.3009435153469113E-6</v>
      </c>
      <c r="BI1402" s="160">
        <v>1323432.6828969298</v>
      </c>
      <c r="BJ1402">
        <f t="shared" si="79"/>
        <v>0.64524236207227659</v>
      </c>
    </row>
    <row r="1403" spans="1:62" x14ac:dyDescent="0.3">
      <c r="A1403">
        <v>-0.1</v>
      </c>
      <c r="B1403" s="146">
        <v>100</v>
      </c>
      <c r="C1403" s="146">
        <v>25</v>
      </c>
      <c r="D1403" s="146">
        <v>400</v>
      </c>
      <c r="E1403" s="249">
        <v>3.1516211336231197</v>
      </c>
      <c r="F1403">
        <v>0.57729058069557193</v>
      </c>
      <c r="G1403">
        <v>3.6504482603472348</v>
      </c>
      <c r="H1403">
        <v>2.9833768015843147</v>
      </c>
      <c r="J1403">
        <v>0.54171761473347824</v>
      </c>
      <c r="K1403">
        <v>0.27</v>
      </c>
      <c r="L1403">
        <v>20.019552032670546</v>
      </c>
      <c r="M1403">
        <v>8.7222114665162138</v>
      </c>
      <c r="N1403">
        <v>1.0063579990184857</v>
      </c>
      <c r="Z1403">
        <v>0.33732178868055213</v>
      </c>
      <c r="AL1403">
        <v>878.79630344227473</v>
      </c>
      <c r="AM1403">
        <v>0.15814238129775859</v>
      </c>
      <c r="AN1403">
        <v>0.19054242157923473</v>
      </c>
      <c r="AO1403">
        <v>383.45974031660683</v>
      </c>
      <c r="AP1403">
        <v>375.61730393303191</v>
      </c>
      <c r="AQ1403" t="s">
        <v>327</v>
      </c>
      <c r="AR1403">
        <f t="shared" ref="AR1403:AR1442" si="82">0.45*Jsat_t</f>
        <v>14.644015877877388</v>
      </c>
      <c r="AS1403">
        <f t="shared" ref="AS1403:AS1442" si="83">0.15*Jatp</f>
        <v>3.9965468373646496</v>
      </c>
      <c r="AT1403">
        <v>0.3</v>
      </c>
      <c r="AU1403">
        <v>1</v>
      </c>
      <c r="AV1403">
        <v>0.4</v>
      </c>
      <c r="AW1403">
        <v>3</v>
      </c>
      <c r="AX1403">
        <v>0.41917604885084225</v>
      </c>
      <c r="AY1403">
        <v>0.27</v>
      </c>
      <c r="AZ1403" s="209">
        <v>375.61730393303191</v>
      </c>
      <c r="BA1403">
        <v>0.41917604885084225</v>
      </c>
      <c r="BB1403" s="249">
        <v>7.5643565983369303</v>
      </c>
      <c r="BC1403" s="243">
        <v>70.227502570831149</v>
      </c>
      <c r="BD1403" s="209">
        <v>24890.506620649947</v>
      </c>
      <c r="BE1403" s="243">
        <v>13.84523197970049</v>
      </c>
      <c r="BF1403">
        <v>17371.427284006306</v>
      </c>
      <c r="BG1403" t="s">
        <v>387</v>
      </c>
      <c r="BH1403">
        <v>1.9438756479509808E-6</v>
      </c>
      <c r="BI1403">
        <v>1448905.0662064995</v>
      </c>
      <c r="BJ1403">
        <f t="shared" si="79"/>
        <v>1.1989348156182451E-2</v>
      </c>
    </row>
    <row r="1404" spans="1:62" x14ac:dyDescent="0.3">
      <c r="A1404">
        <v>-0.1</v>
      </c>
      <c r="B1404" s="146">
        <v>200</v>
      </c>
      <c r="C1404" s="146">
        <v>25</v>
      </c>
      <c r="D1404" s="146">
        <v>400</v>
      </c>
      <c r="E1404" s="252">
        <v>5.91960310221158</v>
      </c>
      <c r="F1404" s="146">
        <v>0.97869087804247323</v>
      </c>
      <c r="G1404" s="146">
        <v>6.7169428938820364</v>
      </c>
      <c r="H1404" s="146">
        <v>5.5129551690681362</v>
      </c>
      <c r="I1404" s="146"/>
      <c r="J1404" s="146">
        <v>0.55489592075716554</v>
      </c>
      <c r="K1404" s="146">
        <v>0.27</v>
      </c>
      <c r="L1404" s="146">
        <v>37.073438312644299</v>
      </c>
      <c r="M1404" s="146">
        <v>16.152327895550421</v>
      </c>
      <c r="N1404" s="146">
        <v>1.5485493532834083</v>
      </c>
      <c r="O1404" s="146"/>
      <c r="P1404" s="146"/>
      <c r="Q1404" s="146"/>
      <c r="R1404" s="146"/>
      <c r="S1404" s="146"/>
      <c r="T1404" s="146"/>
      <c r="U1404" s="146"/>
      <c r="V1404" s="146"/>
      <c r="W1404" s="146"/>
      <c r="X1404" s="146"/>
      <c r="Y1404" s="146"/>
      <c r="Z1404" s="146">
        <v>0.28089278903843545</v>
      </c>
      <c r="AA1404" s="146"/>
      <c r="AB1404" s="146"/>
      <c r="AC1404" s="146"/>
      <c r="AD1404" s="146"/>
      <c r="AE1404" s="146"/>
      <c r="AF1404" s="146"/>
      <c r="AG1404" s="146"/>
      <c r="AH1404" s="146"/>
      <c r="AI1404" s="146"/>
      <c r="AJ1404" s="146"/>
      <c r="AK1404" s="146"/>
      <c r="AL1404" s="146">
        <v>1131.9619709810174</v>
      </c>
      <c r="AM1404" s="146">
        <v>0.1457048084976113</v>
      </c>
      <c r="AN1404" s="146">
        <v>0.21461356199518183</v>
      </c>
      <c r="AO1404" s="146">
        <v>372.41738570862321</v>
      </c>
      <c r="AP1404" s="146">
        <v>357.68729433931338</v>
      </c>
      <c r="AQ1404" t="s">
        <v>327</v>
      </c>
      <c r="AR1404">
        <f t="shared" si="82"/>
        <v>14.644015877877388</v>
      </c>
      <c r="AS1404">
        <f t="shared" si="83"/>
        <v>3.9965468373646496</v>
      </c>
      <c r="AT1404">
        <v>0.3</v>
      </c>
      <c r="AU1404">
        <v>1</v>
      </c>
      <c r="AV1404">
        <v>0.4</v>
      </c>
      <c r="AW1404" s="146">
        <v>3</v>
      </c>
      <c r="AX1404" s="146">
        <v>0.44971162861516017</v>
      </c>
      <c r="AY1404">
        <v>0.27</v>
      </c>
      <c r="AZ1404" s="209">
        <v>357.68729433931338</v>
      </c>
      <c r="BA1404">
        <v>0.44971162861516017</v>
      </c>
      <c r="BB1404" s="249">
        <v>13.215033008349351</v>
      </c>
      <c r="BC1404" s="243">
        <v>102.20104780721056</v>
      </c>
      <c r="BD1404" s="209">
        <v>39514.910983420261</v>
      </c>
      <c r="BE1404" s="243">
        <v>20.996693252477421</v>
      </c>
      <c r="BF1404">
        <v>48798.044022752889</v>
      </c>
      <c r="BG1404" t="s">
        <v>387</v>
      </c>
      <c r="BH1404">
        <v>3.3869952801297457E-6</v>
      </c>
      <c r="BI1404">
        <v>1595149.1098342026</v>
      </c>
      <c r="BJ1404">
        <f t="shared" si="79"/>
        <v>3.0591525094368691E-2</v>
      </c>
    </row>
    <row r="1405" spans="1:62" x14ac:dyDescent="0.3">
      <c r="A1405">
        <v>-0.1</v>
      </c>
      <c r="B1405" s="146">
        <v>300</v>
      </c>
      <c r="C1405" s="146">
        <v>25</v>
      </c>
      <c r="D1405" s="146">
        <v>400</v>
      </c>
      <c r="E1405" s="252">
        <v>8.3301428718798292</v>
      </c>
      <c r="F1405" s="146">
        <v>1.3164540893634364</v>
      </c>
      <c r="G1405" s="146">
        <v>9.367626171321831</v>
      </c>
      <c r="H1405" s="146">
        <v>7.7396134258911973</v>
      </c>
      <c r="I1405" s="146"/>
      <c r="J1405" s="146">
        <v>0.56604328591581832</v>
      </c>
      <c r="K1405" s="146">
        <v>0.27</v>
      </c>
      <c r="L1405" s="146">
        <v>52.131543356830868</v>
      </c>
      <c r="M1405" s="146">
        <v>22.712913080776932</v>
      </c>
      <c r="N1405" s="146">
        <v>1.9410971160831885</v>
      </c>
      <c r="O1405" s="146"/>
      <c r="P1405" s="146"/>
      <c r="Q1405" s="146"/>
      <c r="R1405" s="146"/>
      <c r="S1405" s="146"/>
      <c r="T1405" s="146"/>
      <c r="U1405" s="146"/>
      <c r="V1405" s="146"/>
      <c r="W1405" s="146"/>
      <c r="X1405" s="146"/>
      <c r="Y1405" s="146"/>
      <c r="Z1405" s="146">
        <v>0.25080026730917454</v>
      </c>
      <c r="AA1405" s="146"/>
      <c r="AB1405" s="146"/>
      <c r="AC1405" s="146"/>
      <c r="AD1405" s="146"/>
      <c r="AE1405" s="146"/>
      <c r="AF1405" s="146"/>
      <c r="AG1405" s="146"/>
      <c r="AH1405" s="146"/>
      <c r="AI1405" s="146"/>
      <c r="AJ1405" s="146"/>
      <c r="AK1405" s="146"/>
      <c r="AL1405" s="146">
        <v>1313.2831402670099</v>
      </c>
      <c r="AM1405" s="146">
        <v>0.14053230405304235</v>
      </c>
      <c r="AN1405" s="146">
        <v>0.22799165645016331</v>
      </c>
      <c r="AO1405" s="146">
        <v>363.46294859390736</v>
      </c>
      <c r="AP1405" s="146">
        <v>342.73458222541637</v>
      </c>
      <c r="AQ1405" t="s">
        <v>327</v>
      </c>
      <c r="AR1405">
        <f t="shared" si="82"/>
        <v>14.644015877877388</v>
      </c>
      <c r="AS1405">
        <f t="shared" si="83"/>
        <v>3.9965468373646496</v>
      </c>
      <c r="AT1405">
        <v>0.3</v>
      </c>
      <c r="AU1405">
        <v>1</v>
      </c>
      <c r="AV1405">
        <v>0.4</v>
      </c>
      <c r="AW1405" s="146">
        <v>3</v>
      </c>
      <c r="AX1405" s="146">
        <v>0.46976412229273662</v>
      </c>
      <c r="AY1405">
        <v>0.27</v>
      </c>
      <c r="AZ1405" s="209">
        <v>342.73458222541637</v>
      </c>
      <c r="BA1405">
        <v>0.46976412229273662</v>
      </c>
      <c r="BB1405" s="249">
        <v>17.961418945371861</v>
      </c>
      <c r="BC1405" s="243">
        <v>125.18516577320707</v>
      </c>
      <c r="BD1405" s="209">
        <v>51090.571228381814</v>
      </c>
      <c r="BE1405" s="243">
        <v>26.517336130906099</v>
      </c>
      <c r="BF1405">
        <v>84977.710227184958</v>
      </c>
      <c r="BG1405" t="s">
        <v>387</v>
      </c>
      <c r="BH1405">
        <v>4.4163835041783445E-6</v>
      </c>
      <c r="BI1405">
        <v>1710905.7122838181</v>
      </c>
      <c r="BJ1405">
        <f t="shared" si="79"/>
        <v>4.9668260277038696E-2</v>
      </c>
    </row>
    <row r="1406" spans="1:62" x14ac:dyDescent="0.3">
      <c r="A1406">
        <v>-0.1</v>
      </c>
      <c r="B1406" s="146">
        <v>400</v>
      </c>
      <c r="C1406" s="146">
        <v>25</v>
      </c>
      <c r="D1406" s="146">
        <v>400</v>
      </c>
      <c r="E1406" s="252">
        <v>10.452105768206916</v>
      </c>
      <c r="F1406" s="146">
        <v>1.6132749591466584</v>
      </c>
      <c r="G1406" s="146">
        <v>11.695092735188236</v>
      </c>
      <c r="H1406" s="146">
        <v>9.7292658748792569</v>
      </c>
      <c r="I1406" s="146"/>
      <c r="J1406" s="146">
        <v>0.57599255723215037</v>
      </c>
      <c r="K1406" s="146">
        <v>0.27</v>
      </c>
      <c r="L1406" s="146">
        <v>65.620188704583938</v>
      </c>
      <c r="M1406" s="146">
        <v>28.589708771706697</v>
      </c>
      <c r="N1406" s="146">
        <v>2.2475362108493755</v>
      </c>
      <c r="O1406" s="146"/>
      <c r="P1406" s="146"/>
      <c r="Q1406" s="146"/>
      <c r="R1406" s="146"/>
      <c r="S1406" s="146"/>
      <c r="T1406" s="146"/>
      <c r="U1406" s="146"/>
      <c r="V1406" s="146"/>
      <c r="W1406" s="146"/>
      <c r="X1406" s="146"/>
      <c r="Y1406" s="146"/>
      <c r="Z1406" s="146">
        <v>0.23100779028482127</v>
      </c>
      <c r="AA1406" s="146"/>
      <c r="AB1406" s="146"/>
      <c r="AC1406" s="146"/>
      <c r="AD1406" s="146"/>
      <c r="AE1406" s="146"/>
      <c r="AF1406" s="146"/>
      <c r="AG1406" s="146"/>
      <c r="AH1406" s="146"/>
      <c r="AI1406" s="146"/>
      <c r="AJ1406" s="146"/>
      <c r="AK1406" s="146"/>
      <c r="AL1406" s="146">
        <v>1453.6398197026381</v>
      </c>
      <c r="AM1406" s="146">
        <v>0.13794460597072744</v>
      </c>
      <c r="AN1406" s="146">
        <v>0.23690355661470142</v>
      </c>
      <c r="AO1406" s="146">
        <v>355.88033410065617</v>
      </c>
      <c r="AP1406" s="146">
        <v>329.87171427795062</v>
      </c>
      <c r="AQ1406" t="s">
        <v>327</v>
      </c>
      <c r="AR1406">
        <f t="shared" si="82"/>
        <v>14.644015877877388</v>
      </c>
      <c r="AS1406">
        <f t="shared" si="83"/>
        <v>3.9965468373646496</v>
      </c>
      <c r="AT1406">
        <v>0.3</v>
      </c>
      <c r="AU1406">
        <v>1</v>
      </c>
      <c r="AV1406">
        <v>0.4</v>
      </c>
      <c r="AW1406" s="146">
        <v>3</v>
      </c>
      <c r="AX1406" s="146">
        <v>0.48515145092466067</v>
      </c>
      <c r="AY1406">
        <v>0.27</v>
      </c>
      <c r="AZ1406" s="209">
        <v>329.87171427795062</v>
      </c>
      <c r="BA1406">
        <v>0.48515145092466067</v>
      </c>
      <c r="BB1406" s="249">
        <v>22.076704106524133</v>
      </c>
      <c r="BC1406" s="243">
        <v>143.4644340722848</v>
      </c>
      <c r="BD1406" s="209">
        <v>60825.189626794556</v>
      </c>
      <c r="BE1406" s="243">
        <v>31.075360890911707</v>
      </c>
      <c r="BF1406">
        <v>123033.41275551288</v>
      </c>
      <c r="BG1406" t="s">
        <v>387</v>
      </c>
      <c r="BH1406">
        <v>5.1822654410619848E-6</v>
      </c>
      <c r="BI1406">
        <v>1808251.8962679454</v>
      </c>
      <c r="BJ1406">
        <f t="shared" si="79"/>
        <v>6.8039974413654308E-2</v>
      </c>
    </row>
    <row r="1407" spans="1:62" x14ac:dyDescent="0.3">
      <c r="A1407">
        <v>-0.1</v>
      </c>
      <c r="B1407" s="146">
        <v>600</v>
      </c>
      <c r="C1407" s="146">
        <v>25</v>
      </c>
      <c r="D1407" s="146">
        <v>400</v>
      </c>
      <c r="E1407" s="252">
        <v>14.001031946666403</v>
      </c>
      <c r="F1407" s="146">
        <v>2.1164036931230688</v>
      </c>
      <c r="G1407" s="146">
        <v>15.583015275139925</v>
      </c>
      <c r="H1407" s="146">
        <v>13.134836250220969</v>
      </c>
      <c r="I1407" s="146"/>
      <c r="J1407" s="146">
        <v>0.59402334661375189</v>
      </c>
      <c r="K1407" s="146">
        <v>0.27</v>
      </c>
      <c r="L1407" s="146">
        <v>88.779979929513431</v>
      </c>
      <c r="M1407" s="146">
        <v>38.680074243149008</v>
      </c>
      <c r="N1407" s="146">
        <v>2.6956612355198146</v>
      </c>
      <c r="O1407" s="146"/>
      <c r="P1407" s="146"/>
      <c r="Q1407" s="146"/>
      <c r="R1407" s="146"/>
      <c r="S1407" s="146"/>
      <c r="T1407" s="146"/>
      <c r="U1407" s="146"/>
      <c r="V1407" s="146"/>
      <c r="W1407" s="146"/>
      <c r="X1407" s="146"/>
      <c r="Y1407" s="146"/>
      <c r="Z1407" s="146">
        <v>0.20522990802222335</v>
      </c>
      <c r="AA1407" s="146"/>
      <c r="AB1407" s="146"/>
      <c r="AC1407" s="146"/>
      <c r="AD1407" s="146"/>
      <c r="AE1407" s="146"/>
      <c r="AF1407" s="146"/>
      <c r="AG1407" s="146"/>
      <c r="AH1407" s="146"/>
      <c r="AI1407" s="146"/>
      <c r="AJ1407" s="146"/>
      <c r="AK1407" s="146"/>
      <c r="AL1407" s="146">
        <v>1656.6560572276323</v>
      </c>
      <c r="AM1407" s="146">
        <v>0.13581477369783718</v>
      </c>
      <c r="AN1407" s="146">
        <v>0.24853178227391778</v>
      </c>
      <c r="AO1407" s="146">
        <v>343.66502417290337</v>
      </c>
      <c r="AP1407" s="146">
        <v>308.82543946772512</v>
      </c>
      <c r="AQ1407" t="s">
        <v>327</v>
      </c>
      <c r="AR1407">
        <f t="shared" si="82"/>
        <v>14.644015877877388</v>
      </c>
      <c r="AS1407">
        <f t="shared" si="83"/>
        <v>3.9965468373646496</v>
      </c>
      <c r="AT1407">
        <v>0.3</v>
      </c>
      <c r="AU1407">
        <v>1</v>
      </c>
      <c r="AV1407">
        <v>0.4</v>
      </c>
      <c r="AW1407" s="146">
        <v>3</v>
      </c>
      <c r="AX1407" s="146">
        <v>0.50936862932632543</v>
      </c>
      <c r="AY1407">
        <v>0.27</v>
      </c>
      <c r="AZ1407" s="209">
        <v>308.82543946772512</v>
      </c>
      <c r="BA1407">
        <v>0.50936862932632543</v>
      </c>
      <c r="BB1407" s="249">
        <v>28.88455307270533</v>
      </c>
      <c r="BC1407" s="243">
        <v>171.30441949115288</v>
      </c>
      <c r="BD1407" s="209">
        <v>76382.161626006797</v>
      </c>
      <c r="BE1407" s="243">
        <v>38.208173273641862</v>
      </c>
      <c r="BF1407">
        <v>199223.40085984266</v>
      </c>
      <c r="BG1407" t="s">
        <v>387</v>
      </c>
      <c r="BH1407">
        <v>6.2298527844712604E-6</v>
      </c>
      <c r="BI1407">
        <v>1963821.616260068</v>
      </c>
      <c r="BJ1407">
        <f t="shared" si="79"/>
        <v>0.10144679089501354</v>
      </c>
    </row>
    <row r="1408" spans="1:62" x14ac:dyDescent="0.3">
      <c r="A1408">
        <v>-0.1</v>
      </c>
      <c r="B1408" s="146">
        <v>800</v>
      </c>
      <c r="C1408" s="146">
        <v>25</v>
      </c>
      <c r="D1408" s="146">
        <v>400</v>
      </c>
      <c r="E1408" s="252">
        <v>16.805395194295322</v>
      </c>
      <c r="F1408" s="146">
        <v>2.5235309437155573</v>
      </c>
      <c r="G1408" s="146">
        <v>18.654043462425875</v>
      </c>
      <c r="H1408" s="146">
        <v>15.912288758737592</v>
      </c>
      <c r="I1408" s="146"/>
      <c r="J1408" s="146">
        <v>0.61140103959969572</v>
      </c>
      <c r="K1408" s="146">
        <v>0.27</v>
      </c>
      <c r="L1408" s="146">
        <v>107.74020420518822</v>
      </c>
      <c r="M1408" s="146">
        <v>46.940752869480342</v>
      </c>
      <c r="N1408" s="146">
        <v>2.9907360140913131</v>
      </c>
      <c r="O1408" s="146"/>
      <c r="P1408" s="146"/>
      <c r="Q1408" s="146"/>
      <c r="R1408" s="146"/>
      <c r="S1408" s="146"/>
      <c r="T1408" s="146"/>
      <c r="U1408" s="146"/>
      <c r="V1408" s="146"/>
      <c r="W1408" s="146"/>
      <c r="X1408" s="146"/>
      <c r="Y1408" s="146"/>
      <c r="Z1408" s="146">
        <v>0.18795134122041815</v>
      </c>
      <c r="AA1408" s="146"/>
      <c r="AB1408" s="146"/>
      <c r="AC1408" s="146"/>
      <c r="AD1408" s="146"/>
      <c r="AE1408" s="146"/>
      <c r="AF1408" s="146"/>
      <c r="AG1408" s="146"/>
      <c r="AH1408" s="146"/>
      <c r="AI1408" s="146"/>
      <c r="AJ1408" s="146"/>
      <c r="AK1408" s="146"/>
      <c r="AL1408" s="146">
        <v>1787.9160977711281</v>
      </c>
      <c r="AM1408" s="146">
        <v>0.1352806402964917</v>
      </c>
      <c r="AN1408" s="146">
        <v>0.25604673121935695</v>
      </c>
      <c r="AO1408" s="146">
        <v>334.36590612087127</v>
      </c>
      <c r="AP1408" s="146">
        <v>292.5480907254701</v>
      </c>
      <c r="AQ1408" t="s">
        <v>327</v>
      </c>
      <c r="AR1408">
        <f t="shared" si="82"/>
        <v>14.644015877877388</v>
      </c>
      <c r="AS1408">
        <f t="shared" si="83"/>
        <v>3.9965468373646496</v>
      </c>
      <c r="AT1408">
        <v>0.3</v>
      </c>
      <c r="AU1408">
        <v>1</v>
      </c>
      <c r="AV1408">
        <v>0.4</v>
      </c>
      <c r="AW1408" s="146">
        <v>3</v>
      </c>
      <c r="AX1408" s="146">
        <v>0.52991298245476481</v>
      </c>
      <c r="AY1408">
        <v>0.27</v>
      </c>
      <c r="AZ1408" s="209">
        <v>292.5480907254701</v>
      </c>
      <c r="BA1408">
        <v>0.52991298245476481</v>
      </c>
      <c r="BB1408" s="249">
        <v>34.206061664279432</v>
      </c>
      <c r="BC1408" s="243">
        <v>191.36525459579676</v>
      </c>
      <c r="BD1408" s="209">
        <v>87998.288156905284</v>
      </c>
      <c r="BE1408" s="243">
        <v>43.387863913312749</v>
      </c>
      <c r="BF1408">
        <v>270424.47380779922</v>
      </c>
      <c r="BG1408" t="s">
        <v>387</v>
      </c>
      <c r="BH1408">
        <v>6.8963005916240825E-6</v>
      </c>
      <c r="BI1408">
        <v>2079982.8815690528</v>
      </c>
      <c r="BJ1408">
        <f t="shared" si="79"/>
        <v>0.13001283626132645</v>
      </c>
    </row>
    <row r="1409" spans="1:62" x14ac:dyDescent="0.3">
      <c r="A1409">
        <v>-0.1</v>
      </c>
      <c r="B1409" s="146">
        <v>1000</v>
      </c>
      <c r="C1409" s="146">
        <v>25</v>
      </c>
      <c r="D1409" s="146">
        <v>400</v>
      </c>
      <c r="E1409" s="252">
        <v>19.015269508258417</v>
      </c>
      <c r="F1409" s="146">
        <v>2.8488163792778556</v>
      </c>
      <c r="G1409" s="146">
        <v>21.072354323053077</v>
      </c>
      <c r="H1409" s="146">
        <v>18.168529868505779</v>
      </c>
      <c r="I1409" s="146"/>
      <c r="J1409" s="146">
        <v>0.6271309420702329</v>
      </c>
      <c r="K1409" s="146">
        <v>0.27</v>
      </c>
      <c r="L1409" s="146">
        <v>123.19791691674632</v>
      </c>
      <c r="M1409" s="146">
        <v>53.675440980325156</v>
      </c>
      <c r="N1409" s="146">
        <v>3.1942844114125037</v>
      </c>
      <c r="O1409" s="146"/>
      <c r="P1409" s="146"/>
      <c r="Q1409" s="146"/>
      <c r="R1409" s="146"/>
      <c r="S1409" s="146"/>
      <c r="T1409" s="146"/>
      <c r="U1409" s="146"/>
      <c r="V1409" s="146"/>
      <c r="W1409" s="146"/>
      <c r="X1409" s="146"/>
      <c r="Y1409" s="146"/>
      <c r="Z1409" s="146">
        <v>0.17581413766171763</v>
      </c>
      <c r="AA1409" s="146"/>
      <c r="AB1409" s="146"/>
      <c r="AC1409" s="146"/>
      <c r="AD1409" s="146"/>
      <c r="AE1409" s="146"/>
      <c r="AF1409" s="146"/>
      <c r="AG1409" s="146"/>
      <c r="AH1409" s="146"/>
      <c r="AI1409" s="146"/>
      <c r="AJ1409" s="146"/>
      <c r="AK1409" s="146"/>
      <c r="AL1409" s="146">
        <v>1877.1093702504938</v>
      </c>
      <c r="AM1409" s="146">
        <v>0.13519212592971927</v>
      </c>
      <c r="AN1409" s="146">
        <v>0.26150025299808288</v>
      </c>
      <c r="AO1409" s="146">
        <v>327.28393456507354</v>
      </c>
      <c r="AP1409" s="146">
        <v>279.96716454424109</v>
      </c>
      <c r="AQ1409" t="s">
        <v>327</v>
      </c>
      <c r="AR1409">
        <f t="shared" si="82"/>
        <v>14.644015877877388</v>
      </c>
      <c r="AS1409">
        <f t="shared" si="83"/>
        <v>3.9965468373646496</v>
      </c>
      <c r="AT1409">
        <v>0.3</v>
      </c>
      <c r="AU1409">
        <v>1</v>
      </c>
      <c r="AV1409">
        <v>0.4</v>
      </c>
      <c r="AW1409" s="146">
        <v>3</v>
      </c>
      <c r="AX1409" s="146">
        <v>0.5476141198888036</v>
      </c>
      <c r="AY1409">
        <v>0.27</v>
      </c>
      <c r="AZ1409" s="209">
        <v>279.96716454424109</v>
      </c>
      <c r="BA1409">
        <v>0.5476141198888036</v>
      </c>
      <c r="BB1409" s="249">
        <v>38.3421667936951</v>
      </c>
      <c r="BC1409" s="243">
        <v>205.94554786857174</v>
      </c>
      <c r="BD1409" s="209">
        <v>96587.616250234903</v>
      </c>
      <c r="BE1409" s="243">
        <v>47.125102193720835</v>
      </c>
      <c r="BF1409">
        <v>333226.73632679606</v>
      </c>
      <c r="BG1409" t="s">
        <v>387</v>
      </c>
      <c r="BH1409">
        <v>7.3466135095151822E-6</v>
      </c>
      <c r="BI1409">
        <v>2165876.1625023489</v>
      </c>
      <c r="BJ1409">
        <f t="shared" si="79"/>
        <v>0.15385308823095498</v>
      </c>
    </row>
    <row r="1410" spans="1:62" x14ac:dyDescent="0.3">
      <c r="A1410">
        <v>-0.1</v>
      </c>
      <c r="B1410" s="146">
        <v>1300</v>
      </c>
      <c r="C1410" s="146">
        <v>25</v>
      </c>
      <c r="D1410" s="146">
        <v>400</v>
      </c>
      <c r="E1410" s="252">
        <v>21.519629166814994</v>
      </c>
      <c r="F1410" s="146">
        <v>3.2352013731862401</v>
      </c>
      <c r="G1410" s="146">
        <v>23.817389589727835</v>
      </c>
      <c r="H1410" s="146">
        <v>20.747713374165468</v>
      </c>
      <c r="I1410" s="146"/>
      <c r="J1410" s="146">
        <v>0.6427249151289488</v>
      </c>
      <c r="K1410" s="146">
        <v>0.27</v>
      </c>
      <c r="L1410" s="146">
        <v>140.94822714312019</v>
      </c>
      <c r="M1410" s="146">
        <v>61.408978630820009</v>
      </c>
      <c r="N1410" s="146">
        <v>3.4063306472932382</v>
      </c>
      <c r="O1410" s="146"/>
      <c r="P1410" s="146"/>
      <c r="Q1410" s="146"/>
      <c r="R1410" s="146"/>
      <c r="S1410" s="146"/>
      <c r="T1410" s="146"/>
      <c r="U1410" s="146"/>
      <c r="V1410" s="146"/>
      <c r="W1410" s="146"/>
      <c r="X1410" s="146"/>
      <c r="Y1410" s="146"/>
      <c r="Z1410" s="146">
        <v>0.16417860541367973</v>
      </c>
      <c r="AA1410" s="146"/>
      <c r="AB1410" s="146"/>
      <c r="AC1410" s="146"/>
      <c r="AD1410" s="146"/>
      <c r="AE1410" s="146"/>
      <c r="AF1410" s="146"/>
      <c r="AG1410" s="146"/>
      <c r="AH1410" s="146"/>
      <c r="AI1410" s="146"/>
      <c r="AJ1410" s="146"/>
      <c r="AK1410" s="146"/>
      <c r="AL1410" s="146">
        <v>1968.6534042936769</v>
      </c>
      <c r="AM1410" s="146">
        <v>0.13583358331517342</v>
      </c>
      <c r="AN1410" s="146">
        <v>0.26579506014774112</v>
      </c>
      <c r="AO1410" s="146">
        <v>319.03676029624705</v>
      </c>
      <c r="AP1410" s="146">
        <v>265.48808064705713</v>
      </c>
      <c r="AQ1410" t="s">
        <v>327</v>
      </c>
      <c r="AR1410">
        <f t="shared" si="82"/>
        <v>14.644015877877388</v>
      </c>
      <c r="AS1410">
        <f t="shared" si="83"/>
        <v>3.9965468373646496</v>
      </c>
      <c r="AT1410">
        <v>0.3</v>
      </c>
      <c r="AU1410">
        <v>1</v>
      </c>
      <c r="AV1410">
        <v>0.4</v>
      </c>
      <c r="AW1410" s="146">
        <v>3</v>
      </c>
      <c r="AX1410" s="146">
        <v>0.56517443985664728</v>
      </c>
      <c r="AY1410">
        <v>0.27</v>
      </c>
      <c r="AZ1410" s="209">
        <v>265.48808064705713</v>
      </c>
      <c r="BA1410">
        <v>0.56517443985664728</v>
      </c>
      <c r="BB1410" s="249">
        <v>43.079787000848242</v>
      </c>
      <c r="BC1410" s="243">
        <v>220.41882060392621</v>
      </c>
      <c r="BD1410" s="209">
        <v>105825.24598870667</v>
      </c>
      <c r="BE1410" s="243">
        <v>51.645073923961739</v>
      </c>
      <c r="BF1410">
        <v>411987.18714372301</v>
      </c>
      <c r="BG1410" t="s">
        <v>387</v>
      </c>
      <c r="BH1410">
        <v>7.7870615744907083E-6</v>
      </c>
      <c r="BI1410">
        <v>2258252.4598870669</v>
      </c>
      <c r="BJ1410">
        <f t="shared" si="79"/>
        <v>0.18243628401242884</v>
      </c>
    </row>
    <row r="1411" spans="1:62" x14ac:dyDescent="0.3">
      <c r="A1411">
        <v>-0.1</v>
      </c>
      <c r="B1411" s="227">
        <v>1600</v>
      </c>
      <c r="C1411" s="146">
        <v>25</v>
      </c>
      <c r="D1411" s="146">
        <v>400</v>
      </c>
      <c r="E1411" s="252">
        <v>23.442092481658623</v>
      </c>
      <c r="F1411" s="146">
        <v>3.5586159522657299</v>
      </c>
      <c r="G1411" s="146">
        <v>25.936833047266585</v>
      </c>
      <c r="H1411" s="146">
        <v>22.641662713689701</v>
      </c>
      <c r="I1411" s="146"/>
      <c r="J1411" s="146">
        <v>0.64186547872592192</v>
      </c>
      <c r="K1411" s="146">
        <v>0.27</v>
      </c>
      <c r="L1411" s="146">
        <v>154.04944633141639</v>
      </c>
      <c r="M1411" s="146">
        <v>67.116978692110877</v>
      </c>
      <c r="N1411" s="146">
        <v>3.625460540055208</v>
      </c>
      <c r="O1411" s="146"/>
      <c r="P1411" s="146"/>
      <c r="Q1411" s="146"/>
      <c r="R1411" s="146"/>
      <c r="S1411" s="146"/>
      <c r="T1411" s="146"/>
      <c r="U1411" s="146"/>
      <c r="V1411" s="146"/>
      <c r="W1411" s="146"/>
      <c r="X1411" s="146"/>
      <c r="Y1411" s="146"/>
      <c r="Z1411" s="146">
        <v>0.16012342317347419</v>
      </c>
      <c r="AA1411" s="146"/>
      <c r="AB1411" s="146"/>
      <c r="AC1411" s="146"/>
      <c r="AD1411" s="146"/>
      <c r="AE1411" s="146"/>
      <c r="AF1411" s="146"/>
      <c r="AG1411" s="146"/>
      <c r="AH1411" s="146"/>
      <c r="AI1411" s="146"/>
      <c r="AJ1411" s="146"/>
      <c r="AK1411" s="146"/>
      <c r="AL1411" s="146">
        <v>2066.4573206736691</v>
      </c>
      <c r="AM1411" s="146">
        <v>0.13720317919233255</v>
      </c>
      <c r="AN1411" s="146">
        <v>0.26656737271532299</v>
      </c>
      <c r="AO1411" s="146">
        <v>312.05940831065891</v>
      </c>
      <c r="AP1411" s="146">
        <v>253.72705064606637</v>
      </c>
      <c r="AQ1411" t="s">
        <v>327</v>
      </c>
      <c r="AR1411">
        <f t="shared" si="82"/>
        <v>14.644015877877388</v>
      </c>
      <c r="AS1411">
        <f t="shared" si="83"/>
        <v>3.9965468373646496</v>
      </c>
      <c r="AT1411">
        <v>0.3</v>
      </c>
      <c r="AU1411">
        <v>1</v>
      </c>
      <c r="AV1411">
        <v>0.4</v>
      </c>
      <c r="AW1411" s="146">
        <v>3</v>
      </c>
      <c r="AX1411" s="146">
        <v>0.56622706321410743</v>
      </c>
      <c r="AY1411">
        <v>0.27</v>
      </c>
      <c r="AZ1411" s="209">
        <v>253.72705064606637</v>
      </c>
      <c r="BA1411">
        <v>0.56622706321410743</v>
      </c>
      <c r="BB1411" s="249">
        <v>46.975719946484304</v>
      </c>
      <c r="BC1411" s="243">
        <v>229.80225318674698</v>
      </c>
      <c r="BD1411" s="209">
        <v>113144.69127029099</v>
      </c>
      <c r="BE1411" s="243">
        <v>56.370782603291929</v>
      </c>
      <c r="BF1411">
        <v>479829.43554540619</v>
      </c>
      <c r="BG1411" t="s">
        <v>387</v>
      </c>
      <c r="BH1411">
        <v>8.0589433418280497E-6</v>
      </c>
      <c r="BI1411">
        <v>2331446.9127029097</v>
      </c>
      <c r="BJ1411">
        <f t="shared" si="79"/>
        <v>0.20580757508611977</v>
      </c>
    </row>
    <row r="1412" spans="1:62" s="140" customFormat="1" x14ac:dyDescent="0.3">
      <c r="A1412" s="140">
        <v>-0.1</v>
      </c>
      <c r="B1412" s="140">
        <v>1900</v>
      </c>
      <c r="C1412" s="140">
        <v>25</v>
      </c>
      <c r="D1412" s="140">
        <v>400</v>
      </c>
      <c r="E1412" s="253">
        <v>24.72064110734658</v>
      </c>
      <c r="F1412" s="140">
        <v>3.7939883294072212</v>
      </c>
      <c r="G1412" s="140">
        <v>27.35199283518012</v>
      </c>
      <c r="H1412" s="140">
        <v>23.890811096855025</v>
      </c>
      <c r="J1412" s="140">
        <v>0.64257752466865636</v>
      </c>
      <c r="K1412" s="140">
        <v>0.27</v>
      </c>
      <c r="L1412" s="140">
        <v>162.75643714372779</v>
      </c>
      <c r="M1412" s="140">
        <v>70.910480913242409</v>
      </c>
      <c r="N1412" s="140">
        <v>3.7361739746609572</v>
      </c>
      <c r="Z1412" s="140">
        <v>0.15638539685882769</v>
      </c>
      <c r="AL1412" s="140">
        <v>2113.8152859923825</v>
      </c>
      <c r="AM1412" s="140">
        <v>0.13870975881974476</v>
      </c>
      <c r="AN1412" s="140">
        <v>0.26650708431590142</v>
      </c>
      <c r="AO1412" s="140">
        <v>307.24208637529415</v>
      </c>
      <c r="AP1412" s="140">
        <v>245.7282986619044</v>
      </c>
      <c r="AQ1412" t="s">
        <v>327</v>
      </c>
      <c r="AR1412">
        <f t="shared" si="82"/>
        <v>14.644015877877388</v>
      </c>
      <c r="AS1412">
        <f t="shared" si="83"/>
        <v>3.9965468373646496</v>
      </c>
      <c r="AT1412">
        <v>0.3</v>
      </c>
      <c r="AU1412" s="140">
        <v>1</v>
      </c>
      <c r="AV1412">
        <v>0.4</v>
      </c>
      <c r="AW1412" s="140">
        <v>3</v>
      </c>
      <c r="AX1412" s="140">
        <v>0.56778312453208679</v>
      </c>
      <c r="AY1412">
        <v>0.27</v>
      </c>
      <c r="AZ1412" s="209">
        <v>245.7282986619044</v>
      </c>
      <c r="BA1412" s="140">
        <v>0.56778312453208679</v>
      </c>
      <c r="BB1412" s="253">
        <v>49.661748386452075</v>
      </c>
      <c r="BC1412" s="245">
        <v>234.03549356980375</v>
      </c>
      <c r="BD1412" s="210">
        <v>117202.97732110163</v>
      </c>
      <c r="BE1412" s="245">
        <v>59.707531682168124</v>
      </c>
      <c r="BF1412" s="140">
        <v>525993.40627661208</v>
      </c>
      <c r="BG1412" t="s">
        <v>387</v>
      </c>
      <c r="BH1412" s="140">
        <v>8.2454733457577263E-6</v>
      </c>
      <c r="BI1412" s="140">
        <v>2372029.7732110163</v>
      </c>
      <c r="BJ1412">
        <f t="shared" ref="BJ1412:BJ1475" si="84">BF1412/BI1412</f>
        <v>0.22174823107914657</v>
      </c>
    </row>
    <row r="1413" spans="1:62" x14ac:dyDescent="0.3">
      <c r="A1413">
        <v>-0.1</v>
      </c>
      <c r="B1413" s="146">
        <v>1000</v>
      </c>
      <c r="C1413" s="146">
        <v>25</v>
      </c>
      <c r="D1413" s="146">
        <v>200</v>
      </c>
      <c r="E1413" s="252">
        <v>17.59452213895732</v>
      </c>
      <c r="F1413" s="146">
        <v>4.6173419084460665</v>
      </c>
      <c r="G1413" s="146">
        <v>20.582748551470971</v>
      </c>
      <c r="H1413" s="146">
        <v>18.576443785205086</v>
      </c>
      <c r="I1413" s="146"/>
      <c r="J1413" s="146">
        <v>0.76720848072142978</v>
      </c>
      <c r="K1413" s="146">
        <v>0.27</v>
      </c>
      <c r="L1413" s="146">
        <v>127.57209472808415</v>
      </c>
      <c r="M1413" s="146">
        <v>55.581203097298072</v>
      </c>
      <c r="N1413" s="146">
        <v>1.8474842707583292</v>
      </c>
      <c r="O1413" s="146"/>
      <c r="P1413" s="146"/>
      <c r="Q1413" s="146"/>
      <c r="R1413" s="146"/>
      <c r="S1413" s="146"/>
      <c r="T1413" s="146"/>
      <c r="U1413" s="146"/>
      <c r="V1413" s="146"/>
      <c r="W1413" s="146"/>
      <c r="X1413" s="146"/>
      <c r="Y1413" s="146"/>
      <c r="Z1413" s="146">
        <v>9.9453064974132921E-2</v>
      </c>
      <c r="AA1413" s="146"/>
      <c r="AB1413" s="146"/>
      <c r="AC1413" s="146"/>
      <c r="AD1413" s="146"/>
      <c r="AE1413" s="146"/>
      <c r="AF1413" s="146"/>
      <c r="AG1413" s="146"/>
      <c r="AH1413" s="146"/>
      <c r="AI1413" s="146"/>
      <c r="AJ1413" s="146"/>
      <c r="AK1413" s="146"/>
      <c r="AL1413" s="146">
        <v>1006.9690329989076</v>
      </c>
      <c r="AM1413" s="146">
        <v>0.22433067658090214</v>
      </c>
      <c r="AN1413" s="146">
        <v>0.24104838788789792</v>
      </c>
      <c r="AO1413" s="146">
        <v>127.00833930845521</v>
      </c>
      <c r="AP1413" s="146">
        <v>83.226897619740427</v>
      </c>
      <c r="AQ1413" t="s">
        <v>327</v>
      </c>
      <c r="AR1413">
        <f t="shared" si="82"/>
        <v>14.644015877877388</v>
      </c>
      <c r="AS1413">
        <f t="shared" si="83"/>
        <v>3.9965468373646496</v>
      </c>
      <c r="AT1413">
        <v>0.3</v>
      </c>
      <c r="AU1413">
        <v>1</v>
      </c>
      <c r="AV1413">
        <v>0.4</v>
      </c>
      <c r="AW1413" s="146">
        <v>3</v>
      </c>
      <c r="AX1413" s="146">
        <v>0.66383293545952238</v>
      </c>
      <c r="AY1413">
        <v>0.27</v>
      </c>
      <c r="AZ1413" s="209">
        <v>83.226897619740427</v>
      </c>
      <c r="BA1413">
        <v>0.66383293545952238</v>
      </c>
      <c r="BB1413" s="249">
        <v>46.575331927521688</v>
      </c>
      <c r="BC1413" s="243">
        <v>218.01973542543308</v>
      </c>
      <c r="BD1413" s="209">
        <v>106213.79736524132</v>
      </c>
      <c r="BE1413" s="243">
        <v>53.802447890814335</v>
      </c>
      <c r="BF1413">
        <v>323308.71483399259</v>
      </c>
      <c r="BG1413" t="s">
        <v>388</v>
      </c>
      <c r="BH1413">
        <v>6.546859185448324E-6</v>
      </c>
      <c r="BI1413">
        <v>2262137.9736524131</v>
      </c>
      <c r="BJ1413">
        <f t="shared" si="84"/>
        <v>0.1429217486287909</v>
      </c>
    </row>
    <row r="1414" spans="1:62" x14ac:dyDescent="0.3">
      <c r="A1414">
        <v>-0.1</v>
      </c>
      <c r="B1414" s="146">
        <v>1000</v>
      </c>
      <c r="C1414" s="146">
        <v>25</v>
      </c>
      <c r="D1414" s="146">
        <v>300</v>
      </c>
      <c r="E1414" s="252">
        <v>18.364577188660071</v>
      </c>
      <c r="F1414" s="146">
        <v>3.4303075046656795</v>
      </c>
      <c r="G1414" s="146">
        <v>20.726491676830399</v>
      </c>
      <c r="H1414" s="146">
        <v>18.335003215421473</v>
      </c>
      <c r="I1414" s="146"/>
      <c r="J1414" s="146">
        <v>0.66881345580224016</v>
      </c>
      <c r="K1414" s="146">
        <v>0.27</v>
      </c>
      <c r="L1414" s="146">
        <v>124.63882802028736</v>
      </c>
      <c r="M1414" s="146">
        <v>54.303223826266283</v>
      </c>
      <c r="N1414" s="146">
        <v>2.6623468051433861</v>
      </c>
      <c r="O1414" s="146"/>
      <c r="P1414" s="146"/>
      <c r="Q1414" s="146"/>
      <c r="R1414" s="146"/>
      <c r="S1414" s="146"/>
      <c r="T1414" s="146"/>
      <c r="U1414" s="146"/>
      <c r="V1414" s="146"/>
      <c r="W1414" s="146"/>
      <c r="X1414" s="146"/>
      <c r="Y1414" s="146"/>
      <c r="Z1414" s="146">
        <v>0.14520569065971586</v>
      </c>
      <c r="AA1414" s="146"/>
      <c r="AB1414" s="146"/>
      <c r="AC1414" s="146"/>
      <c r="AD1414" s="146"/>
      <c r="AE1414" s="146"/>
      <c r="AF1414" s="146"/>
      <c r="AG1414" s="146"/>
      <c r="AH1414" s="146"/>
      <c r="AI1414" s="146"/>
      <c r="AJ1414" s="146"/>
      <c r="AK1414" s="146"/>
      <c r="AL1414" s="146">
        <v>1514.2003103391414</v>
      </c>
      <c r="AM1414" s="146">
        <v>0.16550352843845398</v>
      </c>
      <c r="AN1414" s="146">
        <v>0.25765631559089192</v>
      </c>
      <c r="AO1414" s="146">
        <v>228.72452147526843</v>
      </c>
      <c r="AP1414" s="146">
        <v>183.02690776744799</v>
      </c>
      <c r="AQ1414" t="s">
        <v>327</v>
      </c>
      <c r="AR1414">
        <f t="shared" si="82"/>
        <v>14.644015877877388</v>
      </c>
      <c r="AS1414">
        <f t="shared" si="83"/>
        <v>3.9965468373646496</v>
      </c>
      <c r="AT1414">
        <v>0.3</v>
      </c>
      <c r="AU1414">
        <v>1</v>
      </c>
      <c r="AV1414">
        <v>0.4</v>
      </c>
      <c r="AW1414" s="146">
        <v>3</v>
      </c>
      <c r="AX1414" s="146">
        <v>0.57633610980135497</v>
      </c>
      <c r="AY1414">
        <v>0.27</v>
      </c>
      <c r="AZ1414" s="209">
        <v>183.02690776744799</v>
      </c>
      <c r="BA1414">
        <v>0.57633610980135497</v>
      </c>
      <c r="BB1414" s="249">
        <v>41.080485342114351</v>
      </c>
      <c r="BC1414" s="243">
        <v>209.84812720654011</v>
      </c>
      <c r="BD1414" s="209">
        <v>99430.547965357851</v>
      </c>
      <c r="BE1414" s="243">
        <v>48.856167128454977</v>
      </c>
      <c r="BF1414">
        <v>325895.75653579005</v>
      </c>
      <c r="BG1414" t="s">
        <v>388</v>
      </c>
      <c r="BH1414">
        <v>7.0266024794966865E-6</v>
      </c>
      <c r="BI1414">
        <v>2194305.4796535783</v>
      </c>
      <c r="BJ1414">
        <f t="shared" si="84"/>
        <v>0.14851886373962855</v>
      </c>
    </row>
    <row r="1415" spans="1:62" x14ac:dyDescent="0.3">
      <c r="A1415">
        <v>-0.1</v>
      </c>
      <c r="B1415" s="146">
        <v>1000</v>
      </c>
      <c r="C1415" s="146">
        <v>25</v>
      </c>
      <c r="D1415" s="146">
        <v>400</v>
      </c>
      <c r="E1415" s="252">
        <v>19.015037785914313</v>
      </c>
      <c r="F1415" s="146">
        <v>2.8486612627245549</v>
      </c>
      <c r="G1415" s="146">
        <v>21.072029788826836</v>
      </c>
      <c r="H1415" s="146">
        <v>18.168112268205821</v>
      </c>
      <c r="I1415" s="146"/>
      <c r="J1415" s="146">
        <v>0.62704873711964293</v>
      </c>
      <c r="K1415" s="146">
        <v>0.27</v>
      </c>
      <c r="L1415" s="146">
        <v>123.19511715090538</v>
      </c>
      <c r="M1415" s="146">
        <v>53.67422116533222</v>
      </c>
      <c r="N1415" s="146">
        <v>3.1950512225601173</v>
      </c>
      <c r="O1415" s="146"/>
      <c r="P1415" s="146"/>
      <c r="Q1415" s="146"/>
      <c r="R1415" s="146"/>
      <c r="S1415" s="146"/>
      <c r="T1415" s="146"/>
      <c r="U1415" s="146"/>
      <c r="V1415" s="146"/>
      <c r="W1415" s="146"/>
      <c r="X1415" s="146"/>
      <c r="Y1415" s="146"/>
      <c r="Z1415" s="146">
        <v>0.1758603852394425</v>
      </c>
      <c r="AA1415" s="146"/>
      <c r="AB1415" s="146"/>
      <c r="AC1415" s="146"/>
      <c r="AD1415" s="146"/>
      <c r="AE1415" s="146"/>
      <c r="AF1415" s="146"/>
      <c r="AG1415" s="146"/>
      <c r="AH1415" s="146"/>
      <c r="AI1415" s="146"/>
      <c r="AJ1415" s="146"/>
      <c r="AK1415" s="146"/>
      <c r="AL1415" s="146">
        <v>1877.495346735258</v>
      </c>
      <c r="AM1415" s="146">
        <v>0.13518684679513027</v>
      </c>
      <c r="AN1415" s="146">
        <v>0.26150438184965169</v>
      </c>
      <c r="AO1415" s="146">
        <v>327.2859687802603</v>
      </c>
      <c r="AP1415" s="146">
        <v>279.96973545519865</v>
      </c>
      <c r="AQ1415" t="s">
        <v>327</v>
      </c>
      <c r="AR1415">
        <f t="shared" si="82"/>
        <v>14.644015877877388</v>
      </c>
      <c r="AS1415">
        <f t="shared" si="83"/>
        <v>3.9965468373646496</v>
      </c>
      <c r="AT1415">
        <v>0.3</v>
      </c>
      <c r="AU1415">
        <v>1</v>
      </c>
      <c r="AV1415">
        <v>0.4</v>
      </c>
      <c r="AW1415" s="146">
        <v>3</v>
      </c>
      <c r="AX1415" s="146">
        <v>0.54754361289027931</v>
      </c>
      <c r="AY1415">
        <v>0.27</v>
      </c>
      <c r="AZ1415" s="209">
        <v>279.96973545519865</v>
      </c>
      <c r="BA1415">
        <v>0.54754361289027931</v>
      </c>
      <c r="BB1415" s="249">
        <v>38.341654222170092</v>
      </c>
      <c r="BC1415" s="243">
        <v>205.93803383517147</v>
      </c>
      <c r="BD1415" s="209">
        <v>96585.388728129707</v>
      </c>
      <c r="BE1415" s="243">
        <v>47.12651478492733</v>
      </c>
      <c r="BF1415">
        <v>333216.68843165739</v>
      </c>
      <c r="BG1415" t="s">
        <v>388</v>
      </c>
      <c r="BH1415">
        <v>7.3466202707243734E-6</v>
      </c>
      <c r="BI1415">
        <v>2165853.8872812968</v>
      </c>
      <c r="BJ1415">
        <f t="shared" si="84"/>
        <v>0.15385003133795419</v>
      </c>
    </row>
    <row r="1416" spans="1:62" x14ac:dyDescent="0.3">
      <c r="A1416">
        <v>-0.1</v>
      </c>
      <c r="B1416" s="146">
        <v>1000</v>
      </c>
      <c r="C1416" s="146">
        <v>25</v>
      </c>
      <c r="D1416" s="146">
        <v>500</v>
      </c>
      <c r="E1416" s="252">
        <v>19.591461137573365</v>
      </c>
      <c r="F1416" s="146">
        <v>2.4786215405284731</v>
      </c>
      <c r="G1416" s="146">
        <v>21.456039016715888</v>
      </c>
      <c r="H1416" s="146">
        <v>18.022585679204788</v>
      </c>
      <c r="I1416" s="146"/>
      <c r="J1416" s="146">
        <v>0.59420508540039096</v>
      </c>
      <c r="K1416" s="146">
        <v>0.27</v>
      </c>
      <c r="L1416" s="146">
        <v>122.07140224608956</v>
      </c>
      <c r="M1416" s="146">
        <v>53.18463583335852</v>
      </c>
      <c r="N1416" s="146">
        <v>3.647493151954361</v>
      </c>
      <c r="O1416" s="146"/>
      <c r="P1416" s="146"/>
      <c r="Q1416" s="146"/>
      <c r="R1416" s="146"/>
      <c r="S1416" s="146"/>
      <c r="T1416" s="146"/>
      <c r="U1416" s="146"/>
      <c r="V1416" s="146"/>
      <c r="W1416" s="146"/>
      <c r="X1416" s="146"/>
      <c r="Y1416" s="146"/>
      <c r="Z1416" s="146">
        <v>0.20238456439482994</v>
      </c>
      <c r="AA1416" s="146"/>
      <c r="AB1416" s="146"/>
      <c r="AC1416" s="146"/>
      <c r="AD1416" s="146"/>
      <c r="AE1416" s="146"/>
      <c r="AF1416" s="146"/>
      <c r="AG1416" s="146"/>
      <c r="AH1416" s="146"/>
      <c r="AI1416" s="146"/>
      <c r="AJ1416" s="146"/>
      <c r="AK1416" s="146"/>
      <c r="AL1416" s="146">
        <v>2199.544872945301</v>
      </c>
      <c r="AM1416" s="146">
        <v>0.1155209280984919</v>
      </c>
      <c r="AN1416" s="146">
        <v>0.25965753271759107</v>
      </c>
      <c r="AO1416" s="146">
        <v>424.54884349963595</v>
      </c>
      <c r="AP1416" s="146">
        <v>375.79829696811953</v>
      </c>
      <c r="AQ1416" t="s">
        <v>327</v>
      </c>
      <c r="AR1416">
        <f t="shared" si="82"/>
        <v>14.644015877877388</v>
      </c>
      <c r="AS1416">
        <f t="shared" si="83"/>
        <v>3.9965468373646496</v>
      </c>
      <c r="AT1416">
        <v>0.3</v>
      </c>
      <c r="AU1416">
        <v>1</v>
      </c>
      <c r="AV1416">
        <v>0.4</v>
      </c>
      <c r="AW1416" s="146">
        <v>3</v>
      </c>
      <c r="AX1416" s="146">
        <v>0.52445532412448137</v>
      </c>
      <c r="AY1416">
        <v>0.27</v>
      </c>
      <c r="AZ1416" s="209">
        <v>375.79829696811953</v>
      </c>
      <c r="BA1416">
        <v>0.52445532412448137</v>
      </c>
      <c r="BB1416" s="249">
        <v>36.712796661416299</v>
      </c>
      <c r="BC1416" s="243">
        <v>202.94330458254009</v>
      </c>
      <c r="BD1416" s="209">
        <v>95347.371289267045</v>
      </c>
      <c r="BE1416" s="243">
        <v>47.163538968773949</v>
      </c>
      <c r="BF1416">
        <v>342363.16828244063</v>
      </c>
      <c r="BG1416" t="s">
        <v>388</v>
      </c>
      <c r="BH1416">
        <v>7.585641684200357E-6</v>
      </c>
      <c r="BI1416">
        <v>2153473.7128926702</v>
      </c>
      <c r="BJ1416">
        <f t="shared" si="84"/>
        <v>0.15898181911055634</v>
      </c>
    </row>
    <row r="1417" spans="1:62" s="146" customFormat="1" x14ac:dyDescent="0.3">
      <c r="A1417">
        <v>-0.1</v>
      </c>
      <c r="B1417" s="146">
        <v>1000</v>
      </c>
      <c r="C1417" s="146">
        <v>25</v>
      </c>
      <c r="D1417" s="146">
        <v>600</v>
      </c>
      <c r="E1417" s="252">
        <v>20.011261083922118</v>
      </c>
      <c r="F1417" s="146">
        <v>2.1921586280526681</v>
      </c>
      <c r="G1417" s="146">
        <v>21.726193793389708</v>
      </c>
      <c r="H1417" s="146">
        <v>17.918905598202819</v>
      </c>
      <c r="J1417" s="146">
        <v>0.57565108961351652</v>
      </c>
      <c r="K1417" s="146">
        <v>0.27</v>
      </c>
      <c r="L1417" s="146">
        <v>121.29001012770111</v>
      </c>
      <c r="M1417" s="146">
        <v>52.844195283853182</v>
      </c>
      <c r="N1417" s="146">
        <v>3.9898933384104023</v>
      </c>
      <c r="Z1417" s="146">
        <v>0.22266389632693692</v>
      </c>
      <c r="AL1417" s="146">
        <v>2467.6871336352146</v>
      </c>
      <c r="AM1417" s="146">
        <v>0.10089934062539947</v>
      </c>
      <c r="AN1417" s="146">
        <v>0.25832866378042246</v>
      </c>
      <c r="AO1417" s="146">
        <v>522.53565364727956</v>
      </c>
      <c r="AP1417" s="146">
        <v>472.74046443001254</v>
      </c>
      <c r="AQ1417" t="s">
        <v>327</v>
      </c>
      <c r="AR1417">
        <f t="shared" si="82"/>
        <v>14.644015877877388</v>
      </c>
      <c r="AS1417">
        <f t="shared" si="83"/>
        <v>3.9965468373646496</v>
      </c>
      <c r="AT1417">
        <v>0.3</v>
      </c>
      <c r="AU1417">
        <v>1</v>
      </c>
      <c r="AV1417">
        <v>0.4</v>
      </c>
      <c r="AW1417" s="146">
        <v>3</v>
      </c>
      <c r="AX1417" s="146">
        <v>0.5128681525121418</v>
      </c>
      <c r="AY1417">
        <v>0.27</v>
      </c>
      <c r="AZ1417" s="209">
        <v>472.74046443001254</v>
      </c>
      <c r="BA1417" s="146">
        <v>0.5128681525121418</v>
      </c>
      <c r="BB1417" s="252">
        <v>35.329472159520449</v>
      </c>
      <c r="BC1417" s="244">
        <v>200.88529718984685</v>
      </c>
      <c r="BD1417" s="229">
        <v>94143.215691361678</v>
      </c>
      <c r="BE1417" s="244">
        <v>46.656060986655397</v>
      </c>
      <c r="BF1417" s="146">
        <v>348164.42460173432</v>
      </c>
      <c r="BG1417" t="s">
        <v>388</v>
      </c>
      <c r="BH1417" s="146">
        <v>7.7726910375012975E-6</v>
      </c>
      <c r="BI1417" s="146">
        <v>2141432.1569136167</v>
      </c>
      <c r="BJ1417">
        <f t="shared" si="84"/>
        <v>0.16258484933911402</v>
      </c>
    </row>
    <row r="1418" spans="1:62" s="140" customFormat="1" x14ac:dyDescent="0.3">
      <c r="A1418">
        <v>-0.1</v>
      </c>
      <c r="B1418" s="146">
        <v>1000</v>
      </c>
      <c r="C1418" s="146">
        <v>25</v>
      </c>
      <c r="D1418" s="146">
        <v>700</v>
      </c>
      <c r="E1418" s="252">
        <v>20.329244606352706</v>
      </c>
      <c r="F1418" s="146">
        <v>1.9659066726256489</v>
      </c>
      <c r="G1418" s="146">
        <v>21.925666786251782</v>
      </c>
      <c r="H1418" s="146">
        <v>17.839253890373698</v>
      </c>
      <c r="I1418" s="146"/>
      <c r="J1418" s="146">
        <v>0.56290778674274056</v>
      </c>
      <c r="K1418" s="146">
        <v>0.27</v>
      </c>
      <c r="L1418" s="146">
        <v>120.69974387876503</v>
      </c>
      <c r="M1418" s="146">
        <v>52.587025341370662</v>
      </c>
      <c r="N1418" s="146">
        <v>4.2696257280548</v>
      </c>
      <c r="O1418" s="146"/>
      <c r="P1418" s="146"/>
      <c r="Q1418" s="146"/>
      <c r="R1418" s="146"/>
      <c r="S1418" s="146"/>
      <c r="T1418" s="146"/>
      <c r="U1418" s="146"/>
      <c r="V1418" s="146"/>
      <c r="W1418" s="146"/>
      <c r="X1418" s="146"/>
      <c r="Y1418" s="146"/>
      <c r="Z1418" s="146">
        <v>0.23933880611221905</v>
      </c>
      <c r="AA1418" s="146"/>
      <c r="AB1418" s="146"/>
      <c r="AC1418" s="146"/>
      <c r="AD1418" s="146"/>
      <c r="AE1418" s="146"/>
      <c r="AF1418" s="146"/>
      <c r="AG1418" s="146"/>
      <c r="AH1418" s="146"/>
      <c r="AI1418" s="146"/>
      <c r="AJ1418" s="146"/>
      <c r="AK1418" s="146"/>
      <c r="AL1418" s="146">
        <v>2705.229929289364</v>
      </c>
      <c r="AM1418" s="146">
        <v>8.9662343763171046E-2</v>
      </c>
      <c r="AN1418" s="146">
        <v>0.25734409480654247</v>
      </c>
      <c r="AO1418" s="146">
        <v>621.00364835791106</v>
      </c>
      <c r="AP1418" s="146">
        <v>570.41706526196322</v>
      </c>
      <c r="AQ1418" t="s">
        <v>327</v>
      </c>
      <c r="AR1418">
        <f t="shared" si="82"/>
        <v>14.644015877877388</v>
      </c>
      <c r="AS1418">
        <f t="shared" si="83"/>
        <v>3.9965468373646496</v>
      </c>
      <c r="AT1418">
        <v>0.3</v>
      </c>
      <c r="AU1418">
        <v>1</v>
      </c>
      <c r="AV1418">
        <v>0.4</v>
      </c>
      <c r="AW1418" s="146">
        <v>3</v>
      </c>
      <c r="AX1418" s="146">
        <v>0.50543592771879742</v>
      </c>
      <c r="AY1418">
        <v>0.27</v>
      </c>
      <c r="AZ1418" s="209">
        <v>570.41706526196322</v>
      </c>
      <c r="BA1418" s="140">
        <v>0.50543592771879742</v>
      </c>
      <c r="BB1418" s="253">
        <v>34.187870888231586</v>
      </c>
      <c r="BC1418" s="245">
        <v>199.34367828139941</v>
      </c>
      <c r="BD1418" s="210">
        <v>93088.564592103052</v>
      </c>
      <c r="BE1418" s="245">
        <v>46.043859153101593</v>
      </c>
      <c r="BF1418" s="140">
        <v>352095.63139799022</v>
      </c>
      <c r="BG1418" t="s">
        <v>388</v>
      </c>
      <c r="BH1418" s="140">
        <v>7.921258704565519E-6</v>
      </c>
      <c r="BI1418" s="140">
        <v>2130885.6459210305</v>
      </c>
      <c r="BJ1418">
        <f t="shared" si="84"/>
        <v>0.16523440949164792</v>
      </c>
    </row>
    <row r="1419" spans="1:62" x14ac:dyDescent="0.3">
      <c r="A1419">
        <v>-0.1</v>
      </c>
      <c r="B1419" s="146">
        <v>1000</v>
      </c>
      <c r="C1419" s="146">
        <v>25</v>
      </c>
      <c r="D1419" s="146">
        <v>800</v>
      </c>
      <c r="E1419" s="252">
        <v>20.582552051444587</v>
      </c>
      <c r="F1419" s="146">
        <v>1.7842149497127768</v>
      </c>
      <c r="G1419" s="146">
        <v>22.083792225949828</v>
      </c>
      <c r="H1419" s="146">
        <v>17.778394281956839</v>
      </c>
      <c r="I1419" s="146"/>
      <c r="J1419" s="146">
        <v>0.55333477060131653</v>
      </c>
      <c r="K1419" s="146">
        <v>0.27</v>
      </c>
      <c r="L1419" s="146">
        <v>120.25223680764309</v>
      </c>
      <c r="M1419" s="146">
        <v>52.392053380923336</v>
      </c>
      <c r="N1419" s="146">
        <v>4.5037470247924656</v>
      </c>
      <c r="O1419" s="146"/>
      <c r="P1419" s="146"/>
      <c r="Q1419" s="146"/>
      <c r="R1419" s="146"/>
      <c r="S1419" s="146"/>
      <c r="T1419" s="146"/>
      <c r="U1419" s="146"/>
      <c r="V1419" s="146"/>
      <c r="W1419" s="146"/>
      <c r="X1419" s="146"/>
      <c r="Y1419" s="146"/>
      <c r="Z1419" s="146">
        <v>0.25332698518016811</v>
      </c>
      <c r="AA1419" s="146"/>
      <c r="AB1419" s="146"/>
      <c r="AC1419" s="146"/>
      <c r="AD1419" s="146"/>
      <c r="AE1419" s="146"/>
      <c r="AF1419" s="146"/>
      <c r="AG1419" s="146"/>
      <c r="AH1419" s="146"/>
      <c r="AI1419" s="146"/>
      <c r="AJ1419" s="146"/>
      <c r="AK1419" s="146"/>
      <c r="AL1419" s="146">
        <v>2920.4186017611132</v>
      </c>
      <c r="AM1419" s="146">
        <v>8.0792960351085602E-2</v>
      </c>
      <c r="AN1419" s="146">
        <v>0.25651817490756174</v>
      </c>
      <c r="AO1419" s="146">
        <v>719.76181781715206</v>
      </c>
      <c r="AP1419" s="146">
        <v>668.54508936488003</v>
      </c>
      <c r="AQ1419" t="s">
        <v>327</v>
      </c>
      <c r="AR1419">
        <f t="shared" si="82"/>
        <v>14.644015877877388</v>
      </c>
      <c r="AS1419">
        <f t="shared" si="83"/>
        <v>3.9965468373646496</v>
      </c>
      <c r="AT1419">
        <v>0.3</v>
      </c>
      <c r="AU1419">
        <v>1</v>
      </c>
      <c r="AV1419">
        <v>0.4</v>
      </c>
      <c r="AW1419" s="146">
        <v>3</v>
      </c>
      <c r="AX1419" s="146">
        <v>0.50006606797518249</v>
      </c>
      <c r="AY1419">
        <v>0.27</v>
      </c>
      <c r="AZ1419" s="209">
        <v>668.54508936488003</v>
      </c>
      <c r="BA1419">
        <v>0.50006606797518249</v>
      </c>
      <c r="BB1419" s="249">
        <v>33.251540857402311</v>
      </c>
      <c r="BC1419" s="243">
        <v>198.18225648055281</v>
      </c>
      <c r="BD1419" s="209">
        <v>92221.061992649236</v>
      </c>
      <c r="BE1419" s="243">
        <v>45.470823378988648</v>
      </c>
      <c r="BF1419">
        <v>355081.60214270034</v>
      </c>
      <c r="BG1419" t="s">
        <v>388</v>
      </c>
      <c r="BH1419">
        <v>8.0415982748795545E-6</v>
      </c>
      <c r="BI1419">
        <v>2122210.6199264922</v>
      </c>
      <c r="BJ1419">
        <f t="shared" si="84"/>
        <v>0.16731685291208251</v>
      </c>
    </row>
    <row r="1420" spans="1:62" x14ac:dyDescent="0.3">
      <c r="A1420">
        <v>-0.1</v>
      </c>
      <c r="B1420" s="146">
        <v>1000</v>
      </c>
      <c r="C1420" s="146">
        <v>25</v>
      </c>
      <c r="D1420" s="146">
        <v>900</v>
      </c>
      <c r="E1420" s="252">
        <v>20.787163125295724</v>
      </c>
      <c r="F1420" s="146">
        <v>1.6346492716519898</v>
      </c>
      <c r="G1420" s="146">
        <v>22.209978252582076</v>
      </c>
      <c r="H1420" s="146">
        <v>17.728804447344586</v>
      </c>
      <c r="I1420" s="146"/>
      <c r="J1420" s="146">
        <v>0.54539994575042905</v>
      </c>
      <c r="K1420" s="146">
        <v>0.27</v>
      </c>
      <c r="L1420" s="146">
        <v>119.89057606033877</v>
      </c>
      <c r="M1420" s="146">
        <v>52.23448334579075</v>
      </c>
      <c r="N1420" s="146">
        <v>4.7087233755681908</v>
      </c>
      <c r="O1420" s="146"/>
      <c r="P1420" s="146"/>
      <c r="Q1420" s="146"/>
      <c r="R1420" s="146"/>
      <c r="S1420" s="146"/>
      <c r="T1420" s="146"/>
      <c r="U1420" s="146"/>
      <c r="V1420" s="146"/>
      <c r="W1420" s="146"/>
      <c r="X1420" s="146"/>
      <c r="Y1420" s="146"/>
      <c r="Z1420" s="146">
        <v>0.26559734411608682</v>
      </c>
      <c r="AA1420" s="146"/>
      <c r="AB1420" s="146"/>
      <c r="AC1420" s="146"/>
      <c r="AD1420" s="146"/>
      <c r="AE1420" s="146"/>
      <c r="AF1420" s="146"/>
      <c r="AG1420" s="146"/>
      <c r="AH1420" s="146"/>
      <c r="AI1420" s="146"/>
      <c r="AJ1420" s="146"/>
      <c r="AK1420" s="146"/>
      <c r="AL1420" s="146">
        <v>3121.3901136898685</v>
      </c>
      <c r="AM1420" s="146">
        <v>7.3599769124580286E-2</v>
      </c>
      <c r="AN1420" s="146">
        <v>0.25585596986072356</v>
      </c>
      <c r="AO1420" s="146">
        <v>818.75443384568541</v>
      </c>
      <c r="AP1420" s="146">
        <v>767.02842590577313</v>
      </c>
      <c r="AQ1420" t="s">
        <v>327</v>
      </c>
      <c r="AR1420">
        <f t="shared" si="82"/>
        <v>14.644015877877388</v>
      </c>
      <c r="AS1420">
        <f t="shared" si="83"/>
        <v>3.9965468373646496</v>
      </c>
      <c r="AT1420">
        <v>0.3</v>
      </c>
      <c r="AU1420">
        <v>1</v>
      </c>
      <c r="AV1420">
        <v>0.4</v>
      </c>
      <c r="AW1420" s="146">
        <v>3</v>
      </c>
      <c r="AX1420" s="146">
        <v>0.4956105399480133</v>
      </c>
      <c r="AY1420">
        <v>0.27</v>
      </c>
      <c r="AZ1420" s="209">
        <v>767.02842590577313</v>
      </c>
      <c r="BA1420">
        <v>0.4956105399480133</v>
      </c>
      <c r="BB1420" s="249">
        <v>32.468547914255034</v>
      </c>
      <c r="BC1420" s="243">
        <v>197.24820954673024</v>
      </c>
      <c r="BD1420" s="209">
        <v>91483.25563035169</v>
      </c>
      <c r="BE1420" s="243">
        <v>44.947987037412481</v>
      </c>
      <c r="BF1420">
        <v>357342.41860061447</v>
      </c>
      <c r="BG1420" t="s">
        <v>388</v>
      </c>
      <c r="BH1420">
        <v>8.1409967090814069E-6</v>
      </c>
      <c r="BI1420">
        <v>2114832.556303517</v>
      </c>
      <c r="BJ1420">
        <f t="shared" si="84"/>
        <v>0.16896960354403082</v>
      </c>
    </row>
    <row r="1421" spans="1:62" x14ac:dyDescent="0.3">
      <c r="A1421">
        <v>-0.1</v>
      </c>
      <c r="B1421" s="146">
        <v>1000</v>
      </c>
      <c r="C1421" s="146">
        <v>25</v>
      </c>
      <c r="D1421" s="146">
        <v>1000</v>
      </c>
      <c r="E1421" s="252">
        <v>20.956829232653032</v>
      </c>
      <c r="F1421" s="146">
        <v>1.5095043019169627</v>
      </c>
      <c r="G1421" s="146">
        <v>22.314008698294316</v>
      </c>
      <c r="H1421" s="146">
        <v>17.68798914331996</v>
      </c>
      <c r="I1421" s="146"/>
      <c r="J1421" s="146">
        <v>0.53854767393161629</v>
      </c>
      <c r="K1421" s="146">
        <v>0.27</v>
      </c>
      <c r="L1421" s="146">
        <v>119.5944951129925</v>
      </c>
      <c r="M1421" s="146">
        <v>52.105485422673084</v>
      </c>
      <c r="N1421" s="146">
        <v>4.8909610666500178</v>
      </c>
      <c r="O1421" s="146"/>
      <c r="P1421" s="146"/>
      <c r="Q1421" s="146"/>
      <c r="R1421" s="146"/>
      <c r="S1421" s="146"/>
      <c r="T1421" s="146"/>
      <c r="U1421" s="146"/>
      <c r="V1421" s="146"/>
      <c r="W1421" s="146"/>
      <c r="X1421" s="146"/>
      <c r="Y1421" s="146"/>
      <c r="Z1421" s="146">
        <v>0.27651312011897838</v>
      </c>
      <c r="AA1421" s="146"/>
      <c r="AB1421" s="146"/>
      <c r="AC1421" s="146"/>
      <c r="AD1421" s="146"/>
      <c r="AE1421" s="146"/>
      <c r="AF1421" s="146"/>
      <c r="AG1421" s="146"/>
      <c r="AH1421" s="146"/>
      <c r="AI1421" s="146"/>
      <c r="AJ1421" s="146"/>
      <c r="AK1421" s="146"/>
      <c r="AL1421" s="146">
        <v>3311.2451863707347</v>
      </c>
      <c r="AM1421" s="146">
        <v>6.7648279711943884E-2</v>
      </c>
      <c r="AN1421" s="146">
        <v>0.25530017572936903</v>
      </c>
      <c r="AO1421" s="146">
        <v>917.91298547765859</v>
      </c>
      <c r="AP1421" s="146">
        <v>865.76465304572662</v>
      </c>
      <c r="AQ1421" t="s">
        <v>327</v>
      </c>
      <c r="AR1421">
        <f t="shared" si="82"/>
        <v>14.644015877877388</v>
      </c>
      <c r="AS1421">
        <f t="shared" si="83"/>
        <v>3.9965468373646496</v>
      </c>
      <c r="AT1421">
        <v>0.3</v>
      </c>
      <c r="AU1421">
        <v>1</v>
      </c>
      <c r="AV1421">
        <v>0.4</v>
      </c>
      <c r="AW1421" s="146">
        <v>3</v>
      </c>
      <c r="AX1421" s="146">
        <v>0.49170505399172471</v>
      </c>
      <c r="AY1421">
        <v>0.27</v>
      </c>
      <c r="AZ1421" s="209">
        <v>865.76465304572662</v>
      </c>
      <c r="BA1421">
        <v>0.49170505399172471</v>
      </c>
      <c r="BB1421" s="249">
        <v>31.806914230034209</v>
      </c>
      <c r="BC1421" s="243">
        <v>196.48655075306249</v>
      </c>
      <c r="BD1421" s="209">
        <v>90857.651156813459</v>
      </c>
      <c r="BE1421" s="243">
        <v>44.484375120058658</v>
      </c>
      <c r="BF1421">
        <v>359141.57662891777</v>
      </c>
      <c r="BG1421" t="s">
        <v>388</v>
      </c>
      <c r="BH1421">
        <v>8.2244751982245652E-6</v>
      </c>
      <c r="BI1421">
        <v>2108576.5115681347</v>
      </c>
      <c r="BJ1421">
        <f t="shared" si="84"/>
        <v>0.17032418537273117</v>
      </c>
    </row>
    <row r="1422" spans="1:62" s="140" customFormat="1" x14ac:dyDescent="0.3">
      <c r="A1422" s="140">
        <v>-0.1</v>
      </c>
      <c r="B1422" s="140">
        <v>1000</v>
      </c>
      <c r="C1422" s="140">
        <v>25</v>
      </c>
      <c r="D1422" s="140">
        <v>1100</v>
      </c>
      <c r="E1422" s="253">
        <v>21.09969193964422</v>
      </c>
      <c r="F1422" s="140">
        <v>1.4031350232883817</v>
      </c>
      <c r="G1422" s="140">
        <v>22.401066703940202</v>
      </c>
      <c r="H1422" s="140">
        <v>17.653604263110122</v>
      </c>
      <c r="J1422" s="140">
        <v>0.53241636254402014</v>
      </c>
      <c r="K1422" s="140">
        <v>0.27</v>
      </c>
      <c r="L1422" s="140">
        <v>119.34619118029407</v>
      </c>
      <c r="M1422" s="140">
        <v>51.997303211331442</v>
      </c>
      <c r="N1422" s="140">
        <v>5.0558613846240146</v>
      </c>
      <c r="Z1422" s="140">
        <v>0.28639258642434862</v>
      </c>
      <c r="AL1422" s="140">
        <v>3492.6286858777726</v>
      </c>
      <c r="AM1422" s="140">
        <v>6.2636973579547409E-2</v>
      </c>
      <c r="AN1422" s="140">
        <v>0.2548321759867892</v>
      </c>
      <c r="AO1422" s="140">
        <v>1017.2016176609579</v>
      </c>
      <c r="AP1422" s="140">
        <v>964.69799356576323</v>
      </c>
      <c r="AQ1422" t="s">
        <v>327</v>
      </c>
      <c r="AR1422">
        <f t="shared" si="82"/>
        <v>14.644015877877388</v>
      </c>
      <c r="AS1422">
        <f t="shared" si="83"/>
        <v>3.9965468373646496</v>
      </c>
      <c r="AT1422">
        <v>0.3</v>
      </c>
      <c r="AU1422" s="140">
        <v>1</v>
      </c>
      <c r="AV1422">
        <v>0.4</v>
      </c>
      <c r="AW1422" s="140">
        <v>3</v>
      </c>
      <c r="AX1422" s="140">
        <v>0.48812207275735192</v>
      </c>
      <c r="AY1422">
        <v>0.27</v>
      </c>
      <c r="AZ1422" s="209">
        <v>964.69799356576323</v>
      </c>
      <c r="BA1422" s="140">
        <v>0.48812207275735192</v>
      </c>
      <c r="BB1422" s="253">
        <v>31.240253461090273</v>
      </c>
      <c r="BC1422" s="245">
        <v>195.84987581156614</v>
      </c>
      <c r="BD1422" s="210">
        <v>90319.486803383188</v>
      </c>
      <c r="BE1422" s="245">
        <v>44.073025249150014</v>
      </c>
      <c r="BF1422" s="140">
        <v>360597.11700057704</v>
      </c>
      <c r="BG1422" t="s">
        <v>388</v>
      </c>
      <c r="BH1422" s="140">
        <v>8.295608968689629E-6</v>
      </c>
      <c r="BI1422" s="140">
        <v>2103194.8680338319</v>
      </c>
      <c r="BJ1422">
        <f t="shared" si="84"/>
        <v>0.17145207155135397</v>
      </c>
    </row>
    <row r="1423" spans="1:62" x14ac:dyDescent="0.3">
      <c r="A1423">
        <v>-0.1</v>
      </c>
      <c r="B1423" s="146">
        <v>1000</v>
      </c>
      <c r="C1423" s="146">
        <v>25</v>
      </c>
      <c r="D1423" s="146">
        <v>400</v>
      </c>
      <c r="E1423" s="252">
        <v>19.024008750901775</v>
      </c>
      <c r="F1423" s="146">
        <v>2.8550126642378686</v>
      </c>
      <c r="G1423" s="146">
        <v>21.084788140976368</v>
      </c>
      <c r="H1423" s="146">
        <v>18.185235786107626</v>
      </c>
      <c r="I1423" s="146"/>
      <c r="J1423" s="146">
        <v>0.63047473248275931</v>
      </c>
      <c r="K1423" s="146">
        <v>0.27</v>
      </c>
      <c r="L1423" s="146">
        <v>123.30991002564751</v>
      </c>
      <c r="M1423" s="146">
        <v>53.72423465847713</v>
      </c>
      <c r="N1423" s="146">
        <v>3.1633960312176228</v>
      </c>
      <c r="O1423" s="146"/>
      <c r="P1423" s="146"/>
      <c r="Q1423" s="146"/>
      <c r="R1423" s="146"/>
      <c r="S1423" s="146"/>
      <c r="T1423" s="146"/>
      <c r="U1423" s="146"/>
      <c r="V1423" s="146"/>
      <c r="W1423" s="146"/>
      <c r="X1423" s="146"/>
      <c r="Y1423" s="146"/>
      <c r="Z1423" s="146">
        <v>0.17395408387469236</v>
      </c>
      <c r="AA1423" s="146"/>
      <c r="AB1423" s="146"/>
      <c r="AC1423" s="146"/>
      <c r="AD1423" s="146"/>
      <c r="AE1423" s="146"/>
      <c r="AF1423" s="146"/>
      <c r="AG1423" s="146"/>
      <c r="AH1423" s="146"/>
      <c r="AI1423" s="146"/>
      <c r="AJ1423" s="146"/>
      <c r="AK1423" s="146"/>
      <c r="AL1423" s="146">
        <v>1861.5663815485261</v>
      </c>
      <c r="AM1423" s="146">
        <v>0.1354062770348359</v>
      </c>
      <c r="AN1423" s="146">
        <v>0.26134360239002691</v>
      </c>
      <c r="AO1423" s="146">
        <v>327.20690854138257</v>
      </c>
      <c r="AP1423" s="146">
        <v>279.86836593971526</v>
      </c>
      <c r="AQ1423" t="s">
        <v>327</v>
      </c>
      <c r="AR1423">
        <f t="shared" si="82"/>
        <v>14.644015877877388</v>
      </c>
      <c r="AS1423">
        <f t="shared" si="83"/>
        <v>3.9965468373646496</v>
      </c>
      <c r="AT1423">
        <v>0.3</v>
      </c>
      <c r="AU1423">
        <v>1</v>
      </c>
      <c r="AV1423">
        <v>0.4</v>
      </c>
      <c r="AW1423" s="146">
        <v>3</v>
      </c>
      <c r="AX1423" s="146">
        <v>0.55048889982762439</v>
      </c>
      <c r="AY1423">
        <v>0.27</v>
      </c>
      <c r="AZ1423" s="209">
        <v>279.86836593971526</v>
      </c>
      <c r="BA1423">
        <v>0.55048889982762439</v>
      </c>
      <c r="BB1423" s="249">
        <v>38.361547743841605</v>
      </c>
      <c r="BC1423" s="243">
        <v>206.24633245337276</v>
      </c>
      <c r="BD1423" s="209">
        <v>96673.003241393075</v>
      </c>
      <c r="BE1423" s="243">
        <v>47.06289072889026</v>
      </c>
      <c r="BF1423">
        <v>333608.98543943663</v>
      </c>
      <c r="BG1423" t="s">
        <v>389</v>
      </c>
      <c r="BH1423">
        <v>7.3463064900278427E-6</v>
      </c>
      <c r="BI1423">
        <v>2166730.0324139306</v>
      </c>
      <c r="BJ1423">
        <f t="shared" si="84"/>
        <v>0.153968874963055</v>
      </c>
    </row>
    <row r="1424" spans="1:62" x14ac:dyDescent="0.3">
      <c r="A1424">
        <v>-0.1</v>
      </c>
      <c r="B1424" s="146">
        <v>1000</v>
      </c>
      <c r="C1424" s="146">
        <v>25</v>
      </c>
      <c r="D1424" s="146">
        <v>400</v>
      </c>
      <c r="E1424" s="252">
        <v>18.355255390163748</v>
      </c>
      <c r="F1424" s="146">
        <v>2.7355218074741345</v>
      </c>
      <c r="G1424" s="146">
        <v>20.323262060771722</v>
      </c>
      <c r="H1424" s="146">
        <v>17.559279283710438</v>
      </c>
      <c r="I1424" s="146"/>
      <c r="J1424" s="146">
        <v>0.63206944069086646</v>
      </c>
      <c r="K1424" s="146">
        <v>0.27</v>
      </c>
      <c r="L1424" s="146">
        <v>119.10943054792375</v>
      </c>
      <c r="M1424" s="146">
        <v>51.894150238721963</v>
      </c>
      <c r="N1424" s="146">
        <v>3.0910306397548482</v>
      </c>
      <c r="O1424" s="146"/>
      <c r="P1424" s="146"/>
      <c r="Q1424" s="146"/>
      <c r="R1424" s="146"/>
      <c r="S1424" s="146"/>
      <c r="T1424" s="146"/>
      <c r="U1424" s="146"/>
      <c r="V1424" s="146"/>
      <c r="W1424" s="146"/>
      <c r="X1424" s="146"/>
      <c r="Y1424" s="146"/>
      <c r="Z1424" s="146">
        <v>0.17603402678504951</v>
      </c>
      <c r="AA1424" s="146"/>
      <c r="AB1424" s="146"/>
      <c r="AC1424" s="146"/>
      <c r="AD1424" s="146"/>
      <c r="AE1424" s="146"/>
      <c r="AF1424" s="146"/>
      <c r="AG1424" s="146"/>
      <c r="AH1424" s="146"/>
      <c r="AI1424" s="146"/>
      <c r="AJ1424" s="146"/>
      <c r="AK1424" s="146"/>
      <c r="AL1424" s="146">
        <v>1830.0558614566692</v>
      </c>
      <c r="AM1424" s="146">
        <v>0.13460052816788115</v>
      </c>
      <c r="AN1424" s="146">
        <v>0.26302662500020296</v>
      </c>
      <c r="AO1424" s="146">
        <v>330.21521912411117</v>
      </c>
      <c r="AP1424" s="146">
        <v>284.54054157924554</v>
      </c>
      <c r="AQ1424" t="s">
        <v>327</v>
      </c>
      <c r="AR1424">
        <f t="shared" si="82"/>
        <v>14.644015877877388</v>
      </c>
      <c r="AS1424">
        <f t="shared" si="83"/>
        <v>3.9965468373646496</v>
      </c>
      <c r="AT1424">
        <v>0.3</v>
      </c>
      <c r="AU1424">
        <v>1</v>
      </c>
      <c r="AV1424">
        <v>0.4</v>
      </c>
      <c r="AW1424" s="146">
        <v>2.5</v>
      </c>
      <c r="AX1424" s="146">
        <v>0.55194363211192721</v>
      </c>
      <c r="AY1424">
        <v>0.27</v>
      </c>
      <c r="AZ1424" s="209">
        <v>284.54054157924554</v>
      </c>
      <c r="BA1424">
        <v>0.55194363211192721</v>
      </c>
      <c r="BB1424" s="249">
        <v>36.917481095883929</v>
      </c>
      <c r="BC1424" s="243">
        <v>195.24455398400949</v>
      </c>
      <c r="BD1424" s="209">
        <v>90582.968654444267</v>
      </c>
      <c r="BE1424" s="243">
        <v>44.853752764352528</v>
      </c>
      <c r="BF1424">
        <v>378891.1325642888</v>
      </c>
      <c r="BG1424" t="s">
        <v>389</v>
      </c>
      <c r="BH1424">
        <v>7.1160893523728002E-6</v>
      </c>
      <c r="BI1424">
        <v>2105829.6865444425</v>
      </c>
      <c r="BJ1424">
        <f t="shared" si="84"/>
        <v>0.17992486998605739</v>
      </c>
    </row>
    <row r="1425" spans="1:62" x14ac:dyDescent="0.3">
      <c r="A1425">
        <v>-0.1</v>
      </c>
      <c r="B1425" s="146">
        <v>1000</v>
      </c>
      <c r="C1425" s="146">
        <v>25</v>
      </c>
      <c r="D1425" s="146">
        <v>400</v>
      </c>
      <c r="E1425" s="252">
        <v>16.021599255148114</v>
      </c>
      <c r="F1425" s="146">
        <v>2.3645338679796852</v>
      </c>
      <c r="G1425" s="146">
        <v>17.699356432704199</v>
      </c>
      <c r="H1425" s="146">
        <v>15.324940595455264</v>
      </c>
      <c r="I1425" s="146"/>
      <c r="J1425" s="146">
        <v>0.63874348332841524</v>
      </c>
      <c r="K1425" s="146">
        <v>0.27</v>
      </c>
      <c r="L1425" s="146">
        <v>104.08477737795354</v>
      </c>
      <c r="M1425" s="146">
        <v>45.348139521515023</v>
      </c>
      <c r="N1425" s="146">
        <v>2.7711564001941387</v>
      </c>
      <c r="O1425" s="146"/>
      <c r="P1425" s="146"/>
      <c r="Q1425" s="146"/>
      <c r="R1425" s="146"/>
      <c r="S1425" s="146"/>
      <c r="T1425" s="146"/>
      <c r="U1425" s="146"/>
      <c r="V1425" s="146"/>
      <c r="W1425" s="146"/>
      <c r="X1425" s="146"/>
      <c r="Y1425" s="146"/>
      <c r="Z1425" s="146">
        <v>0.18082656718525536</v>
      </c>
      <c r="AA1425" s="146"/>
      <c r="AB1425" s="146"/>
      <c r="AC1425" s="146"/>
      <c r="AD1425" s="146"/>
      <c r="AE1425" s="146"/>
      <c r="AF1425" s="146"/>
      <c r="AG1425" s="146"/>
      <c r="AH1425" s="146"/>
      <c r="AI1425" s="146"/>
      <c r="AJ1425" s="146"/>
      <c r="AK1425" s="146"/>
      <c r="AL1425" s="146">
        <v>1685.421589089746</v>
      </c>
      <c r="AM1425" s="146">
        <v>0.13359434152140071</v>
      </c>
      <c r="AN1425" s="146">
        <v>0.26574596918279836</v>
      </c>
      <c r="AO1425" s="146">
        <v>339.71084752699539</v>
      </c>
      <c r="AP1425" s="146">
        <v>299.84338899267715</v>
      </c>
      <c r="AQ1425" t="s">
        <v>327</v>
      </c>
      <c r="AR1425">
        <f t="shared" si="82"/>
        <v>14.644015877877388</v>
      </c>
      <c r="AS1425">
        <f t="shared" si="83"/>
        <v>3.9965468373646496</v>
      </c>
      <c r="AT1425">
        <v>0.3</v>
      </c>
      <c r="AU1425">
        <v>1</v>
      </c>
      <c r="AV1425">
        <v>0.4</v>
      </c>
      <c r="AW1425" s="146">
        <v>1.5</v>
      </c>
      <c r="AX1425" s="146">
        <v>0.5567860671380187</v>
      </c>
      <c r="AY1425">
        <v>0.27</v>
      </c>
      <c r="AZ1425" s="209">
        <v>299.84338899267715</v>
      </c>
      <c r="BA1425">
        <v>0.5567860671380187</v>
      </c>
      <c r="BB1425" s="249">
        <v>32.162805004784701</v>
      </c>
      <c r="BC1425" s="243">
        <v>159.93737938331617</v>
      </c>
      <c r="BD1425" s="209">
        <v>71829.573021013406</v>
      </c>
      <c r="BE1425" s="243">
        <v>38.258718043179748</v>
      </c>
      <c r="BF1425">
        <v>499127.53150851844</v>
      </c>
      <c r="BG1425" t="s">
        <v>389</v>
      </c>
      <c r="BH1425">
        <v>6.3311992830550543E-6</v>
      </c>
      <c r="BI1425">
        <v>1918295.7302101341</v>
      </c>
      <c r="BJ1425">
        <f t="shared" si="84"/>
        <v>0.26019321403266793</v>
      </c>
    </row>
    <row r="1426" spans="1:62" x14ac:dyDescent="0.3">
      <c r="A1426">
        <v>-0.1</v>
      </c>
      <c r="B1426" s="146">
        <v>1000</v>
      </c>
      <c r="C1426" s="146">
        <v>25</v>
      </c>
      <c r="D1426" s="146">
        <v>400</v>
      </c>
      <c r="E1426" s="252">
        <v>13.912587928899407</v>
      </c>
      <c r="F1426" s="146">
        <v>2.0494594322356603</v>
      </c>
      <c r="G1426" s="146">
        <v>15.349507713827267</v>
      </c>
      <c r="H1426" s="146">
        <v>13.265134198122556</v>
      </c>
      <c r="I1426" s="146"/>
      <c r="J1426" s="146">
        <v>0.63523885772200284</v>
      </c>
      <c r="K1426" s="146">
        <v>0.27</v>
      </c>
      <c r="L1426" s="146">
        <v>90.192201712693674</v>
      </c>
      <c r="M1426" s="146">
        <v>39.295357592667365</v>
      </c>
      <c r="N1426" s="146">
        <v>2.5183849360716497</v>
      </c>
      <c r="O1426" s="146"/>
      <c r="P1426" s="146"/>
      <c r="Q1426" s="146"/>
      <c r="R1426" s="146"/>
      <c r="S1426" s="146"/>
      <c r="T1426" s="146"/>
      <c r="U1426" s="146"/>
      <c r="V1426" s="146"/>
      <c r="W1426" s="146"/>
      <c r="X1426" s="146"/>
      <c r="Y1426" s="146"/>
      <c r="Z1426" s="146">
        <v>0.18984994033668218</v>
      </c>
      <c r="AA1426" s="146"/>
      <c r="AB1426" s="146"/>
      <c r="AC1426" s="146"/>
      <c r="AD1426" s="146"/>
      <c r="AE1426" s="146"/>
      <c r="AF1426" s="146"/>
      <c r="AG1426" s="146"/>
      <c r="AH1426" s="146"/>
      <c r="AI1426" s="146"/>
      <c r="AJ1426" s="146"/>
      <c r="AK1426" s="146"/>
      <c r="AL1426" s="146">
        <v>1572.3548625304909</v>
      </c>
      <c r="AM1426" s="146">
        <v>0.13351955453199649</v>
      </c>
      <c r="AN1426" s="146">
        <v>0.26643219319287825</v>
      </c>
      <c r="AO1426" s="146">
        <v>347.78188115267415</v>
      </c>
      <c r="AP1426" s="146">
        <v>313.16239449466553</v>
      </c>
      <c r="AQ1426" t="s">
        <v>327</v>
      </c>
      <c r="AR1426">
        <f t="shared" si="82"/>
        <v>14.644015877877388</v>
      </c>
      <c r="AS1426">
        <f t="shared" si="83"/>
        <v>3.9965468373646496</v>
      </c>
      <c r="AT1426">
        <v>0.3</v>
      </c>
      <c r="AU1426">
        <v>1</v>
      </c>
      <c r="AV1426">
        <v>0.4</v>
      </c>
      <c r="AW1426" s="146">
        <v>1</v>
      </c>
      <c r="AX1426" s="146">
        <v>0.55181531839526055</v>
      </c>
      <c r="AY1426">
        <v>0.27</v>
      </c>
      <c r="AZ1426" s="209">
        <v>313.16239449466553</v>
      </c>
      <c r="BA1426">
        <v>0.55181531839526055</v>
      </c>
      <c r="BB1426" s="249">
        <v>28.045990410769683</v>
      </c>
      <c r="BC1426" s="243">
        <v>131.67809869276672</v>
      </c>
      <c r="BD1426" s="209">
        <v>57596.126675280655</v>
      </c>
      <c r="BE1426" s="243">
        <v>33.197928831244511</v>
      </c>
      <c r="BF1426">
        <v>575401.44227068871</v>
      </c>
      <c r="BG1426" t="s">
        <v>389</v>
      </c>
      <c r="BH1426">
        <v>5.602621264460744E-6</v>
      </c>
      <c r="BI1426">
        <v>1775961.2667528065</v>
      </c>
      <c r="BJ1426">
        <f t="shared" si="84"/>
        <v>0.32399436465343701</v>
      </c>
    </row>
    <row r="1427" spans="1:62" x14ac:dyDescent="0.3">
      <c r="A1427">
        <v>-0.1</v>
      </c>
      <c r="B1427" s="146">
        <v>1000</v>
      </c>
      <c r="C1427" s="146">
        <v>25</v>
      </c>
      <c r="D1427" s="146">
        <v>400</v>
      </c>
      <c r="E1427" s="252">
        <v>12.733552847362358</v>
      </c>
      <c r="F1427" s="146">
        <v>1.8771907336076432</v>
      </c>
      <c r="G1427" s="146">
        <v>14.041628754587588</v>
      </c>
      <c r="H1427" s="146">
        <v>12.117698184704118</v>
      </c>
      <c r="I1427" s="146"/>
      <c r="J1427" s="146">
        <v>0.63103850704135611</v>
      </c>
      <c r="K1427" s="146">
        <v>0.27</v>
      </c>
      <c r="L1427" s="146">
        <v>82.437075988762302</v>
      </c>
      <c r="M1427" s="146">
        <v>35.916568376846648</v>
      </c>
      <c r="N1427" s="146">
        <v>2.3840390184673339</v>
      </c>
      <c r="O1427" s="146"/>
      <c r="P1427" s="146"/>
      <c r="Q1427" s="146"/>
      <c r="R1427" s="146"/>
      <c r="S1427" s="146"/>
      <c r="T1427" s="146"/>
      <c r="U1427" s="146"/>
      <c r="V1427" s="146"/>
      <c r="W1427" s="146"/>
      <c r="X1427" s="146"/>
      <c r="Y1427" s="146"/>
      <c r="Z1427" s="146">
        <v>0.19674025397634096</v>
      </c>
      <c r="AA1427" s="146"/>
      <c r="AB1427" s="146"/>
      <c r="AC1427" s="146"/>
      <c r="AD1427" s="146"/>
      <c r="AE1427" s="146"/>
      <c r="AF1427" s="146"/>
      <c r="AG1427" s="146"/>
      <c r="AH1427" s="146"/>
      <c r="AI1427" s="146"/>
      <c r="AJ1427" s="146"/>
      <c r="AK1427" s="146"/>
      <c r="AL1427" s="146">
        <v>1512.5801135800355</v>
      </c>
      <c r="AM1427" s="146">
        <v>0.13368753485911239</v>
      </c>
      <c r="AN1427" s="146">
        <v>0.26665024202945892</v>
      </c>
      <c r="AO1427" s="146">
        <v>352.24623555392992</v>
      </c>
      <c r="AP1427" s="146">
        <v>320.5606043463693</v>
      </c>
      <c r="AQ1427" t="s">
        <v>327</v>
      </c>
      <c r="AR1427">
        <f t="shared" si="82"/>
        <v>14.644015877877388</v>
      </c>
      <c r="AS1427">
        <f t="shared" si="83"/>
        <v>3.9965468373646496</v>
      </c>
      <c r="AT1427">
        <v>0.3</v>
      </c>
      <c r="AU1427">
        <v>1</v>
      </c>
      <c r="AV1427">
        <v>0.4</v>
      </c>
      <c r="AW1427" s="146">
        <v>0.8</v>
      </c>
      <c r="AX1427" s="146">
        <v>0.54683294143890904</v>
      </c>
      <c r="AY1427">
        <v>0.27</v>
      </c>
      <c r="AZ1427" s="209">
        <v>320.5606043463693</v>
      </c>
      <c r="BA1427">
        <v>0.54683294143890904</v>
      </c>
      <c r="BB1427" s="249">
        <v>25.768011107310677</v>
      </c>
      <c r="BC1427" s="243">
        <v>117.31173777910404</v>
      </c>
      <c r="BD1427" s="209">
        <v>50492.067504090868</v>
      </c>
      <c r="BE1427" s="243">
        <v>30.480478389459304</v>
      </c>
      <c r="BF1427">
        <v>606550.28254711081</v>
      </c>
      <c r="BG1427" t="s">
        <v>389</v>
      </c>
      <c r="BH1427">
        <v>5.1863951904601275E-6</v>
      </c>
      <c r="BI1427">
        <v>1704920.6750409086</v>
      </c>
      <c r="BJ1427">
        <f t="shared" si="84"/>
        <v>0.35576451821288224</v>
      </c>
    </row>
    <row r="1428" spans="1:62" x14ac:dyDescent="0.3">
      <c r="A1428">
        <v>-0.1</v>
      </c>
      <c r="B1428" s="146">
        <v>1000</v>
      </c>
      <c r="C1428" s="146">
        <v>25</v>
      </c>
      <c r="D1428" s="146">
        <v>400</v>
      </c>
      <c r="E1428" s="252">
        <v>11.235096430734847</v>
      </c>
      <c r="F1428" s="146">
        <v>1.6693059139113364</v>
      </c>
      <c r="G1428" s="146">
        <v>12.388223810195143</v>
      </c>
      <c r="H1428" s="146">
        <v>10.676047867089091</v>
      </c>
      <c r="I1428" s="146"/>
      <c r="J1428" s="146">
        <v>0.63206912684410899</v>
      </c>
      <c r="K1428" s="146">
        <v>0.27</v>
      </c>
      <c r="L1428" s="146">
        <v>72.678442029202714</v>
      </c>
      <c r="M1428" s="146">
        <v>31.664881382017782</v>
      </c>
      <c r="N1428" s="146">
        <v>2.1598810441137708</v>
      </c>
      <c r="O1428" s="146"/>
      <c r="P1428" s="146"/>
      <c r="Q1428" s="146"/>
      <c r="R1428" s="146"/>
      <c r="S1428" s="146"/>
      <c r="T1428" s="146"/>
      <c r="U1428" s="146"/>
      <c r="V1428" s="146"/>
      <c r="W1428" s="146"/>
      <c r="X1428" s="146"/>
      <c r="Y1428" s="146"/>
      <c r="Z1428" s="146">
        <v>0.20231091795419981</v>
      </c>
      <c r="AA1428" s="146"/>
      <c r="AB1428" s="146"/>
      <c r="AC1428" s="146"/>
      <c r="AD1428" s="146"/>
      <c r="AE1428" s="146"/>
      <c r="AF1428" s="146"/>
      <c r="AG1428" s="146"/>
      <c r="AH1428" s="146"/>
      <c r="AI1428" s="146"/>
      <c r="AJ1428" s="146"/>
      <c r="AK1428" s="146"/>
      <c r="AL1428" s="146">
        <v>1409.8080092698531</v>
      </c>
      <c r="AM1428" s="146">
        <v>0.13474941520975323</v>
      </c>
      <c r="AN1428" s="146">
        <v>0.26638862534807173</v>
      </c>
      <c r="AO1428" s="146">
        <v>357.82441380124726</v>
      </c>
      <c r="AP1428" s="146">
        <v>329.86748721296738</v>
      </c>
      <c r="AQ1428" t="s">
        <v>327</v>
      </c>
      <c r="AR1428">
        <f t="shared" si="82"/>
        <v>14.644015877877388</v>
      </c>
      <c r="AS1428">
        <f t="shared" si="83"/>
        <v>3.9965468373646496</v>
      </c>
      <c r="AT1428">
        <v>0.3</v>
      </c>
      <c r="AU1428">
        <v>1</v>
      </c>
      <c r="AV1428">
        <v>0.4</v>
      </c>
      <c r="AW1428" s="146">
        <v>0.6</v>
      </c>
      <c r="AX1428" s="146">
        <v>0.54575523351991051</v>
      </c>
      <c r="AY1428">
        <v>0.27</v>
      </c>
      <c r="AZ1428" s="209">
        <v>329.86748721296738</v>
      </c>
      <c r="BA1428">
        <v>0.54575523351991051</v>
      </c>
      <c r="BB1428" s="249">
        <v>22.905719030080149</v>
      </c>
      <c r="BC1428" s="243">
        <v>100.39976344473594</v>
      </c>
      <c r="BD1428" s="209">
        <v>42259.581170859892</v>
      </c>
      <c r="BE1428" s="243">
        <v>26.99000555711466</v>
      </c>
      <c r="BF1428">
        <v>633285.89288518776</v>
      </c>
      <c r="BG1428" t="s">
        <v>389</v>
      </c>
      <c r="BH1428">
        <v>4.6493513608351928E-6</v>
      </c>
      <c r="BI1428">
        <v>1622595.8117085989</v>
      </c>
      <c r="BJ1428">
        <f t="shared" si="84"/>
        <v>0.39029183257803163</v>
      </c>
    </row>
    <row r="1429" spans="1:62" x14ac:dyDescent="0.3">
      <c r="A1429">
        <v>-0.1</v>
      </c>
      <c r="B1429" s="146">
        <v>1000</v>
      </c>
      <c r="C1429" s="146">
        <v>25</v>
      </c>
      <c r="D1429" s="146">
        <v>400</v>
      </c>
      <c r="E1429" s="252">
        <v>9.2772295990427818</v>
      </c>
      <c r="F1429" s="146">
        <v>1.3978117097500935</v>
      </c>
      <c r="G1429" s="146">
        <v>10.232455479923299</v>
      </c>
      <c r="H1429" s="146">
        <v>8.8123167001619951</v>
      </c>
      <c r="I1429" s="146"/>
      <c r="J1429" s="146">
        <v>0.63143035148221649</v>
      </c>
      <c r="K1429" s="146">
        <v>0.27</v>
      </c>
      <c r="L1429" s="146">
        <v>60.03972905347208</v>
      </c>
      <c r="M1429" s="146">
        <v>26.158388176823937</v>
      </c>
      <c r="N1429" s="146">
        <v>1.8776031644369606</v>
      </c>
      <c r="O1429" s="146"/>
      <c r="P1429" s="146"/>
      <c r="Q1429" s="146"/>
      <c r="R1429" s="146"/>
      <c r="S1429" s="146"/>
      <c r="T1429" s="146"/>
      <c r="U1429" s="146"/>
      <c r="V1429" s="146"/>
      <c r="W1429" s="146"/>
      <c r="X1429" s="146"/>
      <c r="Y1429" s="146"/>
      <c r="Z1429" s="146">
        <v>0.21306578375723209</v>
      </c>
      <c r="AA1429" s="146"/>
      <c r="AB1429" s="146"/>
      <c r="AC1429" s="146"/>
      <c r="AD1429" s="146"/>
      <c r="AE1429" s="146"/>
      <c r="AF1429" s="146"/>
      <c r="AG1429" s="146"/>
      <c r="AH1429" s="146"/>
      <c r="AI1429" s="146"/>
      <c r="AJ1429" s="146"/>
      <c r="AK1429" s="146"/>
      <c r="AL1429" s="146">
        <v>1280.9120130940971</v>
      </c>
      <c r="AM1429" s="146">
        <v>0.13660569669642689</v>
      </c>
      <c r="AN1429" s="146">
        <v>0.26655250834657562</v>
      </c>
      <c r="AO1429" s="146">
        <v>365.19548941186332</v>
      </c>
      <c r="AP1429" s="146">
        <v>342.11043087561796</v>
      </c>
      <c r="AQ1429" t="s">
        <v>327</v>
      </c>
      <c r="AR1429">
        <f t="shared" si="82"/>
        <v>14.644015877877388</v>
      </c>
      <c r="AS1429">
        <f t="shared" si="83"/>
        <v>3.9965468373646496</v>
      </c>
      <c r="AT1429">
        <v>0.3</v>
      </c>
      <c r="AU1429">
        <v>1</v>
      </c>
      <c r="AV1429">
        <v>0.4</v>
      </c>
      <c r="AW1429" s="146">
        <v>0.4</v>
      </c>
      <c r="AX1429" s="146">
        <v>0.54232674136875758</v>
      </c>
      <c r="AY1429">
        <v>0.27</v>
      </c>
      <c r="AZ1429" s="209">
        <v>342.11043087561796</v>
      </c>
      <c r="BA1429">
        <v>0.54232674136875758</v>
      </c>
      <c r="BB1429" s="249">
        <v>19.15566080349609</v>
      </c>
      <c r="BC1429" s="243">
        <v>80.105195917804153</v>
      </c>
      <c r="BD1429" s="209">
        <v>32636.087803335871</v>
      </c>
      <c r="BE1429" s="243">
        <v>22.422814484384077</v>
      </c>
      <c r="BF1429">
        <v>651822.78035059595</v>
      </c>
      <c r="BG1429" t="s">
        <v>389</v>
      </c>
      <c r="BH1429">
        <v>3.9195082886336974E-6</v>
      </c>
      <c r="BI1429">
        <v>1526360.8780333586</v>
      </c>
      <c r="BJ1429">
        <f t="shared" si="84"/>
        <v>0.42704368916375646</v>
      </c>
    </row>
    <row r="1430" spans="1:62" x14ac:dyDescent="0.3">
      <c r="A1430">
        <v>-0.1</v>
      </c>
      <c r="B1430" s="146">
        <v>1000</v>
      </c>
      <c r="C1430" s="146">
        <v>25</v>
      </c>
      <c r="D1430" s="146">
        <v>400</v>
      </c>
      <c r="E1430" s="252">
        <v>8.0508394831453565</v>
      </c>
      <c r="F1430" s="146">
        <v>1.2294385270804629</v>
      </c>
      <c r="G1430" s="146">
        <v>8.8850801847605414</v>
      </c>
      <c r="H1430" s="146">
        <v>7.6493391554545225</v>
      </c>
      <c r="I1430" s="146"/>
      <c r="J1430" s="146">
        <v>0.629853163516784</v>
      </c>
      <c r="K1430" s="146">
        <v>0.27</v>
      </c>
      <c r="L1430" s="146">
        <v>52.141173381190626</v>
      </c>
      <c r="M1430" s="146">
        <v>22.717108734543636</v>
      </c>
      <c r="N1430" s="146">
        <v>1.6978207039266691</v>
      </c>
      <c r="O1430" s="146"/>
      <c r="P1430" s="146"/>
      <c r="Q1430" s="146"/>
      <c r="R1430" s="146"/>
      <c r="S1430" s="146"/>
      <c r="T1430" s="146"/>
      <c r="U1430" s="146"/>
      <c r="V1430" s="146"/>
      <c r="W1430" s="146"/>
      <c r="X1430" s="146"/>
      <c r="Y1430" s="146"/>
      <c r="Z1430" s="146">
        <v>0.22195652061211094</v>
      </c>
      <c r="AA1430" s="146"/>
      <c r="AB1430" s="146"/>
      <c r="AC1430" s="146"/>
      <c r="AD1430" s="146"/>
      <c r="AE1430" s="146"/>
      <c r="AF1430" s="146"/>
      <c r="AG1430" s="146"/>
      <c r="AH1430" s="146"/>
      <c r="AI1430" s="146"/>
      <c r="AJ1430" s="146"/>
      <c r="AK1430" s="146"/>
      <c r="AL1430" s="146">
        <v>1198.6666946912537</v>
      </c>
      <c r="AM1430" s="146">
        <v>0.13837112344682762</v>
      </c>
      <c r="AN1430" s="146">
        <v>0.2664933125513812</v>
      </c>
      <c r="AO1430" s="146">
        <v>369.78971289723034</v>
      </c>
      <c r="AP1430" s="146">
        <v>349.75634272791916</v>
      </c>
      <c r="AQ1430" t="s">
        <v>327</v>
      </c>
      <c r="AR1430">
        <f t="shared" si="82"/>
        <v>14.644015877877388</v>
      </c>
      <c r="AS1430">
        <f t="shared" si="83"/>
        <v>3.9965468373646496</v>
      </c>
      <c r="AT1430">
        <v>0.3</v>
      </c>
      <c r="AU1430">
        <v>1</v>
      </c>
      <c r="AV1430">
        <v>0.4</v>
      </c>
      <c r="AW1430" s="146">
        <v>0.3</v>
      </c>
      <c r="AX1430" s="146">
        <v>0.53882920995220784</v>
      </c>
      <c r="AY1430">
        <v>0.27</v>
      </c>
      <c r="AZ1430" s="209">
        <v>349.75634272791916</v>
      </c>
      <c r="BA1430">
        <v>0.53882920995220784</v>
      </c>
      <c r="BB1430" s="249">
        <v>16.806207943793865</v>
      </c>
      <c r="BC1430" s="243">
        <v>68.195816727768701</v>
      </c>
      <c r="BD1430" s="209">
        <v>27182.979175488741</v>
      </c>
      <c r="BE1430" s="243">
        <v>19.612758502211996</v>
      </c>
      <c r="BF1430">
        <v>658594.73542472126</v>
      </c>
      <c r="BG1430" t="s">
        <v>389</v>
      </c>
      <c r="BH1430">
        <v>3.4347193596817149E-6</v>
      </c>
      <c r="BI1430">
        <v>1471829.7917548874</v>
      </c>
      <c r="BJ1430">
        <f t="shared" si="84"/>
        <v>0.44746664262004621</v>
      </c>
    </row>
    <row r="1431" spans="1:62" x14ac:dyDescent="0.3">
      <c r="A1431">
        <v>-0.1</v>
      </c>
      <c r="B1431" s="146">
        <v>1000</v>
      </c>
      <c r="C1431" s="146">
        <v>25</v>
      </c>
      <c r="D1431" s="146">
        <v>400</v>
      </c>
      <c r="E1431" s="252">
        <v>6.5142080258543134</v>
      </c>
      <c r="F1431" s="146">
        <v>1.0198231439666321</v>
      </c>
      <c r="G1431" s="146">
        <v>7.1994418513418035</v>
      </c>
      <c r="H1431" s="146">
        <v>6.2007197116279356</v>
      </c>
      <c r="I1431" s="146"/>
      <c r="J1431" s="146">
        <v>0.6292712133279349</v>
      </c>
      <c r="K1431" s="146">
        <v>0.27</v>
      </c>
      <c r="L1431" s="146">
        <v>42.290786443508736</v>
      </c>
      <c r="M1431" s="146">
        <v>18.425446375802562</v>
      </c>
      <c r="N1431" s="146">
        <v>1.4547681488585678</v>
      </c>
      <c r="O1431" s="146"/>
      <c r="P1431" s="146"/>
      <c r="Q1431" s="146"/>
      <c r="R1431" s="146"/>
      <c r="S1431" s="146"/>
      <c r="T1431" s="146"/>
      <c r="U1431" s="146"/>
      <c r="V1431" s="146"/>
      <c r="W1431" s="146"/>
      <c r="X1431" s="146"/>
      <c r="Y1431" s="146"/>
      <c r="Z1431" s="146">
        <v>0.2346127895654605</v>
      </c>
      <c r="AA1431" s="146"/>
      <c r="AB1431" s="146"/>
      <c r="AC1431" s="146"/>
      <c r="AD1431" s="146"/>
      <c r="AE1431" s="146"/>
      <c r="AF1431" s="146"/>
      <c r="AG1431" s="146"/>
      <c r="AH1431" s="146"/>
      <c r="AI1431" s="146"/>
      <c r="AJ1431" s="146"/>
      <c r="AK1431" s="146"/>
      <c r="AL1431" s="146">
        <v>1086.7166089176485</v>
      </c>
      <c r="AM1431" s="146">
        <v>0.14165308436744461</v>
      </c>
      <c r="AN1431" s="146">
        <v>0.26634515141026238</v>
      </c>
      <c r="AO1431" s="146">
        <v>375.54223160676122</v>
      </c>
      <c r="AP1431" s="146">
        <v>359.33253448836444</v>
      </c>
      <c r="AQ1431" t="s">
        <v>327</v>
      </c>
      <c r="AR1431">
        <f t="shared" si="82"/>
        <v>14.644015877877388</v>
      </c>
      <c r="AS1431">
        <f t="shared" si="83"/>
        <v>3.9965468373646496</v>
      </c>
      <c r="AT1431">
        <v>0.3</v>
      </c>
      <c r="AU1431">
        <v>1</v>
      </c>
      <c r="AV1431">
        <v>0.4</v>
      </c>
      <c r="AW1431" s="146">
        <v>0.2</v>
      </c>
      <c r="AX1431" s="146">
        <v>0.53537479182566972</v>
      </c>
      <c r="AY1431">
        <v>0.27</v>
      </c>
      <c r="AZ1431" s="209">
        <v>359.33253448836444</v>
      </c>
      <c r="BA1431">
        <v>0.53537479182566972</v>
      </c>
      <c r="BB1431" s="249">
        <v>13.849566322529771</v>
      </c>
      <c r="BC1431" s="243">
        <v>54.049629302515022</v>
      </c>
      <c r="BD1431" s="209">
        <v>20922.345009398519</v>
      </c>
      <c r="BE1431" s="243">
        <v>16.079272099154672</v>
      </c>
      <c r="BF1431">
        <v>653503.26484065049</v>
      </c>
      <c r="BG1431" t="s">
        <v>389</v>
      </c>
      <c r="BH1431">
        <v>2.8102096369038905E-6</v>
      </c>
      <c r="BI1431">
        <v>1409223.4500939851</v>
      </c>
      <c r="BJ1431">
        <f t="shared" si="84"/>
        <v>0.46373289118703392</v>
      </c>
    </row>
    <row r="1432" spans="1:62" s="140" customFormat="1" x14ac:dyDescent="0.3">
      <c r="A1432" s="140">
        <v>-0.1</v>
      </c>
      <c r="B1432" s="140">
        <v>1000</v>
      </c>
      <c r="C1432" s="140">
        <v>25</v>
      </c>
      <c r="D1432" s="140">
        <v>400</v>
      </c>
      <c r="E1432" s="253">
        <v>4.4273948094953006</v>
      </c>
      <c r="F1432" s="140">
        <v>0.73266128832237432</v>
      </c>
      <c r="G1432" s="140">
        <v>4.9117575797240125</v>
      </c>
      <c r="H1432" s="140">
        <v>4.2424857896311901</v>
      </c>
      <c r="J1432" s="140">
        <v>0.6311712612097542</v>
      </c>
      <c r="K1432" s="140">
        <v>0.27</v>
      </c>
      <c r="L1432" s="140">
        <v>28.955908459480899</v>
      </c>
      <c r="M1432" s="140">
        <v>12.615644764504127</v>
      </c>
      <c r="N1432" s="140">
        <v>1.0896037448985192</v>
      </c>
      <c r="Z1432" s="140">
        <v>0.25683144244385109</v>
      </c>
      <c r="AL1432" s="140">
        <v>917.14103767072265</v>
      </c>
      <c r="AM1432" s="140">
        <v>0.14916479008386688</v>
      </c>
      <c r="AN1432" s="140">
        <v>0.26600707580543004</v>
      </c>
      <c r="AO1432" s="140">
        <v>383.35610135147795</v>
      </c>
      <c r="AP1432" s="140">
        <v>372.33916522146319</v>
      </c>
      <c r="AQ1432" t="s">
        <v>327</v>
      </c>
      <c r="AR1432">
        <f t="shared" si="82"/>
        <v>14.644015877877388</v>
      </c>
      <c r="AS1432">
        <f t="shared" si="83"/>
        <v>3.9965468373646496</v>
      </c>
      <c r="AT1432">
        <v>0.3</v>
      </c>
      <c r="AU1432" s="140">
        <v>1</v>
      </c>
      <c r="AV1432">
        <v>0.4</v>
      </c>
      <c r="AW1432" s="140">
        <v>0.1</v>
      </c>
      <c r="AX1432" s="140">
        <v>0.53284119236092975</v>
      </c>
      <c r="AY1432">
        <v>0.27</v>
      </c>
      <c r="AZ1432" s="209">
        <v>372.33916522146319</v>
      </c>
      <c r="BA1432" s="140">
        <v>0.53284119236092975</v>
      </c>
      <c r="BB1432" s="253">
        <v>9.774877688200359</v>
      </c>
      <c r="BC1432" s="245">
        <v>35.964738572234978</v>
      </c>
      <c r="BD1432" s="210">
        <v>13334.706174679875</v>
      </c>
      <c r="BE1432" s="245">
        <v>11.248111854774844</v>
      </c>
      <c r="BF1432" s="140">
        <v>620304.22244787298</v>
      </c>
      <c r="BG1432" t="s">
        <v>389</v>
      </c>
      <c r="BH1432" s="140">
        <v>1.918044064036748E-6</v>
      </c>
      <c r="BI1432" s="140">
        <v>1333347.0617467987</v>
      </c>
      <c r="BJ1432">
        <f t="shared" si="84"/>
        <v>0.4652233767517524</v>
      </c>
    </row>
    <row r="1433" spans="1:62" x14ac:dyDescent="0.3">
      <c r="A1433">
        <v>-0.1</v>
      </c>
      <c r="B1433" s="146">
        <v>1000</v>
      </c>
      <c r="C1433" s="146">
        <v>25</v>
      </c>
      <c r="D1433" s="146">
        <v>400</v>
      </c>
      <c r="E1433" s="252">
        <v>19.016141377988031</v>
      </c>
      <c r="F1433" s="146">
        <v>2.8494014873575386</v>
      </c>
      <c r="G1433" s="146">
        <v>21.073576394226983</v>
      </c>
      <c r="H1433" s="146">
        <v>18.170110169864202</v>
      </c>
      <c r="I1433" s="146"/>
      <c r="J1433" s="146">
        <v>0.62744104311464866</v>
      </c>
      <c r="K1433" s="146">
        <v>0.27</v>
      </c>
      <c r="L1433" s="146">
        <v>123.20851216497638</v>
      </c>
      <c r="M1433" s="146">
        <v>53.680057167313365</v>
      </c>
      <c r="N1433" s="146">
        <v>3.1913967975920379</v>
      </c>
      <c r="O1433" s="146"/>
      <c r="P1433" s="146"/>
      <c r="Q1433" s="146"/>
      <c r="R1433" s="146"/>
      <c r="S1433" s="146"/>
      <c r="T1433" s="146"/>
      <c r="U1433" s="146"/>
      <c r="V1433" s="146"/>
      <c r="W1433" s="146"/>
      <c r="X1433" s="146"/>
      <c r="Y1433" s="146"/>
      <c r="Z1433" s="146">
        <v>0.17563992555670285</v>
      </c>
      <c r="AA1433" s="146"/>
      <c r="AB1433" s="146"/>
      <c r="AC1433" s="146"/>
      <c r="AD1433" s="146"/>
      <c r="AE1433" s="146"/>
      <c r="AF1433" s="146"/>
      <c r="AG1433" s="146"/>
      <c r="AH1433" s="146"/>
      <c r="AI1433" s="146"/>
      <c r="AJ1433" s="146"/>
      <c r="AK1433" s="146"/>
      <c r="AL1433" s="146">
        <v>1875.6557078852179</v>
      </c>
      <c r="AM1433" s="146">
        <v>0.13521205105641776</v>
      </c>
      <c r="AN1433" s="146">
        <v>0.26148486746142119</v>
      </c>
      <c r="AO1433" s="146">
        <v>327.27632171374648</v>
      </c>
      <c r="AP1433" s="146">
        <v>279.95730908919865</v>
      </c>
      <c r="AQ1433" t="s">
        <v>327</v>
      </c>
      <c r="AR1433">
        <f t="shared" si="82"/>
        <v>14.644015877877388</v>
      </c>
      <c r="AS1433">
        <f t="shared" si="83"/>
        <v>3.9965468373646496</v>
      </c>
      <c r="AT1433">
        <v>0.3</v>
      </c>
      <c r="AU1433">
        <v>1</v>
      </c>
      <c r="AV1433">
        <v>0.4</v>
      </c>
      <c r="AW1433" s="146">
        <v>3</v>
      </c>
      <c r="AX1433" s="146">
        <v>0.5478801774143901</v>
      </c>
      <c r="AY1433">
        <v>0.27</v>
      </c>
      <c r="AZ1433" s="209">
        <v>279.95730908919865</v>
      </c>
      <c r="BA1433">
        <v>0.5478801774143901</v>
      </c>
      <c r="BB1433" s="249">
        <v>38.344097624703807</v>
      </c>
      <c r="BC1433" s="243">
        <v>205.97398586755483</v>
      </c>
      <c r="BD1433" s="209">
        <v>96596.024750847719</v>
      </c>
      <c r="BE1433" s="243">
        <v>47.119723156517992</v>
      </c>
      <c r="BF1433">
        <v>333264.6068526638</v>
      </c>
      <c r="BG1433" t="s">
        <v>390</v>
      </c>
      <c r="BH1433">
        <v>7.3465870395288325E-6</v>
      </c>
      <c r="BI1433">
        <v>2165960.2475084774</v>
      </c>
      <c r="BJ1433">
        <f t="shared" si="84"/>
        <v>0.15386459988636492</v>
      </c>
    </row>
    <row r="1434" spans="1:62" s="140" customFormat="1" x14ac:dyDescent="0.3">
      <c r="A1434">
        <v>-0.2</v>
      </c>
      <c r="B1434" s="146">
        <v>1000</v>
      </c>
      <c r="C1434" s="146">
        <v>25</v>
      </c>
      <c r="D1434" s="146">
        <v>400</v>
      </c>
      <c r="E1434" s="252">
        <v>18.952934896962695</v>
      </c>
      <c r="F1434" s="146">
        <v>2.8878223515495023</v>
      </c>
      <c r="G1434" s="146">
        <v>21.030252603410172</v>
      </c>
      <c r="H1434" s="146">
        <v>18.186293393638447</v>
      </c>
      <c r="I1434" s="146"/>
      <c r="J1434" s="146">
        <v>0.63180110480212226</v>
      </c>
      <c r="K1434" s="146">
        <v>0.27</v>
      </c>
      <c r="L1434" s="146">
        <v>123.33575532077396</v>
      </c>
      <c r="M1434" s="146">
        <v>53.735495056768741</v>
      </c>
      <c r="N1434" s="146">
        <v>3.1423179674730122</v>
      </c>
      <c r="O1434" s="146"/>
      <c r="P1434" s="146"/>
      <c r="Q1434" s="146"/>
      <c r="R1434" s="146"/>
      <c r="S1434" s="146"/>
      <c r="T1434" s="146"/>
      <c r="U1434" s="146"/>
      <c r="V1434" s="146"/>
      <c r="W1434" s="146"/>
      <c r="X1434" s="146"/>
      <c r="Y1434" s="146"/>
      <c r="Z1434" s="146">
        <v>0.17278495949989417</v>
      </c>
      <c r="AA1434" s="146"/>
      <c r="AB1434" s="146"/>
      <c r="AC1434" s="146"/>
      <c r="AD1434" s="146"/>
      <c r="AE1434" s="146"/>
      <c r="AF1434" s="146"/>
      <c r="AG1434" s="146"/>
      <c r="AH1434" s="146"/>
      <c r="AI1434" s="146"/>
      <c r="AJ1434" s="146"/>
      <c r="AK1434" s="146"/>
      <c r="AL1434" s="146">
        <v>1842.5201441758597</v>
      </c>
      <c r="AM1434" s="146">
        <v>0.13731753041716796</v>
      </c>
      <c r="AN1434" s="146">
        <v>0.23261728486299585</v>
      </c>
      <c r="AO1434" s="146">
        <v>318.52310154799818</v>
      </c>
      <c r="AP1434" s="146">
        <v>271.36116043935203</v>
      </c>
      <c r="AQ1434" t="s">
        <v>327</v>
      </c>
      <c r="AR1434">
        <f t="shared" si="82"/>
        <v>14.644015877877388</v>
      </c>
      <c r="AS1434">
        <f t="shared" si="83"/>
        <v>3.9965468373646496</v>
      </c>
      <c r="AT1434">
        <v>0.3</v>
      </c>
      <c r="AU1434">
        <v>1</v>
      </c>
      <c r="AV1434">
        <v>0.4</v>
      </c>
      <c r="AW1434" s="146">
        <v>3</v>
      </c>
      <c r="AX1434" s="146">
        <v>0.55117058526567042</v>
      </c>
      <c r="AY1434">
        <v>0.27</v>
      </c>
      <c r="AZ1434" s="209">
        <v>271.36116043935203</v>
      </c>
      <c r="BA1434" s="140">
        <v>0.55117058526567042</v>
      </c>
      <c r="BB1434" s="253">
        <v>38.497674637657326</v>
      </c>
      <c r="BC1434" s="245">
        <v>206.31580633996023</v>
      </c>
      <c r="BD1434" s="210">
        <v>96691.580697678466</v>
      </c>
      <c r="BE1434" s="245">
        <v>47.046805929130493</v>
      </c>
      <c r="BF1434" s="140">
        <v>332159.77126918506</v>
      </c>
      <c r="BG1434" t="s">
        <v>390</v>
      </c>
      <c r="BH1434" s="140">
        <v>7.3219521839741533E-6</v>
      </c>
      <c r="BI1434" s="140">
        <v>2166915.806976785</v>
      </c>
      <c r="BJ1434">
        <f t="shared" si="84"/>
        <v>0.15328688368959026</v>
      </c>
    </row>
    <row r="1435" spans="1:62" x14ac:dyDescent="0.3">
      <c r="A1435">
        <v>-0.3</v>
      </c>
      <c r="B1435" s="146">
        <v>1000</v>
      </c>
      <c r="C1435" s="146">
        <v>25</v>
      </c>
      <c r="D1435" s="146">
        <v>400</v>
      </c>
      <c r="E1435" s="252">
        <v>18.868457329939034</v>
      </c>
      <c r="F1435" s="146">
        <v>2.9373113178542019</v>
      </c>
      <c r="G1435" s="146">
        <v>20.971302568833664</v>
      </c>
      <c r="H1435" s="146">
        <v>18.205972119350786</v>
      </c>
      <c r="I1435" s="146"/>
      <c r="J1435" s="146">
        <v>0.63745763054591698</v>
      </c>
      <c r="K1435" s="146">
        <v>0.27</v>
      </c>
      <c r="L1435" s="146">
        <v>123.4934109191224</v>
      </c>
      <c r="M1435" s="146">
        <v>53.804183180530508</v>
      </c>
      <c r="N1435" s="146">
        <v>3.0808454855644349</v>
      </c>
      <c r="O1435" s="146"/>
      <c r="P1435" s="146"/>
      <c r="Q1435" s="146"/>
      <c r="R1435" s="146"/>
      <c r="S1435" s="146"/>
      <c r="T1435" s="146"/>
      <c r="U1435" s="146"/>
      <c r="V1435" s="146"/>
      <c r="W1435" s="146"/>
      <c r="X1435" s="146"/>
      <c r="Y1435" s="146"/>
      <c r="Z1435" s="146">
        <v>0.16922169634050258</v>
      </c>
      <c r="AA1435" s="146"/>
      <c r="AB1435" s="146"/>
      <c r="AC1435" s="146"/>
      <c r="AD1435" s="146"/>
      <c r="AE1435" s="146"/>
      <c r="AF1435" s="146"/>
      <c r="AG1435" s="146"/>
      <c r="AH1435" s="146"/>
      <c r="AI1435" s="146"/>
      <c r="AJ1435" s="146"/>
      <c r="AK1435" s="146"/>
      <c r="AL1435" s="146">
        <v>1800.8741993446467</v>
      </c>
      <c r="AM1435" s="146">
        <v>0.14006337032299862</v>
      </c>
      <c r="AN1435" s="146">
        <v>0.20376985718327914</v>
      </c>
      <c r="AO1435" s="146">
        <v>307.40309881569993</v>
      </c>
      <c r="AP1435" s="146">
        <v>260.45145656243091</v>
      </c>
      <c r="AQ1435" t="s">
        <v>327</v>
      </c>
      <c r="AR1435">
        <f t="shared" si="82"/>
        <v>14.644015877877388</v>
      </c>
      <c r="AS1435">
        <f t="shared" si="83"/>
        <v>3.9965468373646496</v>
      </c>
      <c r="AT1435">
        <v>0.3</v>
      </c>
      <c r="AU1435">
        <v>1</v>
      </c>
      <c r="AV1435">
        <v>0.4</v>
      </c>
      <c r="AW1435" s="146">
        <v>3</v>
      </c>
      <c r="AX1435" s="146">
        <v>0.55547093156667615</v>
      </c>
      <c r="AY1435">
        <v>0.27</v>
      </c>
      <c r="AZ1435" s="209">
        <v>260.45145656243091</v>
      </c>
      <c r="BA1435">
        <v>0.55547093156667615</v>
      </c>
      <c r="BB1435" s="249">
        <v>38.690958944125839</v>
      </c>
      <c r="BC1435" s="243">
        <v>206.74008440507751</v>
      </c>
      <c r="BD1435" s="209">
        <v>96796.47045849284</v>
      </c>
      <c r="BE1435" s="243">
        <v>46.93574758193467</v>
      </c>
      <c r="BF1435">
        <v>330629.57779367239</v>
      </c>
      <c r="BG1435" t="s">
        <v>390</v>
      </c>
      <c r="BH1435">
        <v>7.2898768715476406E-6</v>
      </c>
      <c r="BI1435">
        <v>2167964.7045849282</v>
      </c>
      <c r="BJ1435">
        <f t="shared" si="84"/>
        <v>0.15250690064023606</v>
      </c>
    </row>
    <row r="1436" spans="1:62" x14ac:dyDescent="0.3">
      <c r="A1436">
        <v>-0.4</v>
      </c>
      <c r="B1436" s="146">
        <v>1000</v>
      </c>
      <c r="C1436" s="146">
        <v>25</v>
      </c>
      <c r="D1436" s="146">
        <v>400</v>
      </c>
      <c r="E1436" s="252">
        <v>18.751415856483771</v>
      </c>
      <c r="F1436" s="146">
        <v>3.0040546810773661</v>
      </c>
      <c r="G1436" s="146">
        <v>20.888600751508164</v>
      </c>
      <c r="H1436" s="146">
        <v>18.23219734676378</v>
      </c>
      <c r="I1436" s="146"/>
      <c r="J1436" s="146">
        <v>0.64551722707147829</v>
      </c>
      <c r="K1436" s="146">
        <v>0.27</v>
      </c>
      <c r="L1436" s="146">
        <v>123.70667677078515</v>
      </c>
      <c r="M1436" s="146">
        <v>53.89709983789394</v>
      </c>
      <c r="N1436" s="146">
        <v>2.9981751840612709</v>
      </c>
      <c r="O1436" s="146"/>
      <c r="P1436" s="146"/>
      <c r="Q1436" s="146"/>
      <c r="R1436" s="146"/>
      <c r="S1436" s="146"/>
      <c r="T1436" s="146"/>
      <c r="U1436" s="146"/>
      <c r="V1436" s="146"/>
      <c r="W1436" s="146"/>
      <c r="X1436" s="146"/>
      <c r="Y1436" s="146"/>
      <c r="Z1436" s="146">
        <v>0.16444398483836331</v>
      </c>
      <c r="AA1436" s="146"/>
      <c r="AB1436" s="146"/>
      <c r="AC1436" s="146"/>
      <c r="AD1436" s="146"/>
      <c r="AE1436" s="146"/>
      <c r="AF1436" s="146"/>
      <c r="AG1436" s="146"/>
      <c r="AH1436" s="146"/>
      <c r="AI1436" s="146"/>
      <c r="AJ1436" s="146"/>
      <c r="AK1436" s="146"/>
      <c r="AL1436" s="146">
        <v>1745.2392876401782</v>
      </c>
      <c r="AM1436" s="146">
        <v>0.14381311208030401</v>
      </c>
      <c r="AN1436" s="146">
        <v>0.17493957452379449</v>
      </c>
      <c r="AO1436" s="146">
        <v>292.81204148616877</v>
      </c>
      <c r="AP1436" s="146">
        <v>246.1516956095424</v>
      </c>
      <c r="AQ1436" t="s">
        <v>327</v>
      </c>
      <c r="AR1436">
        <f t="shared" si="82"/>
        <v>14.644015877877388</v>
      </c>
      <c r="AS1436">
        <f t="shared" si="83"/>
        <v>3.9965468373646496</v>
      </c>
      <c r="AT1436">
        <v>0.3</v>
      </c>
      <c r="AU1436">
        <v>1</v>
      </c>
      <c r="AV1436">
        <v>0.4</v>
      </c>
      <c r="AW1436" s="146">
        <v>3</v>
      </c>
      <c r="AX1436" s="146">
        <v>0.56171038957566222</v>
      </c>
      <c r="AY1436">
        <v>0.27</v>
      </c>
      <c r="AZ1436" s="209">
        <v>246.1516956095424</v>
      </c>
      <c r="BA1436">
        <v>0.56171038957566222</v>
      </c>
      <c r="BB1436" s="249">
        <v>38.942498394795471</v>
      </c>
      <c r="BC1436" s="243">
        <v>207.31536143954636</v>
      </c>
      <c r="BD1436" s="209">
        <v>96913.644087844601</v>
      </c>
      <c r="BE1436" s="243">
        <v>46.747660354738677</v>
      </c>
      <c r="BF1436">
        <v>328444.63478422881</v>
      </c>
      <c r="BG1436" t="s">
        <v>390</v>
      </c>
      <c r="BH1436">
        <v>7.2464616483570547E-6</v>
      </c>
      <c r="BI1436">
        <v>2169136.4408784462</v>
      </c>
      <c r="BJ1436">
        <f t="shared" si="84"/>
        <v>0.15141723157406223</v>
      </c>
    </row>
    <row r="1437" spans="1:62" x14ac:dyDescent="0.3">
      <c r="A1437">
        <v>-0.5</v>
      </c>
      <c r="B1437" s="146">
        <v>1000</v>
      </c>
      <c r="C1437" s="146">
        <v>25</v>
      </c>
      <c r="D1437" s="146">
        <v>400</v>
      </c>
      <c r="E1437" s="252">
        <v>18.618344298865843</v>
      </c>
      <c r="F1437" s="146">
        <v>3.1195545474860884</v>
      </c>
      <c r="G1437" s="146">
        <v>20.816206743134753</v>
      </c>
      <c r="H1437" s="146">
        <v>18.271668430214948</v>
      </c>
      <c r="I1437" s="146"/>
      <c r="J1437" s="146">
        <v>0.65403432885708868</v>
      </c>
      <c r="K1437" s="146">
        <v>0.27</v>
      </c>
      <c r="L1437" s="146">
        <v>124.03388132362413</v>
      </c>
      <c r="M1437" s="146">
        <v>54.039657838093497</v>
      </c>
      <c r="N1437" s="146">
        <v>2.8923036164803264</v>
      </c>
      <c r="O1437" s="146"/>
      <c r="P1437" s="146"/>
      <c r="Q1437" s="146"/>
      <c r="R1437" s="146"/>
      <c r="S1437" s="146"/>
      <c r="T1437" s="146"/>
      <c r="U1437" s="146"/>
      <c r="V1437" s="146"/>
      <c r="W1437" s="146"/>
      <c r="X1437" s="146"/>
      <c r="Y1437" s="146"/>
      <c r="Z1437" s="146">
        <v>0.15829444516941146</v>
      </c>
      <c r="AA1437" s="146"/>
      <c r="AB1437" s="146"/>
      <c r="AC1437" s="146"/>
      <c r="AD1437" s="146"/>
      <c r="AE1437" s="146"/>
      <c r="AF1437" s="146"/>
      <c r="AG1437" s="146"/>
      <c r="AH1437" s="146"/>
      <c r="AI1437" s="146"/>
      <c r="AJ1437" s="146"/>
      <c r="AK1437" s="146"/>
      <c r="AL1437" s="146">
        <v>1671.8255550369729</v>
      </c>
      <c r="AM1437" s="146">
        <v>0.14986181613107424</v>
      </c>
      <c r="AN1437" s="146">
        <v>0.14545902325156676</v>
      </c>
      <c r="AO1437" s="146">
        <v>272.00282331976058</v>
      </c>
      <c r="AP1437" s="146">
        <v>225.6737467968085</v>
      </c>
      <c r="AQ1437" t="s">
        <v>327</v>
      </c>
      <c r="AR1437">
        <f t="shared" si="82"/>
        <v>14.644015877877388</v>
      </c>
      <c r="AS1437">
        <f t="shared" si="83"/>
        <v>3.9965468373646496</v>
      </c>
      <c r="AT1437">
        <v>0.3</v>
      </c>
      <c r="AU1437">
        <v>1</v>
      </c>
      <c r="AV1437">
        <v>0.4</v>
      </c>
      <c r="AW1437" s="146">
        <v>3</v>
      </c>
      <c r="AX1437" s="146">
        <v>0.56764098754178771</v>
      </c>
      <c r="AY1437">
        <v>0.27</v>
      </c>
      <c r="AZ1437" s="209">
        <v>225.6737467968085</v>
      </c>
      <c r="BA1437">
        <v>0.56764098754178771</v>
      </c>
      <c r="BB1437" s="249">
        <v>39.483392054441779</v>
      </c>
      <c r="BC1437" s="243">
        <v>208.20100284126843</v>
      </c>
      <c r="BD1437" s="209">
        <v>97585.039558401419</v>
      </c>
      <c r="BE1437" s="243">
        <v>47.033065369077207</v>
      </c>
      <c r="BF1437">
        <v>327171.52999670175</v>
      </c>
      <c r="BG1437" t="s">
        <v>390</v>
      </c>
      <c r="BH1437">
        <v>7.1773481817383231E-6</v>
      </c>
      <c r="BI1437">
        <v>2175850.3955840142</v>
      </c>
      <c r="BJ1437">
        <f t="shared" si="84"/>
        <v>0.15036490130971827</v>
      </c>
    </row>
    <row r="1438" spans="1:62" x14ac:dyDescent="0.3">
      <c r="A1438">
        <v>-0.6</v>
      </c>
      <c r="B1438" s="146">
        <v>1000</v>
      </c>
      <c r="C1438" s="146">
        <v>25</v>
      </c>
      <c r="D1438" s="146">
        <v>400</v>
      </c>
      <c r="E1438" s="252">
        <v>18.475793195599607</v>
      </c>
      <c r="F1438" s="146">
        <v>3.352000912833542</v>
      </c>
      <c r="G1438" s="146">
        <v>20.79855944767457</v>
      </c>
      <c r="H1438" s="146">
        <v>18.3602882994029</v>
      </c>
      <c r="I1438" s="146"/>
      <c r="J1438" s="146">
        <v>0.66301462907945719</v>
      </c>
      <c r="K1438" s="146">
        <v>0.27</v>
      </c>
      <c r="L1438" s="146">
        <v>124.75562870833384</v>
      </c>
      <c r="M1438" s="146">
        <v>54.354112092842549</v>
      </c>
      <c r="N1438" s="146">
        <v>2.7400501276086722</v>
      </c>
      <c r="O1438" s="146"/>
      <c r="P1438" s="146"/>
      <c r="Q1438" s="146"/>
      <c r="R1438" s="146"/>
      <c r="S1438" s="146"/>
      <c r="T1438" s="146"/>
      <c r="U1438" s="146"/>
      <c r="V1438" s="146"/>
      <c r="W1438" s="146"/>
      <c r="X1438" s="146"/>
      <c r="Y1438" s="146"/>
      <c r="Z1438" s="146">
        <v>0.14923785960908806</v>
      </c>
      <c r="AA1438" s="146"/>
      <c r="AB1438" s="146"/>
      <c r="AC1438" s="146"/>
      <c r="AD1438" s="146"/>
      <c r="AE1438" s="146"/>
      <c r="AF1438" s="146"/>
      <c r="AG1438" s="146"/>
      <c r="AH1438" s="146"/>
      <c r="AI1438" s="146"/>
      <c r="AJ1438" s="146"/>
      <c r="AK1438" s="146"/>
      <c r="AL1438" s="146">
        <v>1563.4666446939414</v>
      </c>
      <c r="AM1438" s="146">
        <v>0.16116505190018438</v>
      </c>
      <c r="AN1438" s="146">
        <v>0.11505379965095086</v>
      </c>
      <c r="AO1438" s="146">
        <v>239.41605360578012</v>
      </c>
      <c r="AP1438" s="146">
        <v>193.44158088960469</v>
      </c>
      <c r="AQ1438" t="s">
        <v>327</v>
      </c>
      <c r="AR1438">
        <f t="shared" si="82"/>
        <v>14.644015877877388</v>
      </c>
      <c r="AS1438">
        <f t="shared" si="83"/>
        <v>3.9965468373646496</v>
      </c>
      <c r="AT1438">
        <v>0.3</v>
      </c>
      <c r="AU1438">
        <v>1</v>
      </c>
      <c r="AV1438">
        <v>0.4</v>
      </c>
      <c r="AW1438" s="146">
        <v>3</v>
      </c>
      <c r="AX1438" s="146">
        <v>0.57235453119933499</v>
      </c>
      <c r="AY1438">
        <v>0.27</v>
      </c>
      <c r="AZ1438" s="209">
        <v>193.44158088960469</v>
      </c>
      <c r="BA1438">
        <v>0.57235453119933499</v>
      </c>
      <c r="BB1438" s="249">
        <v>40.747664695849082</v>
      </c>
      <c r="BC1438" s="243">
        <v>210.16761378161425</v>
      </c>
      <c r="BD1438" s="209">
        <v>99332.071882163073</v>
      </c>
      <c r="BE1438" s="243">
        <v>48.538704481663288</v>
      </c>
      <c r="BF1438">
        <v>328041.88006044371</v>
      </c>
      <c r="BG1438" t="s">
        <v>390</v>
      </c>
      <c r="BH1438">
        <v>7.0669861102201964E-6</v>
      </c>
      <c r="BI1438">
        <v>2193320.7188216308</v>
      </c>
      <c r="BJ1438">
        <f t="shared" si="84"/>
        <v>0.1495640273879715</v>
      </c>
    </row>
    <row r="1439" spans="1:62" x14ac:dyDescent="0.3">
      <c r="A1439">
        <v>-0.7</v>
      </c>
      <c r="B1439" s="146">
        <v>1000</v>
      </c>
      <c r="C1439" s="146">
        <v>25</v>
      </c>
      <c r="D1439" s="146">
        <v>400</v>
      </c>
      <c r="E1439" s="252">
        <v>18.059522592018176</v>
      </c>
      <c r="F1439" s="146">
        <v>3.8439042480270222</v>
      </c>
      <c r="G1439" s="146">
        <v>20.639381070762369</v>
      </c>
      <c r="H1439" s="146">
        <v>18.414855303242735</v>
      </c>
      <c r="I1439" s="146"/>
      <c r="J1439" s="146">
        <v>0.695802247302715</v>
      </c>
      <c r="K1439" s="146">
        <v>0.27</v>
      </c>
      <c r="L1439" s="146">
        <v>125.48434049673013</v>
      </c>
      <c r="M1439" s="146">
        <v>54.671600631355446</v>
      </c>
      <c r="N1439" s="146">
        <v>2.3558652301105276</v>
      </c>
      <c r="O1439" s="146"/>
      <c r="P1439" s="146"/>
      <c r="Q1439" s="146"/>
      <c r="R1439" s="146"/>
      <c r="S1439" s="146"/>
      <c r="T1439" s="146"/>
      <c r="U1439" s="146"/>
      <c r="V1439" s="146"/>
      <c r="W1439" s="146"/>
      <c r="X1439" s="146"/>
      <c r="Y1439" s="146"/>
      <c r="Z1439" s="146">
        <v>0.12793286677064877</v>
      </c>
      <c r="AA1439" s="146"/>
      <c r="AB1439" s="146"/>
      <c r="AC1439" s="146"/>
      <c r="AD1439" s="146"/>
      <c r="AE1439" s="146"/>
      <c r="AF1439" s="146"/>
      <c r="AG1439" s="146"/>
      <c r="AH1439" s="146"/>
      <c r="AI1439" s="146"/>
      <c r="AJ1439" s="146"/>
      <c r="AK1439" s="146"/>
      <c r="AL1439" s="146">
        <v>1317.7134521258026</v>
      </c>
      <c r="AM1439" s="146">
        <v>0.18624125572603897</v>
      </c>
      <c r="AN1439" s="146">
        <v>8.3888286519222241E-2</v>
      </c>
      <c r="AO1439" s="146">
        <v>184.71937690752571</v>
      </c>
      <c r="AP1439" s="146">
        <v>139.78083707053779</v>
      </c>
      <c r="AQ1439" t="s">
        <v>327</v>
      </c>
      <c r="AR1439">
        <f t="shared" si="82"/>
        <v>14.644015877877388</v>
      </c>
      <c r="AS1439">
        <f t="shared" si="83"/>
        <v>3.9965468373646496</v>
      </c>
      <c r="AT1439">
        <v>0.3</v>
      </c>
      <c r="AU1439">
        <v>1</v>
      </c>
      <c r="AV1439">
        <v>0.4</v>
      </c>
      <c r="AW1439" s="146">
        <v>3</v>
      </c>
      <c r="AX1439" s="146">
        <v>0.59594173434687481</v>
      </c>
      <c r="AY1439">
        <v>0.27</v>
      </c>
      <c r="AZ1439" s="209">
        <v>139.78083707053779</v>
      </c>
      <c r="BA1439">
        <v>0.59594173434687481</v>
      </c>
      <c r="BB1439" s="249">
        <v>43.107513333734907</v>
      </c>
      <c r="BC1439" s="243">
        <v>212.17172196201417</v>
      </c>
      <c r="BD1439" s="209">
        <v>101819.35009343887</v>
      </c>
      <c r="BE1439" s="243">
        <v>50.990819930257686</v>
      </c>
      <c r="BF1439">
        <v>324488.35776019684</v>
      </c>
      <c r="BG1439" t="s">
        <v>390</v>
      </c>
      <c r="BH1439">
        <v>6.8429946359565853E-6</v>
      </c>
      <c r="BI1439">
        <v>2218193.5009343885</v>
      </c>
      <c r="BJ1439">
        <f t="shared" si="84"/>
        <v>0.14628496460002693</v>
      </c>
    </row>
    <row r="1440" spans="1:62" x14ac:dyDescent="0.3">
      <c r="A1440">
        <v>-0.8</v>
      </c>
      <c r="B1440" s="146">
        <v>1000</v>
      </c>
      <c r="C1440" s="146">
        <v>25</v>
      </c>
      <c r="D1440" s="146">
        <v>400</v>
      </c>
      <c r="E1440" s="252">
        <v>17.298080304000546</v>
      </c>
      <c r="F1440" s="146">
        <v>5.522468375884225</v>
      </c>
      <c r="G1440" s="146">
        <v>20.781896939713871</v>
      </c>
      <c r="H1440" s="146">
        <v>18.807350750101389</v>
      </c>
      <c r="I1440" s="146"/>
      <c r="J1440" s="146">
        <v>0.91596568608862217</v>
      </c>
      <c r="K1440" s="146">
        <v>0.27</v>
      </c>
      <c r="L1440" s="146">
        <v>132.67893707895641</v>
      </c>
      <c r="M1440" s="146">
        <v>57.806175905769393</v>
      </c>
      <c r="N1440" s="146">
        <v>1.3313247708040983</v>
      </c>
      <c r="O1440" s="146"/>
      <c r="P1440" s="146"/>
      <c r="Q1440" s="146"/>
      <c r="R1440" s="146"/>
      <c r="S1440" s="146"/>
      <c r="T1440" s="146"/>
      <c r="U1440" s="146"/>
      <c r="V1440" s="146"/>
      <c r="W1440" s="146"/>
      <c r="X1440" s="146"/>
      <c r="Y1440" s="146"/>
      <c r="Z1440" s="146">
        <v>7.0787469670438363E-2</v>
      </c>
      <c r="AA1440" s="146"/>
      <c r="AB1440" s="146"/>
      <c r="AC1440" s="146"/>
      <c r="AD1440" s="146"/>
      <c r="AE1440" s="146"/>
      <c r="AF1440" s="146"/>
      <c r="AG1440" s="146"/>
      <c r="AH1440" s="146"/>
      <c r="AI1440" s="146"/>
      <c r="AJ1440" s="146"/>
      <c r="AK1440" s="146"/>
      <c r="AL1440" s="146">
        <v>706.41659600889284</v>
      </c>
      <c r="AM1440" s="146">
        <v>0.26573456657514632</v>
      </c>
      <c r="AN1440" s="146">
        <v>5.4705790696759196E-2</v>
      </c>
      <c r="AO1440" s="146">
        <v>83.798002301330484</v>
      </c>
      <c r="AP1440" s="146">
        <v>40.754210606844254</v>
      </c>
      <c r="AQ1440" t="s">
        <v>327</v>
      </c>
      <c r="AR1440">
        <f t="shared" si="82"/>
        <v>14.644015877877388</v>
      </c>
      <c r="AS1440">
        <f t="shared" si="83"/>
        <v>3.9965468373646496</v>
      </c>
      <c r="AT1440">
        <v>0.3</v>
      </c>
      <c r="AU1440">
        <v>1</v>
      </c>
      <c r="AV1440">
        <v>0.4</v>
      </c>
      <c r="AW1440" s="146">
        <v>3</v>
      </c>
      <c r="AX1440" s="146">
        <v>0.87912352567065799</v>
      </c>
      <c r="AY1440">
        <v>0.27</v>
      </c>
      <c r="AZ1440" s="209">
        <v>40.754210606844254</v>
      </c>
      <c r="BA1440">
        <v>0.87912352567065799</v>
      </c>
      <c r="BB1440" s="249">
        <v>49.722769960227545</v>
      </c>
      <c r="BC1440" s="243">
        <v>233.03718922242504</v>
      </c>
      <c r="BD1440" s="209">
        <v>114165.19737476899</v>
      </c>
      <c r="BE1440" s="243">
        <v>55.995789886059733</v>
      </c>
      <c r="BF1440">
        <v>337725.65796327544</v>
      </c>
      <c r="BG1440" t="s">
        <v>390</v>
      </c>
      <c r="BH1440">
        <v>6.1971852246917696E-6</v>
      </c>
      <c r="BI1440">
        <v>2341651.9737476902</v>
      </c>
      <c r="BJ1440">
        <f t="shared" si="84"/>
        <v>0.14422538521929174</v>
      </c>
    </row>
    <row r="1441" spans="1:62" x14ac:dyDescent="0.3">
      <c r="A1441">
        <v>-0.85</v>
      </c>
      <c r="B1441" s="146">
        <v>1000</v>
      </c>
      <c r="C1441" s="146">
        <v>25</v>
      </c>
      <c r="D1441" s="146">
        <v>400</v>
      </c>
      <c r="E1441" s="252">
        <v>11.956154655888186</v>
      </c>
      <c r="F1441" s="146">
        <v>3.5473651343416659</v>
      </c>
      <c r="G1441" s="146">
        <v>14.15218119941443</v>
      </c>
      <c r="H1441" s="146">
        <v>12.796791295514844</v>
      </c>
      <c r="I1441" s="146"/>
      <c r="J1441" s="146">
        <v>0.80477386872941292</v>
      </c>
      <c r="K1441" s="146">
        <v>0.27</v>
      </c>
      <c r="L1441" s="146">
        <v>89.009707820010178</v>
      </c>
      <c r="M1441" s="146">
        <v>38.780163158095725</v>
      </c>
      <c r="N1441" s="146">
        <v>1.3012778429247955</v>
      </c>
      <c r="O1441" s="146"/>
      <c r="P1441" s="146"/>
      <c r="Q1441" s="146"/>
      <c r="R1441" s="146"/>
      <c r="S1441" s="146"/>
      <c r="T1441" s="146"/>
      <c r="U1441" s="146"/>
      <c r="V1441" s="146"/>
      <c r="W1441" s="146"/>
      <c r="X1441" s="146"/>
      <c r="Y1441" s="146"/>
      <c r="Z1441" s="146">
        <v>0.10168782258571969</v>
      </c>
      <c r="AA1441" s="146"/>
      <c r="AB1441" s="146"/>
      <c r="AC1441" s="146"/>
      <c r="AD1441" s="146"/>
      <c r="AE1441" s="146"/>
      <c r="AF1441" s="146"/>
      <c r="AG1441" s="146"/>
      <c r="AH1441" s="146"/>
      <c r="AI1441" s="146"/>
      <c r="AJ1441" s="146"/>
      <c r="AK1441" s="146"/>
      <c r="AL1441" s="146">
        <v>724.16941089602221</v>
      </c>
      <c r="AM1441" s="146">
        <v>0.2506585440333709</v>
      </c>
      <c r="AN1441" s="146">
        <v>4.029462755589773E-2</v>
      </c>
      <c r="AO1441" s="146">
        <v>103.28166852262615</v>
      </c>
      <c r="AP1441" s="146">
        <v>73.53048943362414</v>
      </c>
      <c r="AQ1441" t="s">
        <v>327</v>
      </c>
      <c r="AR1441">
        <f t="shared" si="82"/>
        <v>14.644015877877388</v>
      </c>
      <c r="AS1441">
        <f t="shared" si="83"/>
        <v>3.9965468373646496</v>
      </c>
      <c r="AT1441">
        <v>0.3</v>
      </c>
      <c r="AU1441">
        <v>1</v>
      </c>
      <c r="AV1441">
        <v>0.4</v>
      </c>
      <c r="AW1441" s="146">
        <v>3</v>
      </c>
      <c r="AX1441" s="146">
        <v>0.71459263218864477</v>
      </c>
      <c r="AY1441">
        <v>0.27</v>
      </c>
      <c r="AZ1441" s="209">
        <v>73.53048943362414</v>
      </c>
      <c r="BA1441">
        <v>0.71459263218864477</v>
      </c>
      <c r="BB1441" s="249">
        <v>34.769315204320598</v>
      </c>
      <c r="BC1441" s="243">
        <v>129.42880259002911</v>
      </c>
      <c r="BD1441" s="209">
        <v>60559.545534873352</v>
      </c>
      <c r="BE1441" s="243">
        <v>39.508787952135968</v>
      </c>
      <c r="BF1441">
        <v>677730.11993393011</v>
      </c>
      <c r="BG1441" t="s">
        <v>390</v>
      </c>
      <c r="BH1441">
        <v>4.4872148846588978E-6</v>
      </c>
      <c r="BI1441">
        <v>1805595.4553487336</v>
      </c>
      <c r="BJ1441">
        <f t="shared" si="84"/>
        <v>0.37534992565819952</v>
      </c>
    </row>
    <row r="1442" spans="1:62" s="261" customFormat="1" ht="15" thickBot="1" x14ac:dyDescent="0.35">
      <c r="A1442" s="256">
        <v>-0.87</v>
      </c>
      <c r="B1442" s="256">
        <v>1000</v>
      </c>
      <c r="C1442" s="256">
        <v>25</v>
      </c>
      <c r="D1442" s="256">
        <v>400</v>
      </c>
      <c r="E1442" s="260">
        <v>3.9572310330375098</v>
      </c>
      <c r="F1442" s="261">
        <v>0.79144145750119299</v>
      </c>
      <c r="G1442" s="261">
        <v>4.4636972319486636</v>
      </c>
      <c r="H1442" s="261">
        <v>3.923115114481353</v>
      </c>
      <c r="J1442" s="261">
        <v>0.64051644831083032</v>
      </c>
      <c r="K1442" s="261">
        <v>0.27</v>
      </c>
      <c r="L1442" s="261">
        <v>26.829019848758236</v>
      </c>
      <c r="M1442" s="261">
        <v>11.68899205028886</v>
      </c>
      <c r="N1442" s="261">
        <v>0.99599087581674972</v>
      </c>
      <c r="Z1442" s="261">
        <v>0.25387755565475489</v>
      </c>
      <c r="AL1442" s="261">
        <v>783.70089862044517</v>
      </c>
      <c r="AM1442" s="261">
        <v>0.17730625899904118</v>
      </c>
      <c r="AN1442" s="261">
        <v>3.7887261176141274E-2</v>
      </c>
      <c r="AO1442" s="261">
        <v>295.55246512435968</v>
      </c>
      <c r="AP1442" s="261">
        <v>285.70546071207053</v>
      </c>
      <c r="AQ1442" s="254" t="s">
        <v>327</v>
      </c>
      <c r="AR1442" s="254">
        <f t="shared" si="82"/>
        <v>14.644015877877388</v>
      </c>
      <c r="AS1442" s="254">
        <f t="shared" si="83"/>
        <v>3.9965468373646496</v>
      </c>
      <c r="AT1442" s="254">
        <v>0.3</v>
      </c>
      <c r="AU1442" s="261">
        <v>1</v>
      </c>
      <c r="AV1442" s="254">
        <v>0.4</v>
      </c>
      <c r="AW1442" s="256">
        <v>3</v>
      </c>
      <c r="AX1442" s="256">
        <v>0.53287220924345902</v>
      </c>
      <c r="AY1442" s="254">
        <v>0.27</v>
      </c>
      <c r="AZ1442" s="258">
        <v>285.70546071207053</v>
      </c>
      <c r="BA1442" s="261">
        <v>0.53287220924345902</v>
      </c>
      <c r="BB1442" s="260">
        <v>9.7281919106270589</v>
      </c>
      <c r="BC1442" s="262">
        <v>33.180138787462056</v>
      </c>
      <c r="BD1442" s="263">
        <v>12506.885877612076</v>
      </c>
      <c r="BE1442" s="262">
        <v>11.118049276760866</v>
      </c>
      <c r="BF1442" s="261">
        <v>877960.16761833569</v>
      </c>
      <c r="BG1442" s="254" t="s">
        <v>390</v>
      </c>
      <c r="BH1442" s="261">
        <v>1.4102903074113937E-6</v>
      </c>
      <c r="BI1442" s="261">
        <v>1325068.8587761207</v>
      </c>
      <c r="BJ1442">
        <f t="shared" si="84"/>
        <v>0.6625770138687358</v>
      </c>
    </row>
    <row r="1443" spans="1:62" x14ac:dyDescent="0.3">
      <c r="A1443">
        <v>-0.1</v>
      </c>
      <c r="B1443" s="146">
        <v>100</v>
      </c>
      <c r="C1443" s="146">
        <v>25</v>
      </c>
      <c r="D1443" s="146">
        <v>400</v>
      </c>
      <c r="E1443" s="249">
        <v>3.2521543558438477</v>
      </c>
      <c r="F1443">
        <v>0.8915098721491671</v>
      </c>
      <c r="G1443">
        <v>3.9209881448619086</v>
      </c>
      <c r="H1443">
        <v>0.89089712362086937</v>
      </c>
      <c r="J1443">
        <v>0.14515142263826464</v>
      </c>
      <c r="K1443">
        <v>0.08</v>
      </c>
      <c r="L1443">
        <v>17.92172687798654</v>
      </c>
      <c r="M1443">
        <v>10.010773869175043</v>
      </c>
      <c r="N1443">
        <v>0.32017891180809954</v>
      </c>
      <c r="Z1443">
        <v>0.35938932040413124</v>
      </c>
      <c r="AL1443">
        <v>536.35459302182983</v>
      </c>
      <c r="AM1443">
        <v>0.22736867320484203</v>
      </c>
      <c r="AN1443">
        <v>0.20790724563009205</v>
      </c>
      <c r="AO1443">
        <v>384.35766706452324</v>
      </c>
      <c r="AP1443">
        <v>376.26513711777994</v>
      </c>
      <c r="AQ1443" t="s">
        <v>382</v>
      </c>
      <c r="AR1443">
        <f t="shared" ref="AR1443:AR1482" si="85">0.15*Jsat_t</f>
        <v>4.8813386259591285</v>
      </c>
      <c r="AS1443">
        <f t="shared" ref="AS1443:AS1482" si="86">0.05*Jatp</f>
        <v>1.3321822791215501</v>
      </c>
      <c r="AT1443">
        <v>0.1</v>
      </c>
      <c r="AU1443">
        <v>0</v>
      </c>
      <c r="AV1443">
        <v>0.2</v>
      </c>
      <c r="AW1443">
        <v>3</v>
      </c>
      <c r="AX1443">
        <v>8.2945159444337474E-2</v>
      </c>
      <c r="AY1443">
        <v>0.08</v>
      </c>
      <c r="AZ1443" s="209">
        <v>376.26513711777994</v>
      </c>
      <c r="BA1443">
        <v>8.2945159444337474E-2</v>
      </c>
      <c r="BB1443" s="249">
        <v>10.114251729338401</v>
      </c>
      <c r="BC1443" s="243">
        <v>69.866603943719923</v>
      </c>
      <c r="BD1443" s="209">
        <v>26062.986490746283</v>
      </c>
      <c r="BE1443" s="243">
        <v>19.364937233671061</v>
      </c>
      <c r="BF1443">
        <v>18650.733263777569</v>
      </c>
      <c r="BG1443" t="s">
        <v>387</v>
      </c>
      <c r="BH1443">
        <v>1.992586507475637E-6</v>
      </c>
      <c r="BI1443">
        <v>1460629.8649074628</v>
      </c>
      <c r="BJ1443">
        <f t="shared" si="84"/>
        <v>1.2768966123364301E-2</v>
      </c>
    </row>
    <row r="1444" spans="1:62" x14ac:dyDescent="0.3">
      <c r="A1444">
        <v>-0.1</v>
      </c>
      <c r="B1444" s="146">
        <v>200</v>
      </c>
      <c r="C1444" s="146">
        <v>25</v>
      </c>
      <c r="D1444" s="146">
        <v>400</v>
      </c>
      <c r="E1444" s="252">
        <v>5.9361381897308165</v>
      </c>
      <c r="F1444" s="146">
        <v>1.6466826253305218</v>
      </c>
      <c r="G1444" s="146">
        <v>7.0898895748759152</v>
      </c>
      <c r="H1444" s="146">
        <v>1.6459502927726946</v>
      </c>
      <c r="I1444" s="146"/>
      <c r="J1444" s="146">
        <v>0.14236303188617355</v>
      </c>
      <c r="K1444" s="146">
        <v>0.08</v>
      </c>
      <c r="L1444" s="146">
        <v>33.172714148694183</v>
      </c>
      <c r="M1444" s="146">
        <v>18.529717712485855</v>
      </c>
      <c r="N1444" s="146">
        <v>0.51714733614462638</v>
      </c>
      <c r="O1444" s="146"/>
      <c r="P1444" s="146"/>
      <c r="Q1444" s="146"/>
      <c r="R1444" s="146"/>
      <c r="S1444" s="146"/>
      <c r="T1444" s="146"/>
      <c r="U1444" s="146"/>
      <c r="V1444" s="146"/>
      <c r="W1444" s="146"/>
      <c r="X1444" s="146"/>
      <c r="Y1444" s="146"/>
      <c r="Z1444" s="146">
        <v>0.31419377511909125</v>
      </c>
      <c r="AA1444" s="146"/>
      <c r="AB1444" s="146"/>
      <c r="AC1444" s="146"/>
      <c r="AD1444" s="146"/>
      <c r="AE1444" s="146"/>
      <c r="AF1444" s="146"/>
      <c r="AG1444" s="146"/>
      <c r="AH1444" s="146"/>
      <c r="AI1444" s="146"/>
      <c r="AJ1444" s="146"/>
      <c r="AK1444" s="146"/>
      <c r="AL1444" s="146">
        <v>618.21121740147362</v>
      </c>
      <c r="AM1444" s="146">
        <v>0.23225786635179596</v>
      </c>
      <c r="AN1444" s="146">
        <v>0.23195992857922521</v>
      </c>
      <c r="AO1444" s="146">
        <v>374.40877730006997</v>
      </c>
      <c r="AP1444" s="146">
        <v>359.63754932916049</v>
      </c>
      <c r="AQ1444" t="s">
        <v>382</v>
      </c>
      <c r="AR1444">
        <f t="shared" si="85"/>
        <v>4.8813386259591285</v>
      </c>
      <c r="AS1444">
        <f t="shared" si="86"/>
        <v>1.3321822791215501</v>
      </c>
      <c r="AT1444">
        <v>0.1</v>
      </c>
      <c r="AU1444">
        <v>0</v>
      </c>
      <c r="AV1444">
        <v>0.2</v>
      </c>
      <c r="AW1444">
        <v>3</v>
      </c>
      <c r="AX1444">
        <v>8.3717946534625623E-2</v>
      </c>
      <c r="AY1444">
        <v>0.08</v>
      </c>
      <c r="AZ1444" s="209">
        <v>359.63754932916049</v>
      </c>
      <c r="BA1444">
        <v>8.3717946534625623E-2</v>
      </c>
      <c r="BB1444" s="249">
        <v>18.510135369244708</v>
      </c>
      <c r="BC1444" s="243">
        <v>101.66095283066385</v>
      </c>
      <c r="BD1444" s="209">
        <v>42238.397423597271</v>
      </c>
      <c r="BE1444" s="243">
        <v>30.503076161271366</v>
      </c>
      <c r="BF1444">
        <v>51469.276256106416</v>
      </c>
      <c r="BG1444" t="s">
        <v>387</v>
      </c>
      <c r="BH1444">
        <v>3.3320415289730976E-6</v>
      </c>
      <c r="BI1444">
        <v>1622383.9742359729</v>
      </c>
      <c r="BJ1444">
        <f t="shared" si="84"/>
        <v>3.1724472796487511E-2</v>
      </c>
    </row>
    <row r="1445" spans="1:62" x14ac:dyDescent="0.3">
      <c r="A1445">
        <v>-0.1</v>
      </c>
      <c r="B1445" s="146">
        <v>300</v>
      </c>
      <c r="C1445" s="146">
        <v>25</v>
      </c>
      <c r="D1445" s="146">
        <v>400</v>
      </c>
      <c r="E1445" s="252">
        <v>8.2116518712299253</v>
      </c>
      <c r="F1445" s="146">
        <v>2.3240480665119696</v>
      </c>
      <c r="G1445" s="146">
        <v>9.7839205840678893</v>
      </c>
      <c r="H1445" s="146">
        <v>2.3104685524818174</v>
      </c>
      <c r="I1445" s="146"/>
      <c r="J1445" s="146">
        <v>0.14102026525046557</v>
      </c>
      <c r="K1445" s="146">
        <v>0.08</v>
      </c>
      <c r="L1445" s="146">
        <v>46.630409824496553</v>
      </c>
      <c r="M1445" s="146">
        <v>26.046959166271918</v>
      </c>
      <c r="N1445" s="146">
        <v>0.66136278682363336</v>
      </c>
      <c r="O1445" s="146"/>
      <c r="P1445" s="146"/>
      <c r="Q1445" s="146"/>
      <c r="R1445" s="146"/>
      <c r="S1445" s="146"/>
      <c r="T1445" s="146"/>
      <c r="U1445" s="146"/>
      <c r="V1445" s="146"/>
      <c r="W1445" s="146"/>
      <c r="X1445" s="146"/>
      <c r="Y1445" s="146"/>
      <c r="Z1445" s="146">
        <v>0.28624617552713394</v>
      </c>
      <c r="AA1445" s="146"/>
      <c r="AB1445" s="146"/>
      <c r="AC1445" s="146"/>
      <c r="AD1445" s="146"/>
      <c r="AE1445" s="146"/>
      <c r="AF1445" s="146"/>
      <c r="AG1445" s="146"/>
      <c r="AH1445" s="146"/>
      <c r="AI1445" s="146"/>
      <c r="AJ1445" s="146"/>
      <c r="AK1445" s="146"/>
      <c r="AL1445" s="146">
        <v>676.75455111319866</v>
      </c>
      <c r="AM1445" s="146">
        <v>0.23753750314535907</v>
      </c>
      <c r="AN1445" s="146">
        <v>0.24517280011791551</v>
      </c>
      <c r="AO1445" s="146">
        <v>366.50667664895718</v>
      </c>
      <c r="AP1445" s="146">
        <v>346.07315770138206</v>
      </c>
      <c r="AQ1445" t="s">
        <v>382</v>
      </c>
      <c r="AR1445">
        <f t="shared" si="85"/>
        <v>4.8813386259591285</v>
      </c>
      <c r="AS1445">
        <f t="shared" si="86"/>
        <v>1.3321822791215501</v>
      </c>
      <c r="AT1445">
        <v>0.1</v>
      </c>
      <c r="AU1445">
        <v>0</v>
      </c>
      <c r="AV1445">
        <v>0.2</v>
      </c>
      <c r="AW1445">
        <v>3</v>
      </c>
      <c r="AX1445">
        <v>8.4797619592510295E-2</v>
      </c>
      <c r="AY1445">
        <v>0.08</v>
      </c>
      <c r="AZ1445" s="209">
        <v>346.07315770138206</v>
      </c>
      <c r="BA1445">
        <v>8.4797619592510295E-2</v>
      </c>
      <c r="BB1445" s="249">
        <v>25.87961399481626</v>
      </c>
      <c r="BC1445" s="243">
        <v>124.52696915437291</v>
      </c>
      <c r="BD1445" s="209">
        <v>55467.67480956595</v>
      </c>
      <c r="BE1445" s="243">
        <v>39.570902678418577</v>
      </c>
      <c r="BF1445">
        <v>88765.660594947927</v>
      </c>
      <c r="BG1445" t="s">
        <v>387</v>
      </c>
      <c r="BH1445">
        <v>4.2320494406380234E-6</v>
      </c>
      <c r="BI1445">
        <v>1754676.7480956595</v>
      </c>
      <c r="BJ1445">
        <f t="shared" si="84"/>
        <v>5.0588041752581941E-2</v>
      </c>
    </row>
    <row r="1446" spans="1:62" x14ac:dyDescent="0.3">
      <c r="A1446">
        <v>-0.1</v>
      </c>
      <c r="B1446" s="146">
        <v>400</v>
      </c>
      <c r="C1446" s="146">
        <v>25</v>
      </c>
      <c r="D1446" s="146">
        <v>400</v>
      </c>
      <c r="E1446" s="252">
        <v>10.175420502495385</v>
      </c>
      <c r="F1446" s="146">
        <v>2.9426102465306965</v>
      </c>
      <c r="G1446" s="146">
        <v>12.122024786499916</v>
      </c>
      <c r="H1446" s="146">
        <v>2.9042095206312748</v>
      </c>
      <c r="I1446" s="146"/>
      <c r="J1446" s="146">
        <v>0.14008356683179296</v>
      </c>
      <c r="K1446" s="146">
        <v>0.08</v>
      </c>
      <c r="L1446" s="146">
        <v>58.679643383752101</v>
      </c>
      <c r="M1446" s="146">
        <v>32.777457475937823</v>
      </c>
      <c r="N1446" s="146">
        <v>0.77549271016201349</v>
      </c>
      <c r="O1446" s="146"/>
      <c r="P1446" s="146"/>
      <c r="Q1446" s="146"/>
      <c r="R1446" s="146"/>
      <c r="S1446" s="146"/>
      <c r="T1446" s="146"/>
      <c r="U1446" s="146"/>
      <c r="V1446" s="146"/>
      <c r="W1446" s="146"/>
      <c r="X1446" s="146"/>
      <c r="Y1446" s="146"/>
      <c r="Z1446" s="146">
        <v>0.26702367878521666</v>
      </c>
      <c r="AA1446" s="146"/>
      <c r="AB1446" s="146"/>
      <c r="AC1446" s="146"/>
      <c r="AD1446" s="146"/>
      <c r="AE1446" s="146"/>
      <c r="AF1446" s="146"/>
      <c r="AG1446" s="146"/>
      <c r="AH1446" s="146"/>
      <c r="AI1446" s="146"/>
      <c r="AJ1446" s="146"/>
      <c r="AK1446" s="146"/>
      <c r="AL1446" s="146">
        <v>722.3541149440473</v>
      </c>
      <c r="AM1446" s="146">
        <v>0.2427490702549816</v>
      </c>
      <c r="AN1446" s="146">
        <v>0.25392787140093698</v>
      </c>
      <c r="AO1446" s="146">
        <v>359.92791005431224</v>
      </c>
      <c r="AP1446" s="146">
        <v>334.60775986304037</v>
      </c>
      <c r="AQ1446" t="s">
        <v>382</v>
      </c>
      <c r="AR1446">
        <f t="shared" si="85"/>
        <v>4.8813386259591285</v>
      </c>
      <c r="AS1446">
        <f t="shared" si="86"/>
        <v>1.3321822791215501</v>
      </c>
      <c r="AT1446">
        <v>0.1</v>
      </c>
      <c r="AU1446">
        <v>0</v>
      </c>
      <c r="AV1446">
        <v>0.2</v>
      </c>
      <c r="AW1446">
        <v>3</v>
      </c>
      <c r="AX1446">
        <v>8.562871719133551E-2</v>
      </c>
      <c r="AY1446">
        <v>0.08</v>
      </c>
      <c r="AZ1446" s="209">
        <v>334.60775986304037</v>
      </c>
      <c r="BA1446">
        <v>8.562871719133551E-2</v>
      </c>
      <c r="BB1446" s="249">
        <v>32.47806844585476</v>
      </c>
      <c r="BC1446" s="243">
        <v>142.71672768363757</v>
      </c>
      <c r="BD1446" s="209">
        <v>66881.95613229525</v>
      </c>
      <c r="BE1446" s="243">
        <v>47.402936612035816</v>
      </c>
      <c r="BF1446">
        <v>127617.04143710037</v>
      </c>
      <c r="BG1446" t="s">
        <v>387</v>
      </c>
      <c r="BH1446">
        <v>4.8669607385343412E-6</v>
      </c>
      <c r="BI1446">
        <v>1868819.5613229526</v>
      </c>
      <c r="BJ1446">
        <f t="shared" si="84"/>
        <v>6.8287513721634649E-2</v>
      </c>
    </row>
    <row r="1447" spans="1:62" x14ac:dyDescent="0.3">
      <c r="A1447">
        <v>-0.1</v>
      </c>
      <c r="B1447" s="146">
        <v>600</v>
      </c>
      <c r="C1447" s="146">
        <v>25</v>
      </c>
      <c r="D1447" s="146">
        <v>400</v>
      </c>
      <c r="E1447" s="252">
        <v>13.386452694673856</v>
      </c>
      <c r="F1447" s="146">
        <v>4.0334693260548296</v>
      </c>
      <c r="G1447" s="146">
        <v>15.980452257996836</v>
      </c>
      <c r="H1447" s="146">
        <v>3.920995217169569</v>
      </c>
      <c r="I1447" s="146"/>
      <c r="J1447" s="146">
        <v>0.13886150872185241</v>
      </c>
      <c r="K1447" s="146">
        <v>0.08</v>
      </c>
      <c r="L1447" s="146">
        <v>79.366516132209938</v>
      </c>
      <c r="M1447" s="146">
        <v>44.332795114722174</v>
      </c>
      <c r="N1447" s="146">
        <v>0.94764156293348911</v>
      </c>
      <c r="O1447" s="146"/>
      <c r="P1447" s="146"/>
      <c r="Q1447" s="146"/>
      <c r="R1447" s="146"/>
      <c r="S1447" s="146"/>
      <c r="T1447" s="146"/>
      <c r="U1447" s="146"/>
      <c r="V1447" s="146"/>
      <c r="W1447" s="146"/>
      <c r="X1447" s="146"/>
      <c r="Y1447" s="146"/>
      <c r="Z1447" s="146">
        <v>0.24168393748196379</v>
      </c>
      <c r="AA1447" s="146"/>
      <c r="AB1447" s="146"/>
      <c r="AC1447" s="146"/>
      <c r="AD1447" s="146"/>
      <c r="AE1447" s="146"/>
      <c r="AF1447" s="146"/>
      <c r="AG1447" s="146"/>
      <c r="AH1447" s="146"/>
      <c r="AI1447" s="146"/>
      <c r="AJ1447" s="146"/>
      <c r="AK1447" s="146"/>
      <c r="AL1447" s="146">
        <v>790.06426489481873</v>
      </c>
      <c r="AM1447" s="146">
        <v>0.252400198751348</v>
      </c>
      <c r="AN1447" s="146">
        <v>0.26536075829938882</v>
      </c>
      <c r="AO1447" s="146">
        <v>349.55375926544946</v>
      </c>
      <c r="AP1447" s="146">
        <v>316.24348342807366</v>
      </c>
      <c r="AQ1447" t="s">
        <v>382</v>
      </c>
      <c r="AR1447">
        <f t="shared" si="85"/>
        <v>4.8813386259591285</v>
      </c>
      <c r="AS1447">
        <f t="shared" si="86"/>
        <v>1.3321822791215501</v>
      </c>
      <c r="AT1447">
        <v>0.1</v>
      </c>
      <c r="AU1447">
        <v>0</v>
      </c>
      <c r="AV1447">
        <v>0.2</v>
      </c>
      <c r="AW1447">
        <v>3</v>
      </c>
      <c r="AX1447">
        <v>8.6788483171278269E-2</v>
      </c>
      <c r="AY1447">
        <v>0.08</v>
      </c>
      <c r="AZ1447" s="209">
        <v>316.24348342807366</v>
      </c>
      <c r="BA1447">
        <v>8.6788483171278269E-2</v>
      </c>
      <c r="BB1447" s="249">
        <v>43.831299728554626</v>
      </c>
      <c r="BC1447" s="243">
        <v>170.46973247948534</v>
      </c>
      <c r="BD1447" s="209">
        <v>85738.670190716643</v>
      </c>
      <c r="BE1447" s="243">
        <v>60.436227638740355</v>
      </c>
      <c r="BF1447">
        <v>204572.70631105825</v>
      </c>
      <c r="BG1447" t="s">
        <v>387</v>
      </c>
      <c r="BH1447">
        <v>5.6758726542304229E-6</v>
      </c>
      <c r="BI1447">
        <v>2057386.7019071663</v>
      </c>
      <c r="BJ1447">
        <f t="shared" si="84"/>
        <v>9.943327917956428E-2</v>
      </c>
    </row>
    <row r="1448" spans="1:62" x14ac:dyDescent="0.3">
      <c r="A1448">
        <v>-0.1</v>
      </c>
      <c r="B1448" s="146">
        <v>800</v>
      </c>
      <c r="C1448" s="146">
        <v>25</v>
      </c>
      <c r="D1448" s="146">
        <v>400</v>
      </c>
      <c r="E1448" s="252">
        <v>15.863939200635659</v>
      </c>
      <c r="F1448" s="146">
        <v>4.9518673395038828</v>
      </c>
      <c r="G1448" s="146">
        <v>18.993002422953751</v>
      </c>
      <c r="H1448" s="146">
        <v>4.750732869474346</v>
      </c>
      <c r="I1448" s="146"/>
      <c r="J1448" s="146">
        <v>0.13822038392440605</v>
      </c>
      <c r="K1448" s="146">
        <v>0.08</v>
      </c>
      <c r="L1448" s="146">
        <v>96.299031434810843</v>
      </c>
      <c r="M1448" s="146">
        <v>53.791012109363002</v>
      </c>
      <c r="N1448" s="146">
        <v>1.0708017997302397</v>
      </c>
      <c r="O1448" s="146"/>
      <c r="P1448" s="146"/>
      <c r="Q1448" s="146"/>
      <c r="R1448" s="146"/>
      <c r="S1448" s="146"/>
      <c r="T1448" s="146"/>
      <c r="U1448" s="146"/>
      <c r="V1448" s="146"/>
      <c r="W1448" s="146"/>
      <c r="X1448" s="146"/>
      <c r="Y1448" s="146"/>
      <c r="Z1448" s="146">
        <v>0.22539718168761624</v>
      </c>
      <c r="AA1448" s="146"/>
      <c r="AB1448" s="146"/>
      <c r="AC1448" s="146"/>
      <c r="AD1448" s="146"/>
      <c r="AE1448" s="146"/>
      <c r="AF1448" s="146"/>
      <c r="AG1448" s="146"/>
      <c r="AH1448" s="146"/>
      <c r="AI1448" s="146"/>
      <c r="AJ1448" s="146"/>
      <c r="AK1448" s="146"/>
      <c r="AL1448" s="146">
        <v>837.77973229381939</v>
      </c>
      <c r="AM1448" s="146">
        <v>0.26072061853261108</v>
      </c>
      <c r="AN1448" s="146">
        <v>0.2728292673653448</v>
      </c>
      <c r="AO1448" s="146">
        <v>341.85396840364524</v>
      </c>
      <c r="AP1448" s="146">
        <v>302.37883242869998</v>
      </c>
      <c r="AQ1448" t="s">
        <v>382</v>
      </c>
      <c r="AR1448">
        <f t="shared" si="85"/>
        <v>4.8813386259591285</v>
      </c>
      <c r="AS1448">
        <f t="shared" si="86"/>
        <v>1.3321822791215501</v>
      </c>
      <c r="AT1448">
        <v>0.1</v>
      </c>
      <c r="AU1448">
        <v>0</v>
      </c>
      <c r="AV1448">
        <v>0.2</v>
      </c>
      <c r="AW1448">
        <v>3</v>
      </c>
      <c r="AX1448">
        <v>8.7613573333132175E-2</v>
      </c>
      <c r="AY1448">
        <v>0.08</v>
      </c>
      <c r="AZ1448" s="209">
        <v>302.37883242869998</v>
      </c>
      <c r="BA1448">
        <v>8.7613573333132175E-2</v>
      </c>
      <c r="BB1448" s="249">
        <v>53.137350313116322</v>
      </c>
      <c r="BC1448" s="243">
        <v>190.48612009479439</v>
      </c>
      <c r="BD1448" s="209">
        <v>100428.31078404484</v>
      </c>
      <c r="BE1448" s="243">
        <v>70.765700931665563</v>
      </c>
      <c r="BF1448">
        <v>275805.30458195577</v>
      </c>
      <c r="BG1448" t="s">
        <v>387</v>
      </c>
      <c r="BH1448">
        <v>6.1446246430901092E-6</v>
      </c>
      <c r="BI1448">
        <v>2204283.1078404486</v>
      </c>
      <c r="BJ1448">
        <f t="shared" si="84"/>
        <v>0.1251224507418941</v>
      </c>
    </row>
    <row r="1449" spans="1:62" x14ac:dyDescent="0.3">
      <c r="A1449">
        <v>-0.1</v>
      </c>
      <c r="B1449" s="146">
        <v>1000</v>
      </c>
      <c r="C1449" s="146">
        <v>25</v>
      </c>
      <c r="D1449" s="146">
        <v>400</v>
      </c>
      <c r="E1449" s="252">
        <v>17.789098648993875</v>
      </c>
      <c r="F1449" s="146">
        <v>5.7174849093819757</v>
      </c>
      <c r="G1449" s="146">
        <v>21.358236200384809</v>
      </c>
      <c r="H1449" s="146">
        <v>5.4269767626870626</v>
      </c>
      <c r="I1449" s="146"/>
      <c r="J1449" s="146">
        <v>0.13791032126309885</v>
      </c>
      <c r="K1449" s="146">
        <v>0.08</v>
      </c>
      <c r="L1449" s="146">
        <v>110.13730566670037</v>
      </c>
      <c r="M1449" s="146">
        <v>61.520838315186857</v>
      </c>
      <c r="N1449" s="146">
        <v>1.1617039853721192</v>
      </c>
      <c r="O1449" s="146"/>
      <c r="P1449" s="146"/>
      <c r="Q1449" s="146"/>
      <c r="R1449" s="146"/>
      <c r="S1449" s="146"/>
      <c r="T1449" s="146"/>
      <c r="U1449" s="146"/>
      <c r="V1449" s="146"/>
      <c r="W1449" s="146"/>
      <c r="X1449" s="146"/>
      <c r="Y1449" s="146"/>
      <c r="Z1449" s="146">
        <v>0.21406098389058217</v>
      </c>
      <c r="AA1449" s="146"/>
      <c r="AB1449" s="146"/>
      <c r="AC1449" s="146"/>
      <c r="AD1449" s="146"/>
      <c r="AE1449" s="146"/>
      <c r="AF1449" s="146"/>
      <c r="AG1449" s="146"/>
      <c r="AH1449" s="146"/>
      <c r="AI1449" s="146"/>
      <c r="AJ1449" s="146"/>
      <c r="AK1449" s="146"/>
      <c r="AL1449" s="146">
        <v>872.63007158459311</v>
      </c>
      <c r="AM1449" s="146">
        <v>0.26769461933747901</v>
      </c>
      <c r="AN1449" s="146">
        <v>0.27814462555691227</v>
      </c>
      <c r="AO1449" s="146">
        <v>336.04370886773086</v>
      </c>
      <c r="AP1449" s="146">
        <v>291.77807889853392</v>
      </c>
      <c r="AQ1449" t="s">
        <v>382</v>
      </c>
      <c r="AR1449">
        <f t="shared" si="85"/>
        <v>4.8813386259591285</v>
      </c>
      <c r="AS1449">
        <f t="shared" si="86"/>
        <v>1.3321822791215501</v>
      </c>
      <c r="AT1449">
        <v>0.1</v>
      </c>
      <c r="AU1449">
        <v>0</v>
      </c>
      <c r="AV1449">
        <v>0.2</v>
      </c>
      <c r="AW1449">
        <v>3</v>
      </c>
      <c r="AX1449">
        <v>8.8257770235194724E-2</v>
      </c>
      <c r="AY1449">
        <v>0.08</v>
      </c>
      <c r="AZ1449" s="209">
        <v>291.77807889853392</v>
      </c>
      <c r="BA1449">
        <v>8.8257770235194724E-2</v>
      </c>
      <c r="BB1449" s="249">
        <v>60.738555025533934</v>
      </c>
      <c r="BC1449" s="243">
        <v>205.15033218776327</v>
      </c>
      <c r="BD1449" s="209">
        <v>111859.96316510529</v>
      </c>
      <c r="BE1449" s="243">
        <v>79.007706492216059</v>
      </c>
      <c r="BF1449">
        <v>338710.34264566191</v>
      </c>
      <c r="BG1449" t="s">
        <v>387</v>
      </c>
      <c r="BH1449">
        <v>6.4349180159503742E-6</v>
      </c>
      <c r="BI1449">
        <v>2318599.6316510532</v>
      </c>
      <c r="BJ1449">
        <f t="shared" si="84"/>
        <v>0.14608401468798191</v>
      </c>
    </row>
    <row r="1450" spans="1:62" x14ac:dyDescent="0.3">
      <c r="A1450">
        <v>-0.1</v>
      </c>
      <c r="B1450" s="146">
        <v>1300</v>
      </c>
      <c r="C1450" s="146">
        <v>25</v>
      </c>
      <c r="D1450" s="146">
        <v>400</v>
      </c>
      <c r="E1450" s="252">
        <v>19.917440422633344</v>
      </c>
      <c r="F1450" s="146">
        <v>6.6182315892812644</v>
      </c>
      <c r="G1450" s="146">
        <v>23.998139256070019</v>
      </c>
      <c r="H1450" s="146">
        <v>6.2112473337667726</v>
      </c>
      <c r="I1450" s="146"/>
      <c r="J1450" s="146">
        <v>0.13653100705981158</v>
      </c>
      <c r="K1450" s="146">
        <v>0.08</v>
      </c>
      <c r="L1450" s="146">
        <v>126.23655738605262</v>
      </c>
      <c r="M1450" s="146">
        <v>70.513608349157465</v>
      </c>
      <c r="N1450" s="146">
        <v>1.277364216809735</v>
      </c>
      <c r="O1450" s="146"/>
      <c r="P1450" s="146"/>
      <c r="Q1450" s="146"/>
      <c r="R1450" s="146"/>
      <c r="S1450" s="146"/>
      <c r="T1450" s="146"/>
      <c r="U1450" s="146"/>
      <c r="V1450" s="146"/>
      <c r="W1450" s="146"/>
      <c r="X1450" s="146"/>
      <c r="Y1450" s="146"/>
      <c r="Z1450" s="146">
        <v>0.20565341358497879</v>
      </c>
      <c r="AA1450" s="146"/>
      <c r="AB1450" s="146"/>
      <c r="AC1450" s="146"/>
      <c r="AD1450" s="146"/>
      <c r="AE1450" s="146"/>
      <c r="AF1450" s="146"/>
      <c r="AG1450" s="146"/>
      <c r="AH1450" s="146"/>
      <c r="AI1450" s="146"/>
      <c r="AJ1450" s="146"/>
      <c r="AK1450" s="146"/>
      <c r="AL1450" s="146">
        <v>918.93560860387288</v>
      </c>
      <c r="AM1450" s="146">
        <v>0.2757810311317061</v>
      </c>
      <c r="AN1450" s="146">
        <v>0.28378611851566066</v>
      </c>
      <c r="AO1450" s="146">
        <v>329.81531116880825</v>
      </c>
      <c r="AP1450" s="146">
        <v>280.25350019900554</v>
      </c>
      <c r="AQ1450" t="s">
        <v>382</v>
      </c>
      <c r="AR1450">
        <f t="shared" si="85"/>
        <v>4.8813386259591285</v>
      </c>
      <c r="AS1450">
        <f t="shared" si="86"/>
        <v>1.3321822791215501</v>
      </c>
      <c r="AT1450">
        <v>0.1</v>
      </c>
      <c r="AU1450">
        <v>0</v>
      </c>
      <c r="AV1450">
        <v>0.2</v>
      </c>
      <c r="AW1450" s="146">
        <v>3</v>
      </c>
      <c r="AX1450">
        <v>8.8535464993944921E-2</v>
      </c>
      <c r="AY1450">
        <v>0.08</v>
      </c>
      <c r="AZ1450" s="209">
        <v>280.25350019900554</v>
      </c>
      <c r="BA1450">
        <v>8.8535464993944921E-2</v>
      </c>
      <c r="BB1450" s="249">
        <v>69.536559332588595</v>
      </c>
      <c r="BC1450" s="243">
        <v>220.23262792813912</v>
      </c>
      <c r="BD1450" s="209">
        <v>124411.53636762852</v>
      </c>
      <c r="BE1450" s="243">
        <v>88.400587590277581</v>
      </c>
      <c r="BF1450">
        <v>416359.14364968293</v>
      </c>
      <c r="BG1450" t="s">
        <v>387</v>
      </c>
      <c r="BH1450">
        <v>6.6950586479331229E-6</v>
      </c>
      <c r="BI1450">
        <v>2444115.3636762854</v>
      </c>
      <c r="BJ1450">
        <f t="shared" si="84"/>
        <v>0.17035167399930809</v>
      </c>
    </row>
    <row r="1451" spans="1:62" x14ac:dyDescent="0.3">
      <c r="A1451">
        <v>-0.1</v>
      </c>
      <c r="B1451" s="227">
        <v>1600</v>
      </c>
      <c r="C1451" s="146">
        <v>25</v>
      </c>
      <c r="D1451" s="146">
        <v>400</v>
      </c>
      <c r="E1451" s="252">
        <v>21.356245301111962</v>
      </c>
      <c r="F1451" s="146">
        <v>7.2587527969329031</v>
      </c>
      <c r="G1451" s="146">
        <v>25.795612332443589</v>
      </c>
      <c r="H1451" s="146">
        <v>6.7769614727294156</v>
      </c>
      <c r="I1451" s="146"/>
      <c r="J1451" s="146">
        <v>0.13707095712346992</v>
      </c>
      <c r="K1451" s="146">
        <v>0.08</v>
      </c>
      <c r="L1451" s="146">
        <v>137.89280320524279</v>
      </c>
      <c r="M1451" s="146">
        <v>77.024590346252793</v>
      </c>
      <c r="N1451" s="146">
        <v>1.3392971852392925</v>
      </c>
      <c r="O1451" s="146"/>
      <c r="P1451" s="146"/>
      <c r="Q1451" s="146"/>
      <c r="R1451" s="146"/>
      <c r="S1451" s="146"/>
      <c r="T1451" s="146"/>
      <c r="U1451" s="146"/>
      <c r="V1451" s="146"/>
      <c r="W1451" s="146"/>
      <c r="X1451" s="146"/>
      <c r="Y1451" s="146"/>
      <c r="Z1451" s="146">
        <v>0.19762502570342808</v>
      </c>
      <c r="AA1451" s="146"/>
      <c r="AB1451" s="146"/>
      <c r="AC1451" s="146"/>
      <c r="AD1451" s="146"/>
      <c r="AE1451" s="146"/>
      <c r="AF1451" s="146"/>
      <c r="AG1451" s="146"/>
      <c r="AH1451" s="146"/>
      <c r="AI1451" s="146"/>
      <c r="AJ1451" s="146"/>
      <c r="AK1451" s="146"/>
      <c r="AL1451" s="146">
        <v>942.3707045214619</v>
      </c>
      <c r="AM1451" s="146">
        <v>0.28139486294742627</v>
      </c>
      <c r="AN1451" s="146">
        <v>0.28806938797575704</v>
      </c>
      <c r="AO1451" s="146">
        <v>325.86423204776889</v>
      </c>
      <c r="AP1451" s="146">
        <v>272.72211190181616</v>
      </c>
      <c r="AQ1451" t="s">
        <v>382</v>
      </c>
      <c r="AR1451">
        <f t="shared" si="85"/>
        <v>4.8813386259591285</v>
      </c>
      <c r="AS1451">
        <f t="shared" si="86"/>
        <v>1.3321822791215501</v>
      </c>
      <c r="AT1451">
        <v>0.1</v>
      </c>
      <c r="AU1451">
        <v>0</v>
      </c>
      <c r="AV1451">
        <v>0.2</v>
      </c>
      <c r="AW1451" s="146">
        <v>3</v>
      </c>
      <c r="AX1451">
        <v>8.941148423947573E-2</v>
      </c>
      <c r="AY1451">
        <v>0.08</v>
      </c>
      <c r="AZ1451" s="209">
        <v>272.72211190181616</v>
      </c>
      <c r="BA1451">
        <v>8.941148423947573E-2</v>
      </c>
      <c r="BB1451" s="249">
        <v>75.69543797567357</v>
      </c>
      <c r="BC1451" s="243">
        <v>229.44711239424291</v>
      </c>
      <c r="BD1451" s="209">
        <v>132438.62460004759</v>
      </c>
      <c r="BE1451" s="243">
        <v>94.549140751827082</v>
      </c>
      <c r="BF1451">
        <v>473100.08698584262</v>
      </c>
      <c r="BG1451" t="s">
        <v>387</v>
      </c>
      <c r="BH1451">
        <v>6.8510630950773494E-6</v>
      </c>
      <c r="BI1451">
        <v>2524386.2460004762</v>
      </c>
      <c r="BJ1451">
        <f t="shared" si="84"/>
        <v>0.18741192546719071</v>
      </c>
    </row>
    <row r="1452" spans="1:62" s="140" customFormat="1" x14ac:dyDescent="0.3">
      <c r="A1452" s="140">
        <v>-0.1</v>
      </c>
      <c r="B1452" s="140">
        <v>1900</v>
      </c>
      <c r="C1452" s="140">
        <v>25</v>
      </c>
      <c r="D1452" s="140">
        <v>400</v>
      </c>
      <c r="E1452" s="253">
        <v>22.458311705861355</v>
      </c>
      <c r="F1452" s="140">
        <v>7.7796033400038116</v>
      </c>
      <c r="G1452" s="140">
        <v>27.188229555856935</v>
      </c>
      <c r="H1452" s="140">
        <v>7.2145870046374769</v>
      </c>
      <c r="J1452" s="140">
        <v>0.13704207405918772</v>
      </c>
      <c r="K1452" s="140">
        <v>0.08</v>
      </c>
      <c r="L1452" s="140">
        <v>146.93110448126353</v>
      </c>
      <c r="M1452" s="140">
        <v>82.073232748389714</v>
      </c>
      <c r="N1452" s="140">
        <v>1.387552066539957</v>
      </c>
      <c r="Z1452" s="140">
        <v>0.1923259177064536</v>
      </c>
      <c r="AL1452" s="140">
        <v>960.57459496462423</v>
      </c>
      <c r="AM1452" s="140">
        <v>0.28613865143447398</v>
      </c>
      <c r="AN1452" s="140">
        <v>0.2904700053832513</v>
      </c>
      <c r="AO1452" s="140">
        <v>322.68285437517221</v>
      </c>
      <c r="AP1452" s="140">
        <v>266.79856169464591</v>
      </c>
      <c r="AQ1452" t="s">
        <v>382</v>
      </c>
      <c r="AR1452">
        <f t="shared" si="85"/>
        <v>4.8813386259591285</v>
      </c>
      <c r="AS1452">
        <f t="shared" si="86"/>
        <v>1.3321822791215501</v>
      </c>
      <c r="AT1452">
        <v>0.1</v>
      </c>
      <c r="AU1452">
        <v>0</v>
      </c>
      <c r="AV1452">
        <v>0.2</v>
      </c>
      <c r="AW1452" s="140">
        <v>3</v>
      </c>
      <c r="AX1452">
        <v>8.9795486615636563E-2</v>
      </c>
      <c r="AY1452">
        <v>0.08</v>
      </c>
      <c r="AZ1452" s="209">
        <v>266.79856169464591</v>
      </c>
      <c r="BA1452" s="140">
        <v>8.9795486615636563E-2</v>
      </c>
      <c r="BB1452" s="253">
        <v>80.6347025844249</v>
      </c>
      <c r="BC1452" s="245">
        <v>236.25617165261335</v>
      </c>
      <c r="BD1452" s="210">
        <v>138890.39529455552</v>
      </c>
      <c r="BE1452" s="245">
        <v>99.790300344856291</v>
      </c>
      <c r="BF1452" s="140">
        <v>520284.6962455191</v>
      </c>
      <c r="BG1452" t="s">
        <v>387</v>
      </c>
      <c r="BH1452" s="140">
        <v>6.9451155550585999E-6</v>
      </c>
      <c r="BI1452" s="140">
        <v>2588903.9529455551</v>
      </c>
      <c r="BJ1452">
        <f t="shared" si="84"/>
        <v>0.20096716823100341</v>
      </c>
    </row>
    <row r="1453" spans="1:62" x14ac:dyDescent="0.3">
      <c r="A1453">
        <v>-0.1</v>
      </c>
      <c r="B1453" s="146">
        <v>1000</v>
      </c>
      <c r="C1453" s="146">
        <v>25</v>
      </c>
      <c r="D1453" s="146">
        <v>200</v>
      </c>
      <c r="E1453" s="252">
        <v>12.053244281565012</v>
      </c>
      <c r="F1453" s="146">
        <v>9.6277287398587816</v>
      </c>
      <c r="G1453" s="146">
        <v>17.682235872279335</v>
      </c>
      <c r="H1453" s="146">
        <v>5.7127071602242934</v>
      </c>
      <c r="I1453" s="146"/>
      <c r="J1453" s="146">
        <v>0.15906511503465373</v>
      </c>
      <c r="K1453" s="146">
        <v>0.08</v>
      </c>
      <c r="L1453" s="146">
        <v>116.45826299246094</v>
      </c>
      <c r="M1453" s="146">
        <v>65.051618292791531</v>
      </c>
      <c r="N1453" s="146">
        <v>0.781721205655181</v>
      </c>
      <c r="O1453" s="146"/>
      <c r="P1453" s="146"/>
      <c r="Q1453" s="146"/>
      <c r="R1453" s="146"/>
      <c r="S1453" s="146"/>
      <c r="T1453" s="146"/>
      <c r="U1453" s="146"/>
      <c r="V1453" s="146"/>
      <c r="W1453" s="146"/>
      <c r="X1453" s="146"/>
      <c r="Y1453" s="146"/>
      <c r="Z1453" s="146">
        <v>0.13683901235093046</v>
      </c>
      <c r="AA1453" s="146"/>
      <c r="AB1453" s="146"/>
      <c r="AC1453" s="146"/>
      <c r="AD1453" s="146"/>
      <c r="AE1453" s="146"/>
      <c r="AF1453" s="146"/>
      <c r="AG1453" s="146"/>
      <c r="AH1453" s="146"/>
      <c r="AI1453" s="146"/>
      <c r="AJ1453" s="146"/>
      <c r="AK1453" s="146"/>
      <c r="AL1453" s="146">
        <v>519.01307001467717</v>
      </c>
      <c r="AM1453" s="146">
        <v>0.54448593545527202</v>
      </c>
      <c r="AN1453" s="146">
        <v>0.28797782349296758</v>
      </c>
      <c r="AO1453" s="146">
        <v>158.14523446504433</v>
      </c>
      <c r="AP1453" s="146">
        <v>128.15246718708673</v>
      </c>
      <c r="AQ1453" t="s">
        <v>382</v>
      </c>
      <c r="AR1453">
        <f t="shared" si="85"/>
        <v>4.8813386259591285</v>
      </c>
      <c r="AS1453">
        <f t="shared" si="86"/>
        <v>1.3321822791215501</v>
      </c>
      <c r="AT1453">
        <v>0.1</v>
      </c>
      <c r="AU1453">
        <v>0</v>
      </c>
      <c r="AV1453">
        <v>0.2</v>
      </c>
      <c r="AW1453" s="146">
        <v>3</v>
      </c>
      <c r="AX1453">
        <v>8.2434694665739036E-2</v>
      </c>
      <c r="AY1453">
        <v>0.08</v>
      </c>
      <c r="AZ1453" s="209">
        <v>128.15246718708673</v>
      </c>
      <c r="BA1453">
        <v>8.2434694665739036E-2</v>
      </c>
      <c r="BB1453" s="249">
        <v>83.708342420308156</v>
      </c>
      <c r="BC1453" s="243">
        <v>224.89475776874954</v>
      </c>
      <c r="BD1453" s="209">
        <v>135173.16029274304</v>
      </c>
      <c r="BE1453" s="243">
        <v>101.15613054522301</v>
      </c>
      <c r="BF1453">
        <v>238699.73683461241</v>
      </c>
      <c r="BG1453" t="s">
        <v>388</v>
      </c>
      <c r="BH1453">
        <v>4.0795717281689321E-6</v>
      </c>
      <c r="BI1453">
        <v>2551731.6029274305</v>
      </c>
      <c r="BJ1453">
        <f t="shared" si="84"/>
        <v>9.3544217801264137E-2</v>
      </c>
    </row>
    <row r="1454" spans="1:62" x14ac:dyDescent="0.3">
      <c r="A1454">
        <v>-0.1</v>
      </c>
      <c r="B1454" s="146">
        <v>1000</v>
      </c>
      <c r="C1454" s="146">
        <v>25</v>
      </c>
      <c r="D1454" s="146">
        <v>300</v>
      </c>
      <c r="E1454" s="252">
        <v>15.576714864389263</v>
      </c>
      <c r="F1454" s="146">
        <v>7.2798354490591866</v>
      </c>
      <c r="G1454" s="146">
        <v>19.970839727251828</v>
      </c>
      <c r="H1454" s="146">
        <v>5.5419363145110232</v>
      </c>
      <c r="I1454" s="146"/>
      <c r="J1454" s="146">
        <v>0.13974270415085474</v>
      </c>
      <c r="K1454" s="146">
        <v>0.08</v>
      </c>
      <c r="L1454" s="146">
        <v>112.62821697029248</v>
      </c>
      <c r="M1454" s="146">
        <v>62.912219288582996</v>
      </c>
      <c r="N1454" s="146">
        <v>1.0392227059211487</v>
      </c>
      <c r="O1454" s="146"/>
      <c r="P1454" s="146"/>
      <c r="Q1454" s="146"/>
      <c r="R1454" s="146"/>
      <c r="S1454" s="146"/>
      <c r="T1454" s="146"/>
      <c r="U1454" s="146"/>
      <c r="V1454" s="146"/>
      <c r="W1454" s="146"/>
      <c r="X1454" s="146"/>
      <c r="Y1454" s="146"/>
      <c r="Z1454" s="146">
        <v>0.18751978495314803</v>
      </c>
      <c r="AA1454" s="146"/>
      <c r="AB1454" s="146"/>
      <c r="AC1454" s="146"/>
      <c r="AD1454" s="146"/>
      <c r="AE1454" s="146"/>
      <c r="AF1454" s="146"/>
      <c r="AG1454" s="146"/>
      <c r="AH1454" s="146"/>
      <c r="AI1454" s="146"/>
      <c r="AJ1454" s="146"/>
      <c r="AK1454" s="146"/>
      <c r="AL1454" s="146">
        <v>725.59174702039616</v>
      </c>
      <c r="AM1454" s="146">
        <v>0.36452325232600319</v>
      </c>
      <c r="AN1454" s="146">
        <v>0.28188472644386797</v>
      </c>
      <c r="AO1454" s="146">
        <v>244.7408340959152</v>
      </c>
      <c r="AP1454" s="146">
        <v>205.98039405982172</v>
      </c>
      <c r="AQ1454" t="s">
        <v>382</v>
      </c>
      <c r="AR1454">
        <f t="shared" si="85"/>
        <v>4.8813386259591285</v>
      </c>
      <c r="AS1454">
        <f t="shared" si="86"/>
        <v>1.3321822791215501</v>
      </c>
      <c r="AT1454">
        <v>0.1</v>
      </c>
      <c r="AU1454">
        <v>0</v>
      </c>
      <c r="AV1454">
        <v>0.2</v>
      </c>
      <c r="AW1454" s="146">
        <v>3</v>
      </c>
      <c r="AX1454">
        <v>8.3215475893404708E-2</v>
      </c>
      <c r="AY1454">
        <v>0.08</v>
      </c>
      <c r="AZ1454" s="209">
        <v>205.98039405982172</v>
      </c>
      <c r="BA1454">
        <v>8.3215475893404708E-2</v>
      </c>
      <c r="BB1454" s="249">
        <v>70.075437259886769</v>
      </c>
      <c r="BC1454" s="243">
        <v>212.71484530524435</v>
      </c>
      <c r="BD1454" s="209">
        <v>121747.36317173245</v>
      </c>
      <c r="BE1454" s="243">
        <v>88.968010027944629</v>
      </c>
      <c r="BF1454">
        <v>304379.87345891539</v>
      </c>
      <c r="BG1454" t="s">
        <v>388</v>
      </c>
      <c r="BH1454">
        <v>5.4706471873262609E-6</v>
      </c>
      <c r="BI1454">
        <v>2417473.6317173243</v>
      </c>
      <c r="BJ1454">
        <f t="shared" si="84"/>
        <v>0.12590824961457392</v>
      </c>
    </row>
    <row r="1455" spans="1:62" x14ac:dyDescent="0.3">
      <c r="A1455">
        <v>-0.1</v>
      </c>
      <c r="B1455" s="146">
        <v>1000</v>
      </c>
      <c r="C1455" s="146">
        <v>25</v>
      </c>
      <c r="D1455" s="146">
        <v>400</v>
      </c>
      <c r="E1455" s="252">
        <v>17.786364135396404</v>
      </c>
      <c r="F1455" s="146">
        <v>5.7159879091757917</v>
      </c>
      <c r="G1455" s="146">
        <v>21.354591466989397</v>
      </c>
      <c r="H1455" s="146">
        <v>5.4265450329729665</v>
      </c>
      <c r="I1455" s="146"/>
      <c r="J1455" s="146">
        <v>0.13795740678368287</v>
      </c>
      <c r="K1455" s="146">
        <v>0.08</v>
      </c>
      <c r="L1455" s="146">
        <v>110.1285982188181</v>
      </c>
      <c r="M1455" s="146">
        <v>61.515974481901125</v>
      </c>
      <c r="N1455" s="146">
        <v>1.1612594508346348</v>
      </c>
      <c r="O1455" s="146"/>
      <c r="P1455" s="146"/>
      <c r="Q1455" s="146"/>
      <c r="R1455" s="146"/>
      <c r="S1455" s="146"/>
      <c r="T1455" s="146"/>
      <c r="U1455" s="146"/>
      <c r="V1455" s="146"/>
      <c r="W1455" s="146"/>
      <c r="X1455" s="146"/>
      <c r="Y1455" s="146"/>
      <c r="Z1455" s="146">
        <v>0.21399609581760562</v>
      </c>
      <c r="AA1455" s="146"/>
      <c r="AB1455" s="146"/>
      <c r="AC1455" s="146"/>
      <c r="AD1455" s="146"/>
      <c r="AE1455" s="146"/>
      <c r="AF1455" s="146"/>
      <c r="AG1455" s="146"/>
      <c r="AH1455" s="146"/>
      <c r="AI1455" s="146"/>
      <c r="AJ1455" s="146"/>
      <c r="AK1455" s="146"/>
      <c r="AL1455" s="146">
        <v>872.43608504230838</v>
      </c>
      <c r="AM1455" s="146">
        <v>0.2676702065694746</v>
      </c>
      <c r="AN1455" s="146">
        <v>0.27819523536539181</v>
      </c>
      <c r="AO1455" s="146">
        <v>336.06517339509736</v>
      </c>
      <c r="AP1455" s="146">
        <v>291.80635962499144</v>
      </c>
      <c r="AQ1455" t="s">
        <v>382</v>
      </c>
      <c r="AR1455">
        <f t="shared" si="85"/>
        <v>4.8813386259591285</v>
      </c>
      <c r="AS1455">
        <f t="shared" si="86"/>
        <v>1.3321822791215501</v>
      </c>
      <c r="AT1455">
        <v>0.1</v>
      </c>
      <c r="AU1455">
        <v>0</v>
      </c>
      <c r="AV1455">
        <v>0.2</v>
      </c>
      <c r="AW1455" s="146">
        <v>3</v>
      </c>
      <c r="AX1455">
        <v>8.8281982081138383E-2</v>
      </c>
      <c r="AY1455">
        <v>0.08</v>
      </c>
      <c r="AZ1455" s="209">
        <v>291.80635962499144</v>
      </c>
      <c r="BA1455">
        <v>8.8281982081138383E-2</v>
      </c>
      <c r="BB1455" s="249">
        <v>60.724388734862181</v>
      </c>
      <c r="BC1455" s="243">
        <v>205.12435269043465</v>
      </c>
      <c r="BD1455" s="209">
        <v>111823.11894731758</v>
      </c>
      <c r="BE1455" s="243">
        <v>78.968998111604463</v>
      </c>
      <c r="BF1455">
        <v>338576.19394844025</v>
      </c>
      <c r="BG1455" t="s">
        <v>388</v>
      </c>
      <c r="BH1455">
        <v>6.4351674651140139E-6</v>
      </c>
      <c r="BI1455">
        <v>2318231.1894731754</v>
      </c>
      <c r="BJ1455">
        <f t="shared" si="84"/>
        <v>0.14604936534625032</v>
      </c>
    </row>
    <row r="1456" spans="1:62" x14ac:dyDescent="0.3">
      <c r="A1456">
        <v>-0.1</v>
      </c>
      <c r="B1456" s="146">
        <v>1000</v>
      </c>
      <c r="C1456" s="146">
        <v>25</v>
      </c>
      <c r="D1456" s="146">
        <v>500</v>
      </c>
      <c r="E1456" s="252">
        <v>19.234718138377758</v>
      </c>
      <c r="F1456" s="146">
        <v>4.6584412097119055</v>
      </c>
      <c r="G1456" s="146">
        <v>22.245509533302901</v>
      </c>
      <c r="H1456" s="146">
        <v>5.3557683931078257</v>
      </c>
      <c r="I1456" s="146"/>
      <c r="J1456" s="146">
        <v>0.13851998484253522</v>
      </c>
      <c r="K1456" s="146">
        <v>0.08</v>
      </c>
      <c r="L1456" s="146">
        <v>108.60692858045229</v>
      </c>
      <c r="M1456" s="146">
        <v>60.665995528590521</v>
      </c>
      <c r="N1456" s="146">
        <v>1.2453317379184252</v>
      </c>
      <c r="O1456" s="146"/>
      <c r="P1456" s="146"/>
      <c r="Q1456" s="146"/>
      <c r="R1456" s="146"/>
      <c r="S1456" s="146"/>
      <c r="T1456" s="146"/>
      <c r="U1456" s="146"/>
      <c r="V1456" s="146"/>
      <c r="W1456" s="146"/>
      <c r="X1456" s="146"/>
      <c r="Y1456" s="146"/>
      <c r="Z1456" s="146">
        <v>0.2325215816877004</v>
      </c>
      <c r="AA1456" s="146"/>
      <c r="AB1456" s="146"/>
      <c r="AC1456" s="146"/>
      <c r="AD1456" s="146"/>
      <c r="AE1456" s="146"/>
      <c r="AF1456" s="146"/>
      <c r="AG1456" s="146"/>
      <c r="AH1456" s="146"/>
      <c r="AI1456" s="146"/>
      <c r="AJ1456" s="146"/>
      <c r="AK1456" s="146"/>
      <c r="AL1456" s="146">
        <v>1004.9055998327996</v>
      </c>
      <c r="AM1456" s="146">
        <v>0.20941040719871717</v>
      </c>
      <c r="AN1456" s="146">
        <v>0.27518493675256855</v>
      </c>
      <c r="AO1456" s="146">
        <v>430.10257623340561</v>
      </c>
      <c r="AP1456" s="146">
        <v>382.23973087358684</v>
      </c>
      <c r="AQ1456" t="s">
        <v>382</v>
      </c>
      <c r="AR1456">
        <f t="shared" si="85"/>
        <v>4.8813386259591285</v>
      </c>
      <c r="AS1456">
        <f t="shared" si="86"/>
        <v>1.3321822791215501</v>
      </c>
      <c r="AT1456">
        <v>0.1</v>
      </c>
      <c r="AU1456">
        <v>0</v>
      </c>
      <c r="AV1456">
        <v>0.2</v>
      </c>
      <c r="AW1456" s="146">
        <v>3</v>
      </c>
      <c r="AX1456">
        <v>9.3324912096174883E-2</v>
      </c>
      <c r="AY1456">
        <v>0.08</v>
      </c>
      <c r="AZ1456" s="209">
        <v>382.23973087358684</v>
      </c>
      <c r="BA1456">
        <v>9.3324912096174883E-2</v>
      </c>
      <c r="BB1456" s="249">
        <v>54.338117236893083</v>
      </c>
      <c r="BC1456" s="243">
        <v>200.63205364334993</v>
      </c>
      <c r="BD1456" s="209">
        <v>105287.72943159062</v>
      </c>
      <c r="BE1456" s="243">
        <v>71.996262384326371</v>
      </c>
      <c r="BF1456">
        <v>357902.82057763916</v>
      </c>
      <c r="BG1456" t="s">
        <v>388</v>
      </c>
      <c r="BH1456">
        <v>7.1034480051896973E-6</v>
      </c>
      <c r="BI1456">
        <v>2252877.2943159062</v>
      </c>
      <c r="BJ1456">
        <f t="shared" si="84"/>
        <v>0.1588647643973515</v>
      </c>
    </row>
    <row r="1457" spans="1:62" s="146" customFormat="1" x14ac:dyDescent="0.3">
      <c r="A1457">
        <v>-0.1</v>
      </c>
      <c r="B1457" s="146">
        <v>1000</v>
      </c>
      <c r="C1457" s="146">
        <v>25</v>
      </c>
      <c r="D1457" s="146">
        <v>600</v>
      </c>
      <c r="E1457" s="252">
        <v>20.250247262427703</v>
      </c>
      <c r="F1457" s="146">
        <v>3.9179011846117437</v>
      </c>
      <c r="G1457" s="146">
        <v>22.870830403682238</v>
      </c>
      <c r="H1457" s="146">
        <v>5.3074193877372871</v>
      </c>
      <c r="J1457" s="146">
        <v>0.13972938801887824</v>
      </c>
      <c r="K1457" s="146">
        <v>0.08</v>
      </c>
      <c r="L1457" s="146">
        <v>107.57375949531475</v>
      </c>
      <c r="M1457" s="146">
        <v>60.088884731715325</v>
      </c>
      <c r="N1457" s="146">
        <v>1.3011887046712758</v>
      </c>
      <c r="Z1457" s="146">
        <v>0.24516410134794564</v>
      </c>
      <c r="AL1457" s="146">
        <v>1125.9989986723788</v>
      </c>
      <c r="AM1457" s="146">
        <v>0.17130559387038941</v>
      </c>
      <c r="AN1457" s="146">
        <v>0.27289408275831512</v>
      </c>
      <c r="AO1457" s="146">
        <v>525.79448019632559</v>
      </c>
      <c r="AP1457" s="146">
        <v>475.40464633674134</v>
      </c>
      <c r="AQ1457" t="s">
        <v>382</v>
      </c>
      <c r="AR1457">
        <f t="shared" si="85"/>
        <v>4.8813386259591285</v>
      </c>
      <c r="AS1457">
        <f t="shared" si="86"/>
        <v>1.3321822791215501</v>
      </c>
      <c r="AT1457">
        <v>0.1</v>
      </c>
      <c r="AU1457">
        <v>0</v>
      </c>
      <c r="AV1457">
        <v>0.2</v>
      </c>
      <c r="AW1457" s="146">
        <v>3</v>
      </c>
      <c r="AX1457">
        <v>9.7851372154707655E-2</v>
      </c>
      <c r="AY1457">
        <v>0.08</v>
      </c>
      <c r="AZ1457" s="209">
        <v>475.40464633674134</v>
      </c>
      <c r="BA1457" s="146">
        <v>9.7851372154707655E-2</v>
      </c>
      <c r="BB1457" s="252">
        <v>49.861328813222258</v>
      </c>
      <c r="BC1457" s="244">
        <v>197.63475104182723</v>
      </c>
      <c r="BD1457" s="229">
        <v>100739.07729018691</v>
      </c>
      <c r="BE1457" s="244">
        <v>67.018268537638804</v>
      </c>
      <c r="BF1457" s="146">
        <v>369873.38937180262</v>
      </c>
      <c r="BG1457" t="s">
        <v>388</v>
      </c>
      <c r="BH1457" s="146">
        <v>7.590291726637869E-6</v>
      </c>
      <c r="BI1457" s="146">
        <v>2207390.7729018689</v>
      </c>
      <c r="BJ1457">
        <f t="shared" si="84"/>
        <v>0.16756135520380089</v>
      </c>
    </row>
    <row r="1458" spans="1:62" s="140" customFormat="1" x14ac:dyDescent="0.3">
      <c r="A1458">
        <v>-0.1</v>
      </c>
      <c r="B1458" s="146">
        <v>1000</v>
      </c>
      <c r="C1458" s="146">
        <v>25</v>
      </c>
      <c r="D1458" s="146">
        <v>700</v>
      </c>
      <c r="E1458" s="252">
        <v>20.996047179060682</v>
      </c>
      <c r="F1458" s="146">
        <v>3.375294908797088</v>
      </c>
      <c r="G1458" s="146">
        <v>23.330814707597465</v>
      </c>
      <c r="H1458" s="146">
        <v>5.2727544970194185</v>
      </c>
      <c r="I1458" s="146"/>
      <c r="J1458" s="146">
        <v>0.14097170683558977</v>
      </c>
      <c r="K1458" s="146">
        <v>0.08</v>
      </c>
      <c r="L1458" s="146">
        <v>106.83568129767582</v>
      </c>
      <c r="M1458" s="146">
        <v>59.676606719410202</v>
      </c>
      <c r="N1458" s="146">
        <v>1.340056532962822</v>
      </c>
      <c r="O1458" s="146"/>
      <c r="P1458" s="146"/>
      <c r="Q1458" s="146"/>
      <c r="R1458" s="146"/>
      <c r="S1458" s="146"/>
      <c r="T1458" s="146"/>
      <c r="U1458" s="146"/>
      <c r="V1458" s="146"/>
      <c r="W1458" s="146"/>
      <c r="X1458" s="146"/>
      <c r="Y1458" s="146"/>
      <c r="Z1458" s="146">
        <v>0.25414734058267435</v>
      </c>
      <c r="AA1458" s="146"/>
      <c r="AB1458" s="146"/>
      <c r="AC1458" s="146"/>
      <c r="AD1458" s="146"/>
      <c r="AE1458" s="146"/>
      <c r="AF1458" s="146"/>
      <c r="AG1458" s="146"/>
      <c r="AH1458" s="146"/>
      <c r="AI1458" s="146"/>
      <c r="AJ1458" s="146"/>
      <c r="AK1458" s="146"/>
      <c r="AL1458" s="146">
        <v>1240.3383310337254</v>
      </c>
      <c r="AM1458" s="146">
        <v>0.14467111205070582</v>
      </c>
      <c r="AN1458" s="146">
        <v>0.27111177336259024</v>
      </c>
      <c r="AO1458" s="146">
        <v>622.55575285924544</v>
      </c>
      <c r="AP1458" s="146">
        <v>570.31006455231409</v>
      </c>
      <c r="AQ1458" t="s">
        <v>382</v>
      </c>
      <c r="AR1458">
        <f t="shared" si="85"/>
        <v>4.8813386259591285</v>
      </c>
      <c r="AS1458">
        <f t="shared" si="86"/>
        <v>1.3321822791215501</v>
      </c>
      <c r="AT1458">
        <v>0.1</v>
      </c>
      <c r="AU1458">
        <v>0</v>
      </c>
      <c r="AV1458">
        <v>0.2</v>
      </c>
      <c r="AW1458" s="146">
        <v>3</v>
      </c>
      <c r="AX1458">
        <v>0.10180690327666748</v>
      </c>
      <c r="AY1458">
        <v>0.08</v>
      </c>
      <c r="AZ1458" s="209">
        <v>570.31006455231409</v>
      </c>
      <c r="BA1458" s="140">
        <v>0.10180690327666748</v>
      </c>
      <c r="BB1458" s="253">
        <v>46.580717792534109</v>
      </c>
      <c r="BC1458" s="245">
        <v>195.51890667381977</v>
      </c>
      <c r="BD1458" s="210">
        <v>97428.765220658242</v>
      </c>
      <c r="BE1458" s="245">
        <v>63.329122981475948</v>
      </c>
      <c r="BF1458" s="140">
        <v>377797.93318364833</v>
      </c>
      <c r="BG1458" t="s">
        <v>388</v>
      </c>
      <c r="BH1458" s="140">
        <v>7.9579323186078937E-6</v>
      </c>
      <c r="BI1458" s="140">
        <v>2174287.6522065825</v>
      </c>
      <c r="BJ1458">
        <f t="shared" si="84"/>
        <v>0.17375710743711345</v>
      </c>
    </row>
    <row r="1459" spans="1:62" x14ac:dyDescent="0.3">
      <c r="A1459">
        <v>-0.1</v>
      </c>
      <c r="B1459" s="146">
        <v>1000</v>
      </c>
      <c r="C1459" s="146">
        <v>25</v>
      </c>
      <c r="D1459" s="146">
        <v>800</v>
      </c>
      <c r="E1459" s="252">
        <v>21.567514805914811</v>
      </c>
      <c r="F1459" s="146">
        <v>2.9630134287072134</v>
      </c>
      <c r="G1459" s="146">
        <v>23.685266981636538</v>
      </c>
      <c r="H1459" s="146">
        <v>5.2471266024127399</v>
      </c>
      <c r="I1459" s="146"/>
      <c r="J1459" s="146">
        <v>0.1420323924342306</v>
      </c>
      <c r="K1459" s="146">
        <v>0.08</v>
      </c>
      <c r="L1459" s="146">
        <v>106.29102197805111</v>
      </c>
      <c r="M1459" s="146">
        <v>59.372369224796948</v>
      </c>
      <c r="N1459" s="146">
        <v>1.3686166925016963</v>
      </c>
      <c r="O1459" s="146"/>
      <c r="P1459" s="146"/>
      <c r="Q1459" s="146"/>
      <c r="R1459" s="146"/>
      <c r="S1459" s="146"/>
      <c r="T1459" s="146"/>
      <c r="U1459" s="146"/>
      <c r="V1459" s="146"/>
      <c r="W1459" s="146"/>
      <c r="X1459" s="146"/>
      <c r="Y1459" s="146"/>
      <c r="Z1459" s="146">
        <v>0.26083165057850471</v>
      </c>
      <c r="AA1459" s="146"/>
      <c r="AB1459" s="146"/>
      <c r="AC1459" s="146"/>
      <c r="AD1459" s="146"/>
      <c r="AE1459" s="146"/>
      <c r="AF1459" s="146"/>
      <c r="AG1459" s="146"/>
      <c r="AH1459" s="146"/>
      <c r="AI1459" s="146"/>
      <c r="AJ1459" s="146"/>
      <c r="AK1459" s="146"/>
      <c r="AL1459" s="146">
        <v>1350.6556251782245</v>
      </c>
      <c r="AM1459" s="146">
        <v>0.1250994312626694</v>
      </c>
      <c r="AN1459" s="146">
        <v>0.26964440057066619</v>
      </c>
      <c r="AO1459" s="146">
        <v>720.01497245902362</v>
      </c>
      <c r="AP1459" s="146">
        <v>666.3472789273759</v>
      </c>
      <c r="AQ1459" t="s">
        <v>382</v>
      </c>
      <c r="AR1459">
        <f t="shared" si="85"/>
        <v>4.8813386259591285</v>
      </c>
      <c r="AS1459">
        <f t="shared" si="86"/>
        <v>1.3321822791215501</v>
      </c>
      <c r="AT1459">
        <v>0.1</v>
      </c>
      <c r="AU1459">
        <v>0</v>
      </c>
      <c r="AV1459">
        <v>0.2</v>
      </c>
      <c r="AW1459" s="146">
        <v>3</v>
      </c>
      <c r="AX1459">
        <v>0.10521893385860466</v>
      </c>
      <c r="AY1459">
        <v>0.08</v>
      </c>
      <c r="AZ1459" s="209">
        <v>666.3472789273759</v>
      </c>
      <c r="BA1459">
        <v>0.10521893385860466</v>
      </c>
      <c r="BB1459" s="249">
        <v>44.092325681360336</v>
      </c>
      <c r="BC1459" s="243">
        <v>193.97080981606402</v>
      </c>
      <c r="BD1459" s="209">
        <v>94949.028648626118</v>
      </c>
      <c r="BE1459" s="243">
        <v>60.527374731184445</v>
      </c>
      <c r="BF1459">
        <v>383459.49910964933</v>
      </c>
      <c r="BG1459" t="s">
        <v>388</v>
      </c>
      <c r="BH1459">
        <v>8.2441338558283712E-6</v>
      </c>
      <c r="BI1459">
        <v>2149490.2864862611</v>
      </c>
      <c r="BJ1459">
        <f t="shared" si="84"/>
        <v>0.17839554871238089</v>
      </c>
    </row>
    <row r="1460" spans="1:62" x14ac:dyDescent="0.3">
      <c r="A1460">
        <v>-0.1</v>
      </c>
      <c r="B1460" s="146">
        <v>1000</v>
      </c>
      <c r="C1460" s="146">
        <v>25</v>
      </c>
      <c r="D1460" s="146">
        <v>900</v>
      </c>
      <c r="E1460" s="252">
        <v>22.018003635763879</v>
      </c>
      <c r="F1460" s="146">
        <v>2.6397000600507448</v>
      </c>
      <c r="G1460" s="146">
        <v>23.965650869934993</v>
      </c>
      <c r="H1460" s="146">
        <v>5.2274417324232232</v>
      </c>
      <c r="I1460" s="146"/>
      <c r="J1460" s="146">
        <v>0.14291994130661426</v>
      </c>
      <c r="K1460" s="146">
        <v>0.08</v>
      </c>
      <c r="L1460" s="146">
        <v>105.87326000179516</v>
      </c>
      <c r="M1460" s="146">
        <v>59.139014442419636</v>
      </c>
      <c r="N1460" s="146">
        <v>1.3898784869829539</v>
      </c>
      <c r="O1460" s="146"/>
      <c r="P1460" s="146"/>
      <c r="Q1460" s="146"/>
      <c r="R1460" s="146"/>
      <c r="S1460" s="146"/>
      <c r="T1460" s="146"/>
      <c r="U1460" s="146"/>
      <c r="V1460" s="146"/>
      <c r="W1460" s="146"/>
      <c r="X1460" s="146"/>
      <c r="Y1460" s="146"/>
      <c r="Z1460" s="146">
        <v>0.26588120119297137</v>
      </c>
      <c r="AA1460" s="146"/>
      <c r="AB1460" s="146"/>
      <c r="AC1460" s="146"/>
      <c r="AD1460" s="146"/>
      <c r="AE1460" s="146"/>
      <c r="AF1460" s="146"/>
      <c r="AG1460" s="146"/>
      <c r="AH1460" s="146"/>
      <c r="AI1460" s="146"/>
      <c r="AJ1460" s="146"/>
      <c r="AK1460" s="146"/>
      <c r="AL1460" s="146">
        <v>1458.1259235905748</v>
      </c>
      <c r="AM1460" s="146">
        <v>0.11014514374663863</v>
      </c>
      <c r="AN1460" s="146">
        <v>0.26843146670739587</v>
      </c>
      <c r="AO1460" s="146">
        <v>817.97532567310884</v>
      </c>
      <c r="AP1460" s="146">
        <v>763.18668009909754</v>
      </c>
      <c r="AQ1460" t="s">
        <v>382</v>
      </c>
      <c r="AR1460">
        <f t="shared" si="85"/>
        <v>4.8813386259591285</v>
      </c>
      <c r="AS1460">
        <f t="shared" si="86"/>
        <v>1.3321822791215501</v>
      </c>
      <c r="AT1460">
        <v>0.1</v>
      </c>
      <c r="AU1460">
        <v>0</v>
      </c>
      <c r="AV1460">
        <v>0.2</v>
      </c>
      <c r="AW1460" s="146">
        <v>3</v>
      </c>
      <c r="AX1460">
        <v>0.10818632369081937</v>
      </c>
      <c r="AY1460">
        <v>0.08</v>
      </c>
      <c r="AZ1460" s="209">
        <v>763.18668009909754</v>
      </c>
      <c r="BA1460">
        <v>0.10818632369081937</v>
      </c>
      <c r="BB1460" s="249">
        <v>42.143083457999069</v>
      </c>
      <c r="BC1460" s="243">
        <v>192.79091706247783</v>
      </c>
      <c r="BD1460" s="209">
        <v>93023.201220092917</v>
      </c>
      <c r="BE1460" s="243">
        <v>58.327964595819424</v>
      </c>
      <c r="BF1460">
        <v>387654.18772884377</v>
      </c>
      <c r="BG1460" t="s">
        <v>388</v>
      </c>
      <c r="BH1460">
        <v>8.4727900366450853E-6</v>
      </c>
      <c r="BI1460">
        <v>2130232.0122009292</v>
      </c>
      <c r="BJ1460">
        <f t="shared" si="84"/>
        <v>0.18197744917386924</v>
      </c>
    </row>
    <row r="1461" spans="1:62" x14ac:dyDescent="0.3">
      <c r="A1461">
        <v>-0.1</v>
      </c>
      <c r="B1461" s="146">
        <v>1000</v>
      </c>
      <c r="C1461" s="146">
        <v>25</v>
      </c>
      <c r="D1461" s="146">
        <v>1000</v>
      </c>
      <c r="E1461" s="252">
        <v>22.382385013500809</v>
      </c>
      <c r="F1461" s="146">
        <v>2.3797470606737465</v>
      </c>
      <c r="G1461" s="146">
        <v>24.1933321681548</v>
      </c>
      <c r="H1461" s="146">
        <v>5.2119287820358311</v>
      </c>
      <c r="I1461" s="146"/>
      <c r="J1461" s="146">
        <v>0.14364341423237356</v>
      </c>
      <c r="K1461" s="146">
        <v>0.08</v>
      </c>
      <c r="L1461" s="146">
        <v>105.5443356597255</v>
      </c>
      <c r="M1461" s="146">
        <v>58.955282861699537</v>
      </c>
      <c r="N1461" s="146">
        <v>1.4060584863602239</v>
      </c>
      <c r="O1461" s="146"/>
      <c r="P1461" s="146"/>
      <c r="Q1461" s="146"/>
      <c r="R1461" s="146"/>
      <c r="S1461" s="146"/>
      <c r="T1461" s="146"/>
      <c r="U1461" s="146"/>
      <c r="V1461" s="146"/>
      <c r="W1461" s="146"/>
      <c r="X1461" s="146"/>
      <c r="Y1461" s="146"/>
      <c r="Z1461" s="146">
        <v>0.26977699526642485</v>
      </c>
      <c r="AA1461" s="146"/>
      <c r="AB1461" s="146"/>
      <c r="AC1461" s="146"/>
      <c r="AD1461" s="146"/>
      <c r="AE1461" s="146"/>
      <c r="AF1461" s="146"/>
      <c r="AG1461" s="146"/>
      <c r="AH1461" s="146"/>
      <c r="AI1461" s="146"/>
      <c r="AJ1461" s="146"/>
      <c r="AK1461" s="146"/>
      <c r="AL1461" s="146">
        <v>1563.6314092319728</v>
      </c>
      <c r="AM1461" s="146">
        <v>9.8363757589628772E-2</v>
      </c>
      <c r="AN1461" s="146">
        <v>0.26740469715334503</v>
      </c>
      <c r="AO1461" s="146">
        <v>916.29771185109189</v>
      </c>
      <c r="AP1461" s="146">
        <v>860.60216605186031</v>
      </c>
      <c r="AQ1461" t="s">
        <v>382</v>
      </c>
      <c r="AR1461">
        <f t="shared" si="85"/>
        <v>4.8813386259591285</v>
      </c>
      <c r="AS1461">
        <f t="shared" si="86"/>
        <v>1.3321822791215501</v>
      </c>
      <c r="AT1461">
        <v>0.1</v>
      </c>
      <c r="AU1461">
        <v>0</v>
      </c>
      <c r="AV1461">
        <v>0.2</v>
      </c>
      <c r="AW1461" s="146">
        <v>3</v>
      </c>
      <c r="AX1461">
        <v>0.11077904964625035</v>
      </c>
      <c r="AY1461">
        <v>0.08</v>
      </c>
      <c r="AZ1461" s="209">
        <v>860.60216605186031</v>
      </c>
      <c r="BA1461">
        <v>0.11077904964625035</v>
      </c>
      <c r="BB1461" s="249">
        <v>40.57805196297597</v>
      </c>
      <c r="BC1461" s="243">
        <v>191.86647048335101</v>
      </c>
      <c r="BD1461" s="209">
        <v>91491.005884355953</v>
      </c>
      <c r="BE1461" s="243">
        <v>56.562979243497011</v>
      </c>
      <c r="BF1461">
        <v>390893.57173538482</v>
      </c>
      <c r="BG1461" t="s">
        <v>388</v>
      </c>
      <c r="BH1461">
        <v>8.6594204838902396E-6</v>
      </c>
      <c r="BI1461">
        <v>2114910.0588435596</v>
      </c>
      <c r="BJ1461">
        <f t="shared" si="84"/>
        <v>0.18482751552523555</v>
      </c>
    </row>
    <row r="1462" spans="1:62" s="140" customFormat="1" x14ac:dyDescent="0.3">
      <c r="A1462" s="140">
        <v>-0.1</v>
      </c>
      <c r="B1462" s="140">
        <v>1000</v>
      </c>
      <c r="C1462" s="140">
        <v>25</v>
      </c>
      <c r="D1462" s="140">
        <v>1100</v>
      </c>
      <c r="E1462" s="253">
        <v>22.681577757167727</v>
      </c>
      <c r="F1462" s="140">
        <v>2.1661664373909293</v>
      </c>
      <c r="G1462" s="140">
        <v>24.380217843908227</v>
      </c>
      <c r="H1462" s="140">
        <v>5.1993071105063073</v>
      </c>
      <c r="J1462" s="140">
        <v>0.14426111300935879</v>
      </c>
      <c r="K1462" s="140">
        <v>0.08</v>
      </c>
      <c r="L1462" s="140">
        <v>105.27701251787906</v>
      </c>
      <c r="M1462" s="140">
        <v>58.80596067074989</v>
      </c>
      <c r="N1462" s="140">
        <v>1.4180238505821929</v>
      </c>
      <c r="Z1462" s="140">
        <v>0.27273323549531703</v>
      </c>
      <c r="AL1462" s="140">
        <v>1667.4795903503489</v>
      </c>
      <c r="AM1462" s="140">
        <v>8.8849347091957145E-2</v>
      </c>
      <c r="AN1462" s="140">
        <v>0.26655368086289016</v>
      </c>
      <c r="AO1462" s="140">
        <v>1014.9080302183684</v>
      </c>
      <c r="AP1462" s="140">
        <v>958.46766505925211</v>
      </c>
      <c r="AQ1462" t="s">
        <v>382</v>
      </c>
      <c r="AR1462">
        <f t="shared" si="85"/>
        <v>4.8813386259591285</v>
      </c>
      <c r="AS1462">
        <f t="shared" si="86"/>
        <v>1.3321822791215501</v>
      </c>
      <c r="AT1462">
        <v>0.1</v>
      </c>
      <c r="AU1462">
        <v>0</v>
      </c>
      <c r="AV1462">
        <v>0.2</v>
      </c>
      <c r="AW1462" s="140">
        <v>3</v>
      </c>
      <c r="AX1462">
        <v>0.11308207210072493</v>
      </c>
      <c r="AY1462">
        <v>0.08</v>
      </c>
      <c r="AZ1462" s="209">
        <v>958.46766505925211</v>
      </c>
      <c r="BA1462" s="140">
        <v>0.11308207210072493</v>
      </c>
      <c r="BB1462" s="253">
        <v>39.292002927551557</v>
      </c>
      <c r="BC1462" s="245">
        <v>191.11807452441289</v>
      </c>
      <c r="BD1462" s="210">
        <v>90234.115847862529</v>
      </c>
      <c r="BE1462" s="245">
        <v>55.104672693601948</v>
      </c>
      <c r="BF1462" s="140">
        <v>393402.43299734552</v>
      </c>
      <c r="BG1462" t="s">
        <v>388</v>
      </c>
      <c r="BH1462" s="140">
        <v>8.8145438144938185E-6</v>
      </c>
      <c r="BI1462" s="140">
        <v>2102341.1584786251</v>
      </c>
      <c r="BJ1462">
        <f t="shared" si="84"/>
        <v>0.18712587698279862</v>
      </c>
    </row>
    <row r="1463" spans="1:62" x14ac:dyDescent="0.3">
      <c r="A1463">
        <v>-0.1</v>
      </c>
      <c r="B1463" s="146">
        <v>1000</v>
      </c>
      <c r="C1463" s="146">
        <v>25</v>
      </c>
      <c r="D1463" s="146">
        <v>400</v>
      </c>
      <c r="E1463" s="252">
        <v>17.789374432989522</v>
      </c>
      <c r="F1463" s="146">
        <v>5.7176362793164737</v>
      </c>
      <c r="G1463" s="146">
        <v>21.358604050103374</v>
      </c>
      <c r="H1463" s="146">
        <v>5.4270210085476052</v>
      </c>
      <c r="I1463" s="146"/>
      <c r="J1463" s="146">
        <v>0.13790563213688595</v>
      </c>
      <c r="K1463" s="146">
        <v>0.08</v>
      </c>
      <c r="L1463" s="146">
        <v>110.13819800942638</v>
      </c>
      <c r="M1463" s="146">
        <v>61.521336762758615</v>
      </c>
      <c r="N1463" s="146">
        <v>1.1617482851307095</v>
      </c>
      <c r="O1463" s="146"/>
      <c r="P1463" s="146"/>
      <c r="Q1463" s="146"/>
      <c r="R1463" s="146"/>
      <c r="S1463" s="146"/>
      <c r="T1463" s="146"/>
      <c r="U1463" s="146"/>
      <c r="V1463" s="146"/>
      <c r="W1463" s="146"/>
      <c r="X1463" s="146"/>
      <c r="Y1463" s="146"/>
      <c r="Z1463" s="146">
        <v>0.21406740148986816</v>
      </c>
      <c r="AA1463" s="146"/>
      <c r="AB1463" s="146"/>
      <c r="AC1463" s="146"/>
      <c r="AD1463" s="146"/>
      <c r="AE1463" s="146"/>
      <c r="AF1463" s="146"/>
      <c r="AG1463" s="146"/>
      <c r="AH1463" s="146"/>
      <c r="AI1463" s="146"/>
      <c r="AJ1463" s="146"/>
      <c r="AK1463" s="146"/>
      <c r="AL1463" s="146">
        <v>872.64935033390748</v>
      </c>
      <c r="AM1463" s="146">
        <v>0.26769709602293978</v>
      </c>
      <c r="AN1463" s="146">
        <v>0.27813956510799509</v>
      </c>
      <c r="AO1463" s="146">
        <v>336.04155372112439</v>
      </c>
      <c r="AP1463" s="146">
        <v>291.77520776855334</v>
      </c>
      <c r="AQ1463" t="s">
        <v>382</v>
      </c>
      <c r="AR1463">
        <f t="shared" si="85"/>
        <v>4.8813386259591285</v>
      </c>
      <c r="AS1463">
        <f t="shared" si="86"/>
        <v>1.3321822791215501</v>
      </c>
      <c r="AT1463">
        <v>0.1</v>
      </c>
      <c r="AU1463">
        <v>0</v>
      </c>
      <c r="AV1463">
        <v>0.2</v>
      </c>
      <c r="AW1463" s="146">
        <v>3</v>
      </c>
      <c r="AX1463">
        <v>8.8255354880377737E-2</v>
      </c>
      <c r="AY1463">
        <v>0.08</v>
      </c>
      <c r="AZ1463" s="209">
        <v>291.77520776855334</v>
      </c>
      <c r="BA1463">
        <v>8.8255354880377737E-2</v>
      </c>
      <c r="BB1463" s="249">
        <v>60.739986346826463</v>
      </c>
      <c r="BC1463" s="243">
        <v>205.1529947551804</v>
      </c>
      <c r="BD1463" s="209">
        <v>111863.6865259894</v>
      </c>
      <c r="BE1463" s="243">
        <v>79.011596227066306</v>
      </c>
      <c r="BF1463">
        <v>338723.88757511834</v>
      </c>
      <c r="BG1463" t="s">
        <v>389</v>
      </c>
      <c r="BH1463">
        <v>6.4348926342215527E-6</v>
      </c>
      <c r="BI1463">
        <v>2318636.8652598942</v>
      </c>
      <c r="BJ1463">
        <f t="shared" si="84"/>
        <v>0.14608751057581026</v>
      </c>
    </row>
    <row r="1464" spans="1:62" x14ac:dyDescent="0.3">
      <c r="A1464">
        <v>-0.1</v>
      </c>
      <c r="B1464" s="146">
        <v>1000</v>
      </c>
      <c r="C1464" s="146">
        <v>25</v>
      </c>
      <c r="D1464" s="146">
        <v>400</v>
      </c>
      <c r="E1464" s="252">
        <v>17.195983887366577</v>
      </c>
      <c r="F1464" s="146">
        <v>5.4546651014339327</v>
      </c>
      <c r="G1464" s="146">
        <v>20.595955357328005</v>
      </c>
      <c r="H1464" s="146">
        <v>5.2352232702971078</v>
      </c>
      <c r="I1464" s="146"/>
      <c r="J1464" s="146">
        <v>0.13986671593016226</v>
      </c>
      <c r="K1464" s="146">
        <v>0.08</v>
      </c>
      <c r="L1464" s="146">
        <v>106.2808952691672</v>
      </c>
      <c r="M1464" s="146">
        <v>59.366712616292311</v>
      </c>
      <c r="N1464" s="146">
        <v>1.1217959774395245</v>
      </c>
      <c r="O1464" s="146"/>
      <c r="P1464" s="146"/>
      <c r="Q1464" s="146"/>
      <c r="R1464" s="146"/>
      <c r="S1464" s="146"/>
      <c r="T1464" s="146"/>
      <c r="U1464" s="146"/>
      <c r="V1464" s="146"/>
      <c r="W1464" s="146"/>
      <c r="X1464" s="146"/>
      <c r="Y1464" s="146"/>
      <c r="Z1464" s="146">
        <v>0.2142785358943938</v>
      </c>
      <c r="AA1464" s="146"/>
      <c r="AB1464" s="146"/>
      <c r="AC1464" s="146"/>
      <c r="AD1464" s="146"/>
      <c r="AE1464" s="146"/>
      <c r="AF1464" s="146"/>
      <c r="AG1464" s="146"/>
      <c r="AH1464" s="146"/>
      <c r="AI1464" s="146"/>
      <c r="AJ1464" s="146"/>
      <c r="AK1464" s="146"/>
      <c r="AL1464" s="146">
        <v>856.59033030881744</v>
      </c>
      <c r="AM1464" s="146">
        <v>0.26484156752132271</v>
      </c>
      <c r="AN1464" s="146">
        <v>0.27952819280022323</v>
      </c>
      <c r="AO1464" s="146">
        <v>338.4821126087399</v>
      </c>
      <c r="AP1464" s="146">
        <v>295.69234158905533</v>
      </c>
      <c r="AQ1464" t="s">
        <v>382</v>
      </c>
      <c r="AR1464">
        <f t="shared" si="85"/>
        <v>4.8813386259591285</v>
      </c>
      <c r="AS1464">
        <f t="shared" si="86"/>
        <v>1.3321822791215501</v>
      </c>
      <c r="AT1464">
        <v>0.1</v>
      </c>
      <c r="AU1464">
        <v>0</v>
      </c>
      <c r="AV1464">
        <v>0.2</v>
      </c>
      <c r="AW1464" s="146">
        <v>2.5</v>
      </c>
      <c r="AX1464">
        <v>8.9325699881386389E-2</v>
      </c>
      <c r="AY1464">
        <v>0.08</v>
      </c>
      <c r="AZ1464" s="209">
        <v>295.69234158905533</v>
      </c>
      <c r="BA1464">
        <v>8.9325699881386389E-2</v>
      </c>
      <c r="BB1464" s="249">
        <v>58.168729441998195</v>
      </c>
      <c r="BC1464" s="243">
        <v>193.94213194027083</v>
      </c>
      <c r="BD1464" s="209">
        <v>104731.44007217123</v>
      </c>
      <c r="BE1464" s="243">
        <v>75.113435757514779</v>
      </c>
      <c r="BF1464">
        <v>386515.83944116376</v>
      </c>
      <c r="BG1464" t="s">
        <v>389</v>
      </c>
      <c r="BH1464">
        <v>6.2604049150519498E-6</v>
      </c>
      <c r="BI1464">
        <v>2247314.400721712</v>
      </c>
      <c r="BJ1464">
        <f t="shared" si="84"/>
        <v>0.17199010486340338</v>
      </c>
    </row>
    <row r="1465" spans="1:62" x14ac:dyDescent="0.3">
      <c r="A1465">
        <v>-0.1</v>
      </c>
      <c r="B1465" s="146">
        <v>1000</v>
      </c>
      <c r="C1465" s="146">
        <v>25</v>
      </c>
      <c r="D1465" s="146">
        <v>400</v>
      </c>
      <c r="E1465" s="252">
        <v>15.017047852984801</v>
      </c>
      <c r="F1465" s="146">
        <v>4.5573257226750039</v>
      </c>
      <c r="G1465" s="146">
        <v>17.845030873670513</v>
      </c>
      <c r="H1465" s="146">
        <v>4.5427947923758536</v>
      </c>
      <c r="I1465" s="146"/>
      <c r="J1465" s="146">
        <v>0.14755949446457234</v>
      </c>
      <c r="K1465" s="146">
        <v>0.08</v>
      </c>
      <c r="L1465" s="146">
        <v>92.327293864008098</v>
      </c>
      <c r="M1465" s="146">
        <v>51.572466599786544</v>
      </c>
      <c r="N1465" s="146">
        <v>0.97445321010421759</v>
      </c>
      <c r="O1465" s="146"/>
      <c r="P1465" s="146"/>
      <c r="Q1465" s="146"/>
      <c r="R1465" s="146"/>
      <c r="S1465" s="146"/>
      <c r="T1465" s="146"/>
      <c r="U1465" s="146"/>
      <c r="V1465" s="146"/>
      <c r="W1465" s="146"/>
      <c r="X1465" s="146"/>
      <c r="Y1465" s="146"/>
      <c r="Z1465" s="146">
        <v>0.21450522302694297</v>
      </c>
      <c r="AA1465" s="146"/>
      <c r="AB1465" s="146"/>
      <c r="AC1465" s="146"/>
      <c r="AD1465" s="146"/>
      <c r="AE1465" s="146"/>
      <c r="AF1465" s="146"/>
      <c r="AG1465" s="146"/>
      <c r="AH1465" s="146"/>
      <c r="AI1465" s="146"/>
      <c r="AJ1465" s="146"/>
      <c r="AK1465" s="146"/>
      <c r="AL1465" s="146">
        <v>796.99198275183528</v>
      </c>
      <c r="AM1465" s="146">
        <v>0.25538345968339676</v>
      </c>
      <c r="AN1465" s="146">
        <v>0.28405494517021374</v>
      </c>
      <c r="AO1465" s="146">
        <v>347.13329900316938</v>
      </c>
      <c r="AP1465" s="146">
        <v>309.76537769972634</v>
      </c>
      <c r="AQ1465" t="s">
        <v>382</v>
      </c>
      <c r="AR1465">
        <f t="shared" si="85"/>
        <v>4.8813386259591285</v>
      </c>
      <c r="AS1465">
        <f t="shared" si="86"/>
        <v>1.3321822791215501</v>
      </c>
      <c r="AT1465">
        <v>0.1</v>
      </c>
      <c r="AU1465">
        <v>0</v>
      </c>
      <c r="AV1465">
        <v>0.2</v>
      </c>
      <c r="AW1465" s="146">
        <v>1.5</v>
      </c>
      <c r="AX1465">
        <v>9.3484833827636227E-2</v>
      </c>
      <c r="AY1465">
        <v>0.08</v>
      </c>
      <c r="AZ1465" s="209">
        <v>309.76537769972634</v>
      </c>
      <c r="BA1465">
        <v>9.3484833827636227E-2</v>
      </c>
      <c r="BB1465" s="249">
        <v>49.246964084447782</v>
      </c>
      <c r="BC1465" s="243">
        <v>157.65491109003091</v>
      </c>
      <c r="BD1465" s="209">
        <v>81879.397177903957</v>
      </c>
      <c r="BE1465" s="243">
        <v>62.073152649253522</v>
      </c>
      <c r="BF1465">
        <v>508526.96392973553</v>
      </c>
      <c r="BG1465" t="s">
        <v>389</v>
      </c>
      <c r="BH1465">
        <v>5.6479851375395995E-6</v>
      </c>
      <c r="BI1465">
        <v>2018793.9717790396</v>
      </c>
      <c r="BJ1465">
        <f t="shared" si="84"/>
        <v>0.25189641490835335</v>
      </c>
    </row>
    <row r="1466" spans="1:62" x14ac:dyDescent="0.3">
      <c r="A1466">
        <v>-0.1</v>
      </c>
      <c r="B1466" s="146">
        <v>1000</v>
      </c>
      <c r="C1466" s="146">
        <v>25</v>
      </c>
      <c r="D1466" s="146">
        <v>400</v>
      </c>
      <c r="E1466" s="252">
        <v>12.997439357304785</v>
      </c>
      <c r="F1466" s="146">
        <v>3.8059406559134881</v>
      </c>
      <c r="G1466" s="146">
        <v>15.351659029950738</v>
      </c>
      <c r="H1466" s="146">
        <v>3.9122724998669036</v>
      </c>
      <c r="I1466" s="146"/>
      <c r="J1466" s="146">
        <v>0.15534546432873761</v>
      </c>
      <c r="K1466" s="146">
        <v>0.08</v>
      </c>
      <c r="L1466" s="146">
        <v>79.586812837091998</v>
      </c>
      <c r="M1466" s="146">
        <v>44.455849132435581</v>
      </c>
      <c r="N1466" s="146">
        <v>0.83800353724636789</v>
      </c>
      <c r="O1466" s="146"/>
      <c r="P1466" s="146"/>
      <c r="Q1466" s="146"/>
      <c r="R1466" s="146"/>
      <c r="S1466" s="146"/>
      <c r="T1466" s="146"/>
      <c r="U1466" s="146"/>
      <c r="V1466" s="146"/>
      <c r="W1466" s="146"/>
      <c r="X1466" s="146"/>
      <c r="Y1466" s="146"/>
      <c r="Z1466" s="146">
        <v>0.21419866261229936</v>
      </c>
      <c r="AA1466" s="146"/>
      <c r="AB1466" s="146"/>
      <c r="AC1466" s="146"/>
      <c r="AD1466" s="146"/>
      <c r="AE1466" s="146"/>
      <c r="AF1466" s="146"/>
      <c r="AG1466" s="146"/>
      <c r="AH1466" s="146"/>
      <c r="AI1466" s="146"/>
      <c r="AJ1466" s="146"/>
      <c r="AK1466" s="146"/>
      <c r="AL1466" s="146">
        <v>741.43988795630128</v>
      </c>
      <c r="AM1466" s="146">
        <v>0.24791722174705574</v>
      </c>
      <c r="AN1466" s="146">
        <v>0.28742929668897577</v>
      </c>
      <c r="AO1466" s="146">
        <v>354.78039466739125</v>
      </c>
      <c r="AP1466" s="146">
        <v>322.4381193331177</v>
      </c>
      <c r="AQ1466" t="s">
        <v>382</v>
      </c>
      <c r="AR1466">
        <f t="shared" si="85"/>
        <v>4.8813386259591285</v>
      </c>
      <c r="AS1466">
        <f t="shared" si="86"/>
        <v>1.3321822791215501</v>
      </c>
      <c r="AT1466">
        <v>0.1</v>
      </c>
      <c r="AU1466">
        <v>0</v>
      </c>
      <c r="AV1466">
        <v>0.2</v>
      </c>
      <c r="AW1466" s="146">
        <v>1</v>
      </c>
      <c r="AX1466">
        <v>9.7700869340128393E-2</v>
      </c>
      <c r="AY1466">
        <v>0.08</v>
      </c>
      <c r="AZ1466" s="209">
        <v>322.4381193331177</v>
      </c>
      <c r="BA1466">
        <v>9.7700869340128393E-2</v>
      </c>
      <c r="BB1466" s="249">
        <v>41.587730167294644</v>
      </c>
      <c r="BC1466" s="243">
        <v>129.05127589936049</v>
      </c>
      <c r="BD1466" s="209">
        <v>64383.052518591576</v>
      </c>
      <c r="BE1466" s="243">
        <v>51.448461976323202</v>
      </c>
      <c r="BF1466">
        <v>577594.45133351116</v>
      </c>
      <c r="BG1466" t="s">
        <v>389</v>
      </c>
      <c r="BH1466">
        <v>5.0563657364726526E-6</v>
      </c>
      <c r="BI1466">
        <v>1843830.5251859156</v>
      </c>
      <c r="BJ1466">
        <f t="shared" si="84"/>
        <v>0.31325788538795973</v>
      </c>
    </row>
    <row r="1467" spans="1:62" x14ac:dyDescent="0.3">
      <c r="A1467">
        <v>-0.1</v>
      </c>
      <c r="B1467" s="146">
        <v>1000</v>
      </c>
      <c r="C1467" s="146">
        <v>25</v>
      </c>
      <c r="D1467" s="146">
        <v>400</v>
      </c>
      <c r="E1467" s="252">
        <v>11.881682737130546</v>
      </c>
      <c r="F1467" s="146">
        <v>3.4180491439289487</v>
      </c>
      <c r="G1467" s="146">
        <v>13.992782991736492</v>
      </c>
      <c r="H1467" s="146">
        <v>3.5675644404686779</v>
      </c>
      <c r="I1467" s="146"/>
      <c r="J1467" s="146">
        <v>0.16001585446387634</v>
      </c>
      <c r="K1467" s="146">
        <v>0.08</v>
      </c>
      <c r="L1467" s="146">
        <v>72.609128163110441</v>
      </c>
      <c r="M1467" s="146">
        <v>40.558232352691121</v>
      </c>
      <c r="N1467" s="146">
        <v>0.7624686899103934</v>
      </c>
      <c r="O1467" s="146"/>
      <c r="P1467" s="146"/>
      <c r="Q1467" s="146"/>
      <c r="R1467" s="146"/>
      <c r="S1467" s="146"/>
      <c r="T1467" s="146"/>
      <c r="U1467" s="146"/>
      <c r="V1467" s="146"/>
      <c r="W1467" s="146"/>
      <c r="X1467" s="146"/>
      <c r="Y1467" s="146"/>
      <c r="Z1467" s="146">
        <v>0.2137224716283545</v>
      </c>
      <c r="AA1467" s="146"/>
      <c r="AB1467" s="146"/>
      <c r="AC1467" s="146"/>
      <c r="AD1467" s="146"/>
      <c r="AE1467" s="146"/>
      <c r="AF1467" s="146"/>
      <c r="AG1467" s="146"/>
      <c r="AH1467" s="146"/>
      <c r="AI1467" s="146"/>
      <c r="AJ1467" s="146"/>
      <c r="AK1467" s="146"/>
      <c r="AL1467" s="146">
        <v>710.5574266038501</v>
      </c>
      <c r="AM1467" s="146">
        <v>0.24427228993313871</v>
      </c>
      <c r="AN1467" s="146">
        <v>0.28901433097420365</v>
      </c>
      <c r="AO1467" s="146">
        <v>358.8889495649575</v>
      </c>
      <c r="AP1467" s="146">
        <v>329.32308164865327</v>
      </c>
      <c r="AQ1467" t="s">
        <v>382</v>
      </c>
      <c r="AR1467">
        <f t="shared" si="85"/>
        <v>4.8813386259591285</v>
      </c>
      <c r="AS1467">
        <f t="shared" si="86"/>
        <v>1.3321822791215501</v>
      </c>
      <c r="AT1467">
        <v>0.1</v>
      </c>
      <c r="AU1467">
        <v>0</v>
      </c>
      <c r="AV1467">
        <v>0.2</v>
      </c>
      <c r="AW1467" s="146">
        <v>0.8</v>
      </c>
      <c r="AX1467">
        <v>0.10026836814282802</v>
      </c>
      <c r="AY1467">
        <v>0.08</v>
      </c>
      <c r="AZ1467" s="209">
        <v>329.32308164865327</v>
      </c>
      <c r="BA1467">
        <v>0.10026836814282802</v>
      </c>
      <c r="BB1467" s="249">
        <v>37.562190198141181</v>
      </c>
      <c r="BC1467" s="243">
        <v>114.78660059908356</v>
      </c>
      <c r="BD1467" s="209">
        <v>55912.817338146182</v>
      </c>
      <c r="BE1467" s="243">
        <v>46.043672457504549</v>
      </c>
      <c r="BF1467">
        <v>604190.21339943004</v>
      </c>
      <c r="BG1467" t="s">
        <v>389</v>
      </c>
      <c r="BH1467">
        <v>4.708237235022303E-6</v>
      </c>
      <c r="BI1467">
        <v>1759128.1733814618</v>
      </c>
      <c r="BJ1467">
        <f t="shared" si="84"/>
        <v>0.34346002897448519</v>
      </c>
    </row>
    <row r="1468" spans="1:62" x14ac:dyDescent="0.3">
      <c r="A1468">
        <v>-0.1</v>
      </c>
      <c r="B1468" s="146">
        <v>1000</v>
      </c>
      <c r="C1468" s="146">
        <v>25</v>
      </c>
      <c r="D1468" s="146">
        <v>400</v>
      </c>
      <c r="E1468" s="252">
        <v>10.494968634188423</v>
      </c>
      <c r="F1468" s="146">
        <v>2.9589526966178155</v>
      </c>
      <c r="G1468" s="146">
        <v>12.319407746756053</v>
      </c>
      <c r="H1468" s="146">
        <v>3.1426539231601551</v>
      </c>
      <c r="I1468" s="146"/>
      <c r="J1468" s="146">
        <v>0.16635999569849924</v>
      </c>
      <c r="K1468" s="146">
        <v>0.08</v>
      </c>
      <c r="L1468" s="146">
        <v>63.996889063044605</v>
      </c>
      <c r="M1468" s="146">
        <v>35.747581084261981</v>
      </c>
      <c r="N1468" s="146">
        <v>0.66813771286319001</v>
      </c>
      <c r="O1468" s="146"/>
      <c r="P1468" s="146"/>
      <c r="Q1468" s="146"/>
      <c r="R1468" s="146"/>
      <c r="S1468" s="146"/>
      <c r="T1468" s="146"/>
      <c r="U1468" s="146"/>
      <c r="V1468" s="146"/>
      <c r="W1468" s="146"/>
      <c r="X1468" s="146"/>
      <c r="Y1468" s="146"/>
      <c r="Z1468" s="146">
        <v>0.21260301935866088</v>
      </c>
      <c r="AA1468" s="146"/>
      <c r="AB1468" s="146"/>
      <c r="AC1468" s="146"/>
      <c r="AD1468" s="146"/>
      <c r="AE1468" s="146"/>
      <c r="AF1468" s="146"/>
      <c r="AG1468" s="146"/>
      <c r="AH1468" s="146"/>
      <c r="AI1468" s="146"/>
      <c r="AJ1468" s="146"/>
      <c r="AK1468" s="146"/>
      <c r="AL1468" s="146">
        <v>671.86369547077777</v>
      </c>
      <c r="AM1468" s="146">
        <v>0.2401862782240459</v>
      </c>
      <c r="AN1468" s="146">
        <v>0.29080050585067918</v>
      </c>
      <c r="AO1468" s="146">
        <v>363.91007435324957</v>
      </c>
      <c r="AP1468" s="146">
        <v>337.79483903918288</v>
      </c>
      <c r="AQ1468" t="s">
        <v>382</v>
      </c>
      <c r="AR1468">
        <f t="shared" si="85"/>
        <v>4.8813386259591285</v>
      </c>
      <c r="AS1468">
        <f t="shared" si="86"/>
        <v>1.3321822791215501</v>
      </c>
      <c r="AT1468">
        <v>0.1</v>
      </c>
      <c r="AU1468">
        <v>0</v>
      </c>
      <c r="AV1468">
        <v>0.2</v>
      </c>
      <c r="AW1468" s="146">
        <v>0.6</v>
      </c>
      <c r="AX1468">
        <v>0.10384319181337487</v>
      </c>
      <c r="AY1468">
        <v>0.08</v>
      </c>
      <c r="AZ1468" s="209">
        <v>337.79483903918288</v>
      </c>
      <c r="BA1468">
        <v>0.10384319181337487</v>
      </c>
      <c r="BB1468" s="249">
        <v>32.732265641588846</v>
      </c>
      <c r="BC1468" s="243">
        <v>98.29208696223678</v>
      </c>
      <c r="BD1468" s="209">
        <v>46384.101598699337</v>
      </c>
      <c r="BE1468" s="243">
        <v>39.693018741252473</v>
      </c>
      <c r="BF1468">
        <v>627768.81682032847</v>
      </c>
      <c r="BG1468" t="s">
        <v>389</v>
      </c>
      <c r="BH1468">
        <v>4.251896525730864E-6</v>
      </c>
      <c r="BI1468">
        <v>1663841.0159869934</v>
      </c>
      <c r="BJ1468">
        <f t="shared" si="84"/>
        <v>0.37730096252491702</v>
      </c>
    </row>
    <row r="1469" spans="1:62" x14ac:dyDescent="0.3">
      <c r="A1469">
        <v>-0.1</v>
      </c>
      <c r="B1469" s="146">
        <v>1000</v>
      </c>
      <c r="C1469" s="146">
        <v>25</v>
      </c>
      <c r="D1469" s="146">
        <v>400</v>
      </c>
      <c r="E1469" s="252">
        <v>8.7028363628379335</v>
      </c>
      <c r="F1469" s="146">
        <v>2.3984705356621654</v>
      </c>
      <c r="G1469" s="146">
        <v>10.178630252547267</v>
      </c>
      <c r="H1469" s="146">
        <v>2.597349030789057</v>
      </c>
      <c r="I1469" s="146"/>
      <c r="J1469" s="146">
        <v>0.17551469357946453</v>
      </c>
      <c r="K1469" s="146">
        <v>0.08</v>
      </c>
      <c r="L1469" s="146">
        <v>52.927998870631882</v>
      </c>
      <c r="M1469" s="146">
        <v>29.564686017655415</v>
      </c>
      <c r="N1469" s="146">
        <v>0.54605334931813587</v>
      </c>
      <c r="O1469" s="146"/>
      <c r="P1469" s="146"/>
      <c r="Q1469" s="146"/>
      <c r="R1469" s="146"/>
      <c r="S1469" s="146"/>
      <c r="T1469" s="146"/>
      <c r="U1469" s="146"/>
      <c r="V1469" s="146"/>
      <c r="W1469" s="146"/>
      <c r="X1469" s="146"/>
      <c r="Y1469" s="146"/>
      <c r="Z1469" s="146">
        <v>0.21023487519205247</v>
      </c>
      <c r="AA1469" s="146"/>
      <c r="AB1469" s="146"/>
      <c r="AC1469" s="146"/>
      <c r="AD1469" s="146"/>
      <c r="AE1469" s="146"/>
      <c r="AF1469" s="146"/>
      <c r="AG1469" s="146"/>
      <c r="AH1469" s="146"/>
      <c r="AI1469" s="146"/>
      <c r="AJ1469" s="146"/>
      <c r="AK1469" s="146"/>
      <c r="AL1469" s="146">
        <v>621.63803236369779</v>
      </c>
      <c r="AM1469" s="146">
        <v>0.23563784872349922</v>
      </c>
      <c r="AN1469" s="146">
        <v>0.29270077512689885</v>
      </c>
      <c r="AO1469" s="146">
        <v>370.26712225457936</v>
      </c>
      <c r="AP1469" s="146">
        <v>348.61135770462994</v>
      </c>
      <c r="AQ1469" t="s">
        <v>382</v>
      </c>
      <c r="AR1469">
        <f t="shared" si="85"/>
        <v>4.8813386259591285</v>
      </c>
      <c r="AS1469">
        <f t="shared" si="86"/>
        <v>1.3321822791215501</v>
      </c>
      <c r="AT1469">
        <v>0.1</v>
      </c>
      <c r="AU1469">
        <v>0</v>
      </c>
      <c r="AV1469">
        <v>0.2</v>
      </c>
      <c r="AW1469" s="146">
        <v>0.4</v>
      </c>
      <c r="AX1469">
        <v>0.10929535362691475</v>
      </c>
      <c r="AY1469">
        <v>0.08</v>
      </c>
      <c r="AZ1469" s="209">
        <v>348.61135770462994</v>
      </c>
      <c r="BA1469">
        <v>0.10929535362691475</v>
      </c>
      <c r="BB1469" s="249">
        <v>26.737010229606312</v>
      </c>
      <c r="BC1469" s="243">
        <v>78.600824770150467</v>
      </c>
      <c r="BD1469" s="209">
        <v>35499.260205818551</v>
      </c>
      <c r="BE1469" s="243">
        <v>32.022623981149749</v>
      </c>
      <c r="BF1469">
        <v>644897.4298845561</v>
      </c>
      <c r="BG1469" t="s">
        <v>389</v>
      </c>
      <c r="BH1469">
        <v>3.6192291918664826E-6</v>
      </c>
      <c r="BI1469">
        <v>1554992.6020581855</v>
      </c>
      <c r="BJ1469">
        <f t="shared" si="84"/>
        <v>0.41472700836709514</v>
      </c>
    </row>
    <row r="1470" spans="1:62" x14ac:dyDescent="0.3">
      <c r="A1470">
        <v>-0.1</v>
      </c>
      <c r="B1470" s="146">
        <v>1000</v>
      </c>
      <c r="C1470" s="146">
        <v>25</v>
      </c>
      <c r="D1470" s="146">
        <v>400</v>
      </c>
      <c r="E1470" s="252">
        <v>7.5695421074063534</v>
      </c>
      <c r="F1470" s="146">
        <v>2.0597246081268454</v>
      </c>
      <c r="G1470" s="146">
        <v>8.835137432869713</v>
      </c>
      <c r="H1470" s="146">
        <v>2.2476861483833139</v>
      </c>
      <c r="I1470" s="146"/>
      <c r="J1470" s="146">
        <v>0.17971153222357494</v>
      </c>
      <c r="K1470" s="146">
        <v>0.08</v>
      </c>
      <c r="L1470" s="146">
        <v>45.821520028198307</v>
      </c>
      <c r="M1470" s="146">
        <v>25.595126991227939</v>
      </c>
      <c r="N1470" s="146">
        <v>0.47725570924547567</v>
      </c>
      <c r="O1470" s="146"/>
      <c r="P1470" s="146"/>
      <c r="Q1470" s="146"/>
      <c r="R1470" s="146"/>
      <c r="S1470" s="146"/>
      <c r="T1470" s="146"/>
      <c r="U1470" s="146"/>
      <c r="V1470" s="146"/>
      <c r="W1470" s="146"/>
      <c r="X1470" s="146"/>
      <c r="Y1470" s="146"/>
      <c r="Z1470" s="146">
        <v>0.21233200622282158</v>
      </c>
      <c r="AA1470" s="146"/>
      <c r="AB1470" s="146"/>
      <c r="AC1470" s="146"/>
      <c r="AD1470" s="146"/>
      <c r="AE1470" s="146"/>
      <c r="AF1470" s="146"/>
      <c r="AG1470" s="146"/>
      <c r="AH1470" s="146"/>
      <c r="AI1470" s="146"/>
      <c r="AJ1470" s="146"/>
      <c r="AK1470" s="146"/>
      <c r="AL1470" s="146">
        <v>593.92914863094256</v>
      </c>
      <c r="AM1470" s="146">
        <v>0.23312875705407479</v>
      </c>
      <c r="AN1470" s="146">
        <v>0.29267890953266151</v>
      </c>
      <c r="AO1470" s="146">
        <v>374.13704281086359</v>
      </c>
      <c r="AP1470" s="146">
        <v>355.30129400820505</v>
      </c>
      <c r="AQ1470" t="s">
        <v>382</v>
      </c>
      <c r="AR1470">
        <f t="shared" si="85"/>
        <v>4.8813386259591285</v>
      </c>
      <c r="AS1470">
        <f t="shared" si="86"/>
        <v>1.3321822791215501</v>
      </c>
      <c r="AT1470">
        <v>0.1</v>
      </c>
      <c r="AU1470">
        <v>0</v>
      </c>
      <c r="AV1470">
        <v>0.2</v>
      </c>
      <c r="AW1470" s="146">
        <v>0.3</v>
      </c>
      <c r="AX1470">
        <v>0.11233703582113486</v>
      </c>
      <c r="AY1470">
        <v>0.08</v>
      </c>
      <c r="AZ1470" s="209">
        <v>355.30129400820505</v>
      </c>
      <c r="BA1470">
        <v>0.11233703582113486</v>
      </c>
      <c r="BB1470" s="249">
        <v>23.065639703021485</v>
      </c>
      <c r="BC1470" s="243">
        <v>66.71183687404752</v>
      </c>
      <c r="BD1470" s="209">
        <v>29358.654790912191</v>
      </c>
      <c r="BE1470" s="243">
        <v>27.581371685927159</v>
      </c>
      <c r="BF1470">
        <v>649002.61727939523</v>
      </c>
      <c r="BG1470" t="s">
        <v>389</v>
      </c>
      <c r="BH1470">
        <v>3.191538768797644E-6</v>
      </c>
      <c r="BI1470">
        <v>1493586.547909122</v>
      </c>
      <c r="BJ1470">
        <f t="shared" si="84"/>
        <v>0.43452628720306613</v>
      </c>
    </row>
    <row r="1471" spans="1:62" x14ac:dyDescent="0.3">
      <c r="A1471">
        <v>-0.1</v>
      </c>
      <c r="B1471" s="146">
        <v>1000</v>
      </c>
      <c r="C1471" s="146">
        <v>25</v>
      </c>
      <c r="D1471" s="146">
        <v>400</v>
      </c>
      <c r="E1471" s="252">
        <v>6.156039918628883</v>
      </c>
      <c r="F1471" s="146">
        <v>1.6521298574523355</v>
      </c>
      <c r="G1471" s="146">
        <v>7.1694860198481347</v>
      </c>
      <c r="H1471" s="146">
        <v>1.817734735383608</v>
      </c>
      <c r="I1471" s="146"/>
      <c r="J1471" s="146">
        <v>0.18632767813704648</v>
      </c>
      <c r="K1471" s="146">
        <v>0.08</v>
      </c>
      <c r="L1471" s="146">
        <v>37.074289886760042</v>
      </c>
      <c r="M1471" s="146">
        <v>20.709072007590759</v>
      </c>
      <c r="N1471" s="146">
        <v>0.38731765051020828</v>
      </c>
      <c r="O1471" s="146"/>
      <c r="P1471" s="146"/>
      <c r="Q1471" s="146"/>
      <c r="R1471" s="146"/>
      <c r="S1471" s="146"/>
      <c r="T1471" s="146"/>
      <c r="U1471" s="146"/>
      <c r="V1471" s="146"/>
      <c r="W1471" s="146"/>
      <c r="X1471" s="146"/>
      <c r="Y1471" s="146"/>
      <c r="Z1471" s="146">
        <v>0.21307710248958311</v>
      </c>
      <c r="AA1471" s="146"/>
      <c r="AB1471" s="146"/>
      <c r="AC1471" s="146"/>
      <c r="AD1471" s="146"/>
      <c r="AE1471" s="146"/>
      <c r="AF1471" s="146"/>
      <c r="AG1471" s="146"/>
      <c r="AH1471" s="146"/>
      <c r="AI1471" s="146"/>
      <c r="AJ1471" s="146"/>
      <c r="AK1471" s="146"/>
      <c r="AL1471" s="146">
        <v>557.30539238544418</v>
      </c>
      <c r="AM1471" s="146">
        <v>0.2304390932458128</v>
      </c>
      <c r="AN1471" s="146">
        <v>0.29265688459962236</v>
      </c>
      <c r="AO1471" s="146">
        <v>378.96499196644277</v>
      </c>
      <c r="AP1471" s="146">
        <v>363.6465671303402</v>
      </c>
      <c r="AQ1471" t="s">
        <v>382</v>
      </c>
      <c r="AR1471">
        <f t="shared" si="85"/>
        <v>4.8813386259591285</v>
      </c>
      <c r="AS1471">
        <f t="shared" si="86"/>
        <v>1.3321822791215501</v>
      </c>
      <c r="AT1471">
        <v>0.1</v>
      </c>
      <c r="AU1471">
        <v>0</v>
      </c>
      <c r="AV1471">
        <v>0.2</v>
      </c>
      <c r="AW1471" s="146">
        <v>0.2</v>
      </c>
      <c r="AX1471">
        <v>0.11751624146279777</v>
      </c>
      <c r="AY1471">
        <v>0.08</v>
      </c>
      <c r="AZ1471" s="209">
        <v>363.6465671303402</v>
      </c>
      <c r="BA1471">
        <v>0.11751624146279777</v>
      </c>
      <c r="BB1471" s="249">
        <v>18.595217912901486</v>
      </c>
      <c r="BC1471" s="243">
        <v>52.764722031546633</v>
      </c>
      <c r="BD1471" s="209">
        <v>22415.853671543653</v>
      </c>
      <c r="BE1471" s="243">
        <v>22.187746965686877</v>
      </c>
      <c r="BF1471">
        <v>642568.44635237579</v>
      </c>
      <c r="BG1471" t="s">
        <v>389</v>
      </c>
      <c r="BH1471">
        <v>2.6335501939262633E-6</v>
      </c>
      <c r="BI1471">
        <v>1424158.5367154365</v>
      </c>
      <c r="BJ1471">
        <f t="shared" si="84"/>
        <v>0.45119165443079351</v>
      </c>
    </row>
    <row r="1472" spans="1:62" s="140" customFormat="1" x14ac:dyDescent="0.3">
      <c r="A1472" s="140">
        <v>-0.1</v>
      </c>
      <c r="B1472" s="140">
        <v>1000</v>
      </c>
      <c r="C1472" s="140">
        <v>25</v>
      </c>
      <c r="D1472" s="140">
        <v>400</v>
      </c>
      <c r="E1472" s="253">
        <v>4.2349916955866203</v>
      </c>
      <c r="F1472" s="140">
        <v>1.120315943862741</v>
      </c>
      <c r="G1472" s="140">
        <v>4.9206346572205311</v>
      </c>
      <c r="H1472" s="140">
        <v>1.2422817678094658</v>
      </c>
      <c r="J1472" s="140">
        <v>0.19857949904941138</v>
      </c>
      <c r="K1472" s="140">
        <v>0.08</v>
      </c>
      <c r="L1472" s="140">
        <v>25.352674847822367</v>
      </c>
      <c r="M1472" s="140">
        <v>14.161575868674619</v>
      </c>
      <c r="N1472" s="140">
        <v>0.25953097780245149</v>
      </c>
      <c r="Z1472" s="140">
        <v>0.20891474424524992</v>
      </c>
      <c r="AL1472" s="140">
        <v>504.75039131128932</v>
      </c>
      <c r="AM1472" s="140">
        <v>0.2276771233602542</v>
      </c>
      <c r="AN1472" s="140">
        <v>0.29253473986993694</v>
      </c>
      <c r="AO1472" s="140">
        <v>385.52311531454512</v>
      </c>
      <c r="AP1472" s="140">
        <v>374.98490241006346</v>
      </c>
      <c r="AQ1472" t="s">
        <v>382</v>
      </c>
      <c r="AR1472">
        <f t="shared" si="85"/>
        <v>4.8813386259591285</v>
      </c>
      <c r="AS1472">
        <f t="shared" si="86"/>
        <v>1.3321822791215501</v>
      </c>
      <c r="AT1472">
        <v>0.1</v>
      </c>
      <c r="AU1472">
        <v>0</v>
      </c>
      <c r="AV1472">
        <v>0.2</v>
      </c>
      <c r="AW1472" s="140">
        <v>0.1</v>
      </c>
      <c r="AX1472">
        <v>0.1288329419106376</v>
      </c>
      <c r="AY1472">
        <v>0.08</v>
      </c>
      <c r="AZ1472" s="209">
        <v>374.98490241006346</v>
      </c>
      <c r="BA1472" s="140">
        <v>0.1288329419106376</v>
      </c>
      <c r="BB1472" s="253">
        <v>12.680113104449637</v>
      </c>
      <c r="BC1472" s="245">
        <v>35.09117600449909</v>
      </c>
      <c r="BD1472" s="210">
        <v>14141.51052897121</v>
      </c>
      <c r="BE1472" s="245">
        <v>15.1028198765172</v>
      </c>
      <c r="BF1472" s="140">
        <v>611784.31987197301</v>
      </c>
      <c r="BG1472" t="s">
        <v>389</v>
      </c>
      <c r="BH1472" s="140">
        <v>1.8220630292199149E-6</v>
      </c>
      <c r="BI1472" s="140">
        <v>1341415.1052897121</v>
      </c>
      <c r="BJ1472">
        <f t="shared" si="84"/>
        <v>0.45607382640874833</v>
      </c>
    </row>
    <row r="1473" spans="1:62" x14ac:dyDescent="0.3">
      <c r="A1473">
        <v>-0.1</v>
      </c>
      <c r="B1473" s="146">
        <v>1000</v>
      </c>
      <c r="C1473" s="146">
        <v>25</v>
      </c>
      <c r="D1473" s="146">
        <v>400</v>
      </c>
      <c r="E1473" s="252">
        <v>17.79883247049861</v>
      </c>
      <c r="F1473" s="146">
        <v>5.7228175763721687</v>
      </c>
      <c r="G1473" s="146">
        <v>21.371213267665539</v>
      </c>
      <c r="H1473" s="146">
        <v>5.4285172694047494</v>
      </c>
      <c r="I1473" s="146"/>
      <c r="J1473" s="146">
        <v>0.13774295879885159</v>
      </c>
      <c r="K1473" s="146">
        <v>0.08</v>
      </c>
      <c r="L1473" s="146">
        <v>110.16837537168486</v>
      </c>
      <c r="M1473" s="146">
        <v>61.538193327507898</v>
      </c>
      <c r="N1473" s="146">
        <v>1.1632871584131284</v>
      </c>
      <c r="O1473" s="146"/>
      <c r="P1473" s="146"/>
      <c r="Q1473" s="146"/>
      <c r="R1473" s="146"/>
      <c r="S1473" s="146"/>
      <c r="T1473" s="146"/>
      <c r="U1473" s="146"/>
      <c r="V1473" s="146"/>
      <c r="W1473" s="146"/>
      <c r="X1473" s="146"/>
      <c r="Y1473" s="146"/>
      <c r="Z1473" s="146">
        <v>0.2142918776310139</v>
      </c>
      <c r="AA1473" s="146"/>
      <c r="AB1473" s="146"/>
      <c r="AC1473" s="146"/>
      <c r="AD1473" s="146"/>
      <c r="AE1473" s="146"/>
      <c r="AF1473" s="146"/>
      <c r="AG1473" s="146"/>
      <c r="AH1473" s="146"/>
      <c r="AI1473" s="146"/>
      <c r="AJ1473" s="146"/>
      <c r="AK1473" s="146"/>
      <c r="AL1473" s="146">
        <v>873.32095070385537</v>
      </c>
      <c r="AM1473" s="146">
        <v>0.26778159502206372</v>
      </c>
      <c r="AN1473" s="146">
        <v>0.27796436030940369</v>
      </c>
      <c r="AO1473" s="146">
        <v>335.96721374392519</v>
      </c>
      <c r="AP1473" s="146">
        <v>291.67737149729135</v>
      </c>
      <c r="AQ1473" t="s">
        <v>382</v>
      </c>
      <c r="AR1473">
        <f t="shared" si="85"/>
        <v>4.8813386259591285</v>
      </c>
      <c r="AS1473">
        <f t="shared" si="86"/>
        <v>1.3321822791215501</v>
      </c>
      <c r="AT1473">
        <v>0.1</v>
      </c>
      <c r="AU1473">
        <v>0</v>
      </c>
      <c r="AV1473">
        <v>0.2</v>
      </c>
      <c r="AW1473" s="146">
        <v>3</v>
      </c>
      <c r="AX1473">
        <v>8.8171713997700421E-2</v>
      </c>
      <c r="AY1473">
        <v>0.08</v>
      </c>
      <c r="AZ1473" s="209">
        <v>291.67737149729135</v>
      </c>
      <c r="BA1473">
        <v>8.8171713997700421E-2</v>
      </c>
      <c r="BB1473" s="249">
        <v>60.789011300973719</v>
      </c>
      <c r="BC1473" s="243">
        <v>205.24305731634809</v>
      </c>
      <c r="BD1473" s="209">
        <v>111991.39944692062</v>
      </c>
      <c r="BE1473" s="243">
        <v>79.145746275989993</v>
      </c>
      <c r="BF1473">
        <v>339188.5718055825</v>
      </c>
      <c r="BG1473" t="s">
        <v>390</v>
      </c>
      <c r="BH1473">
        <v>6.4340218290397877E-6</v>
      </c>
      <c r="BI1473">
        <v>2319913.9944692063</v>
      </c>
      <c r="BJ1473">
        <f t="shared" si="84"/>
        <v>0.14620739071113215</v>
      </c>
    </row>
    <row r="1474" spans="1:62" s="140" customFormat="1" x14ac:dyDescent="0.3">
      <c r="A1474">
        <v>-0.2</v>
      </c>
      <c r="B1474" s="146">
        <v>1000</v>
      </c>
      <c r="C1474" s="146">
        <v>25</v>
      </c>
      <c r="D1474" s="146">
        <v>400</v>
      </c>
      <c r="E1474" s="252">
        <v>17.64680644920389</v>
      </c>
      <c r="F1474" s="146">
        <v>5.8194930187860194</v>
      </c>
      <c r="G1474" s="146">
        <v>21.269677345740547</v>
      </c>
      <c r="H1474" s="146">
        <v>5.4337812710266924</v>
      </c>
      <c r="I1474" s="146"/>
      <c r="J1474" s="146">
        <v>0.13795584403792471</v>
      </c>
      <c r="K1474" s="146">
        <v>0.08</v>
      </c>
      <c r="L1474" s="146">
        <v>110.28450044905632</v>
      </c>
      <c r="M1474" s="146">
        <v>61.603058833941546</v>
      </c>
      <c r="N1474" s="146">
        <v>1.1531657092477587</v>
      </c>
      <c r="O1474" s="146"/>
      <c r="P1474" s="146"/>
      <c r="Q1474" s="146"/>
      <c r="R1474" s="146"/>
      <c r="S1474" s="146"/>
      <c r="T1474" s="146"/>
      <c r="U1474" s="146"/>
      <c r="V1474" s="146"/>
      <c r="W1474" s="146"/>
      <c r="X1474" s="146"/>
      <c r="Y1474" s="146"/>
      <c r="Z1474" s="146">
        <v>0.21222159150875655</v>
      </c>
      <c r="AA1474" s="146"/>
      <c r="AB1474" s="146"/>
      <c r="AC1474" s="146"/>
      <c r="AD1474" s="146"/>
      <c r="AE1474" s="146"/>
      <c r="AF1474" s="146"/>
      <c r="AG1474" s="146"/>
      <c r="AH1474" s="146"/>
      <c r="AI1474" s="146"/>
      <c r="AJ1474" s="146"/>
      <c r="AK1474" s="146"/>
      <c r="AL1474" s="146">
        <v>861.37106419795805</v>
      </c>
      <c r="AM1474" s="146">
        <v>0.27360513862949726</v>
      </c>
      <c r="AN1474" s="146">
        <v>0.24749993950622992</v>
      </c>
      <c r="AO1474" s="146">
        <v>328.69975449525435</v>
      </c>
      <c r="AP1474" s="146">
        <v>284.78820957407942</v>
      </c>
      <c r="AQ1474" t="s">
        <v>382</v>
      </c>
      <c r="AR1474">
        <f t="shared" si="85"/>
        <v>4.8813386259591285</v>
      </c>
      <c r="AS1474">
        <f t="shared" si="86"/>
        <v>1.3321822791215501</v>
      </c>
      <c r="AT1474">
        <v>0.1</v>
      </c>
      <c r="AU1474">
        <v>0</v>
      </c>
      <c r="AV1474">
        <v>0.2</v>
      </c>
      <c r="AW1474" s="146">
        <v>3</v>
      </c>
      <c r="AX1474">
        <v>8.7855761043706085E-2</v>
      </c>
      <c r="AY1474">
        <v>0.08</v>
      </c>
      <c r="AZ1474" s="209">
        <v>284.78820957407942</v>
      </c>
      <c r="BA1474" s="140">
        <v>8.7855761043706085E-2</v>
      </c>
      <c r="BB1474" s="253">
        <v>61.351126395320186</v>
      </c>
      <c r="BC1474" s="245">
        <v>205.58997979464755</v>
      </c>
      <c r="BD1474" s="210">
        <v>112481.67189154967</v>
      </c>
      <c r="BE1474" s="245">
        <v>79.659775062811221</v>
      </c>
      <c r="BF1474" s="140">
        <v>336632.87439778517</v>
      </c>
      <c r="BG1474" t="s">
        <v>390</v>
      </c>
      <c r="BH1474" s="140">
        <v>6.3714981609120114E-6</v>
      </c>
      <c r="BI1474" s="140">
        <v>2324816.718915497</v>
      </c>
      <c r="BJ1474">
        <f t="shared" si="84"/>
        <v>0.14479974772154122</v>
      </c>
    </row>
    <row r="1475" spans="1:62" x14ac:dyDescent="0.3">
      <c r="A1475">
        <v>-0.3</v>
      </c>
      <c r="B1475" s="146">
        <v>1000</v>
      </c>
      <c r="C1475" s="146">
        <v>25</v>
      </c>
      <c r="D1475" s="146">
        <v>400</v>
      </c>
      <c r="E1475" s="252">
        <v>17.464063898491066</v>
      </c>
      <c r="F1475" s="146">
        <v>5.9516099477132904</v>
      </c>
      <c r="G1475" s="146">
        <v>21.1569370707346</v>
      </c>
      <c r="H1475" s="146">
        <v>5.4435951949323949</v>
      </c>
      <c r="I1475" s="146"/>
      <c r="J1475" s="146">
        <v>0.13671004804931863</v>
      </c>
      <c r="K1475" s="146">
        <v>0.08</v>
      </c>
      <c r="L1475" s="146">
        <v>110.49563131255654</v>
      </c>
      <c r="M1475" s="146">
        <v>61.720992967504344</v>
      </c>
      <c r="N1475" s="146">
        <v>1.1602591737205099</v>
      </c>
      <c r="O1475" s="146"/>
      <c r="P1475" s="146"/>
      <c r="Q1475" s="146"/>
      <c r="R1475" s="146"/>
      <c r="S1475" s="146"/>
      <c r="T1475" s="146"/>
      <c r="U1475" s="146"/>
      <c r="V1475" s="146"/>
      <c r="W1475" s="146"/>
      <c r="X1475" s="146"/>
      <c r="Y1475" s="146"/>
      <c r="Z1475" s="146">
        <v>0.21314207470838936</v>
      </c>
      <c r="AA1475" s="146"/>
      <c r="AB1475" s="146"/>
      <c r="AC1475" s="146"/>
      <c r="AD1475" s="146"/>
      <c r="AE1475" s="146"/>
      <c r="AF1475" s="146"/>
      <c r="AG1475" s="146"/>
      <c r="AH1475" s="146"/>
      <c r="AI1475" s="146"/>
      <c r="AJ1475" s="146"/>
      <c r="AK1475" s="146"/>
      <c r="AL1475" s="146">
        <v>856.12955074784577</v>
      </c>
      <c r="AM1475" s="146">
        <v>0.28130773031158057</v>
      </c>
      <c r="AN1475" s="146">
        <v>0.21682864756568729</v>
      </c>
      <c r="AO1475" s="146">
        <v>319.45684255951278</v>
      </c>
      <c r="AP1475" s="146">
        <v>275.99996388759035</v>
      </c>
      <c r="AQ1475" t="s">
        <v>382</v>
      </c>
      <c r="AR1475">
        <f t="shared" si="85"/>
        <v>4.8813386259591285</v>
      </c>
      <c r="AS1475">
        <f t="shared" si="86"/>
        <v>1.3321822791215501</v>
      </c>
      <c r="AT1475">
        <v>0.1</v>
      </c>
      <c r="AU1475">
        <v>0</v>
      </c>
      <c r="AV1475">
        <v>0.2</v>
      </c>
      <c r="AW1475" s="146">
        <v>3</v>
      </c>
      <c r="AX1475">
        <v>8.6834423544757885E-2</v>
      </c>
      <c r="AY1475">
        <v>0.08</v>
      </c>
      <c r="AZ1475" s="209">
        <v>275.99996388759035</v>
      </c>
      <c r="BA1475">
        <v>8.6834423544757885E-2</v>
      </c>
      <c r="BB1475" s="249">
        <v>62.154697154635883</v>
      </c>
      <c r="BC1475" s="243">
        <v>206.22217574009736</v>
      </c>
      <c r="BD1475" s="209">
        <v>113381.69185460133</v>
      </c>
      <c r="BE1475" s="243">
        <v>80.605103614656784</v>
      </c>
      <c r="BF1475">
        <v>334122.02021169983</v>
      </c>
      <c r="BG1475" t="s">
        <v>390</v>
      </c>
      <c r="BH1475">
        <v>6.2874574292611877E-6</v>
      </c>
      <c r="BI1475">
        <v>2333816.9185460135</v>
      </c>
      <c r="BJ1475">
        <f t="shared" si="84"/>
        <v>0.1431654803581853</v>
      </c>
    </row>
    <row r="1476" spans="1:62" x14ac:dyDescent="0.3">
      <c r="A1476">
        <v>-0.4</v>
      </c>
      <c r="B1476" s="146">
        <v>1000</v>
      </c>
      <c r="C1476" s="146">
        <v>25</v>
      </c>
      <c r="D1476" s="146">
        <v>400</v>
      </c>
      <c r="E1476" s="252">
        <v>17.211867141562923</v>
      </c>
      <c r="F1476" s="146">
        <v>6.1329731707933046</v>
      </c>
      <c r="G1476" s="146">
        <v>21.000658283223373</v>
      </c>
      <c r="H1476" s="146">
        <v>5.457273825854708</v>
      </c>
      <c r="I1476" s="146"/>
      <c r="J1476" s="146">
        <v>0.13673126784741632</v>
      </c>
      <c r="K1476" s="146">
        <v>0.08</v>
      </c>
      <c r="L1476" s="146">
        <v>110.78985033844171</v>
      </c>
      <c r="M1476" s="146">
        <v>61.885338744906136</v>
      </c>
      <c r="N1476" s="146">
        <v>1.1469535874319137</v>
      </c>
      <c r="O1476" s="146"/>
      <c r="P1476" s="146"/>
      <c r="Q1476" s="146"/>
      <c r="R1476" s="146"/>
      <c r="S1476" s="146"/>
      <c r="T1476" s="146"/>
      <c r="U1476" s="146"/>
      <c r="V1476" s="146"/>
      <c r="W1476" s="146"/>
      <c r="X1476" s="146"/>
      <c r="Y1476" s="146"/>
      <c r="Z1476" s="146">
        <v>0.21016969718434092</v>
      </c>
      <c r="AA1476" s="146"/>
      <c r="AB1476" s="146"/>
      <c r="AC1476" s="146"/>
      <c r="AD1476" s="146"/>
      <c r="AE1476" s="146"/>
      <c r="AF1476" s="146"/>
      <c r="AG1476" s="146"/>
      <c r="AH1476" s="146"/>
      <c r="AI1476" s="146"/>
      <c r="AJ1476" s="146"/>
      <c r="AK1476" s="146"/>
      <c r="AL1476" s="146">
        <v>838.16413793375796</v>
      </c>
      <c r="AM1476" s="146">
        <v>0.29203718702916581</v>
      </c>
      <c r="AN1476" s="146">
        <v>0.18610766213282551</v>
      </c>
      <c r="AO1476" s="146">
        <v>307.5166119206915</v>
      </c>
      <c r="AP1476" s="146">
        <v>264.68734421780135</v>
      </c>
      <c r="AQ1476" t="s">
        <v>382</v>
      </c>
      <c r="AR1476">
        <f t="shared" si="85"/>
        <v>4.8813386259591285</v>
      </c>
      <c r="AS1476">
        <f t="shared" si="86"/>
        <v>1.3321822791215501</v>
      </c>
      <c r="AT1476">
        <v>0.1</v>
      </c>
      <c r="AU1476">
        <v>0</v>
      </c>
      <c r="AV1476">
        <v>0.2</v>
      </c>
      <c r="AW1476" s="146">
        <v>3</v>
      </c>
      <c r="AX1476">
        <v>8.6147107912643281E-2</v>
      </c>
      <c r="AY1476">
        <v>0.08</v>
      </c>
      <c r="AZ1476" s="209">
        <v>264.68734421780135</v>
      </c>
      <c r="BA1476">
        <v>8.6147107912643281E-2</v>
      </c>
      <c r="BB1476" s="249">
        <v>63.245344550341777</v>
      </c>
      <c r="BC1476" s="243">
        <v>207.10629243224417</v>
      </c>
      <c r="BD1476" s="209">
        <v>114565.51610012737</v>
      </c>
      <c r="BE1476" s="243">
        <v>81.815530073274275</v>
      </c>
      <c r="BF1476">
        <v>330479.46439415443</v>
      </c>
      <c r="BG1476" t="s">
        <v>390</v>
      </c>
      <c r="BH1476">
        <v>6.1739855348240808E-6</v>
      </c>
      <c r="BI1476">
        <v>2345655.1610012734</v>
      </c>
      <c r="BJ1476">
        <f t="shared" ref="BJ1476:BJ1539" si="87">BF1476/BI1476</f>
        <v>0.14089004636686878</v>
      </c>
    </row>
    <row r="1477" spans="1:62" x14ac:dyDescent="0.3">
      <c r="A1477">
        <v>-0.5</v>
      </c>
      <c r="B1477" s="146">
        <v>1000</v>
      </c>
      <c r="C1477" s="146">
        <v>25</v>
      </c>
      <c r="D1477" s="146">
        <v>400</v>
      </c>
      <c r="E1477" s="252">
        <v>16.850668410697402</v>
      </c>
      <c r="F1477" s="146">
        <v>6.3937614093223107</v>
      </c>
      <c r="G1477" s="146">
        <v>20.777340966228188</v>
      </c>
      <c r="H1477" s="146">
        <v>5.4770517000791976</v>
      </c>
      <c r="I1477" s="146"/>
      <c r="J1477" s="146">
        <v>0.13728684130035462</v>
      </c>
      <c r="K1477" s="146">
        <v>0.08</v>
      </c>
      <c r="L1477" s="146">
        <v>111.21593338578315</v>
      </c>
      <c r="M1477" s="146">
        <v>62.123341537017843</v>
      </c>
      <c r="N1477" s="146">
        <v>1.1217466296033711</v>
      </c>
      <c r="O1477" s="146"/>
      <c r="P1477" s="146"/>
      <c r="Q1477" s="146"/>
      <c r="R1477" s="146"/>
      <c r="S1477" s="146"/>
      <c r="T1477" s="146"/>
      <c r="U1477" s="146"/>
      <c r="V1477" s="146"/>
      <c r="W1477" s="146"/>
      <c r="X1477" s="146"/>
      <c r="Y1477" s="146"/>
      <c r="Z1477" s="146">
        <v>0.20480847927492646</v>
      </c>
      <c r="AA1477" s="146"/>
      <c r="AB1477" s="146"/>
      <c r="AC1477" s="146"/>
      <c r="AD1477" s="146"/>
      <c r="AE1477" s="146"/>
      <c r="AF1477" s="146"/>
      <c r="AG1477" s="146"/>
      <c r="AH1477" s="146"/>
      <c r="AI1477" s="146"/>
      <c r="AJ1477" s="146"/>
      <c r="AK1477" s="146"/>
      <c r="AL1477" s="146">
        <v>810.49372408898569</v>
      </c>
      <c r="AM1477" s="146">
        <v>0.30772760670938737</v>
      </c>
      <c r="AN1477" s="146">
        <v>0.15537865285008104</v>
      </c>
      <c r="AO1477" s="146">
        <v>291.55094279935628</v>
      </c>
      <c r="AP1477" s="146">
        <v>249.62040928730039</v>
      </c>
      <c r="AQ1477" t="s">
        <v>382</v>
      </c>
      <c r="AR1477">
        <f t="shared" si="85"/>
        <v>4.8813386259591285</v>
      </c>
      <c r="AS1477">
        <f t="shared" si="86"/>
        <v>1.3321822791215501</v>
      </c>
      <c r="AT1477">
        <v>0.1</v>
      </c>
      <c r="AU1477">
        <v>0</v>
      </c>
      <c r="AV1477">
        <v>0.2</v>
      </c>
      <c r="AW1477" s="146">
        <v>3</v>
      </c>
      <c r="AX1477">
        <v>8.5391249438090608E-2</v>
      </c>
      <c r="AY1477">
        <v>0.08</v>
      </c>
      <c r="AZ1477" s="209">
        <v>249.62040928730039</v>
      </c>
      <c r="BA1477">
        <v>8.5391249438090608E-2</v>
      </c>
      <c r="BB1477" s="249">
        <v>64.811153699516808</v>
      </c>
      <c r="BC1477" s="243">
        <v>208.39316797529565</v>
      </c>
      <c r="BD1477" s="209">
        <v>116254.51115881577</v>
      </c>
      <c r="BE1477" s="243">
        <v>83.523572372557425</v>
      </c>
      <c r="BF1477">
        <v>325120.82869603264</v>
      </c>
      <c r="BG1477" t="s">
        <v>390</v>
      </c>
      <c r="BH1477">
        <v>6.0131774291637599E-6</v>
      </c>
      <c r="BI1477">
        <v>2362545.1115881577</v>
      </c>
      <c r="BJ1477">
        <f t="shared" si="87"/>
        <v>0.13761465425626471</v>
      </c>
    </row>
    <row r="1478" spans="1:62" x14ac:dyDescent="0.3">
      <c r="A1478">
        <v>-0.6</v>
      </c>
      <c r="B1478" s="146">
        <v>1000</v>
      </c>
      <c r="C1478" s="146">
        <v>25</v>
      </c>
      <c r="D1478" s="146">
        <v>400</v>
      </c>
      <c r="E1478" s="252">
        <v>16.283022532442939</v>
      </c>
      <c r="F1478" s="146">
        <v>6.7799960065742884</v>
      </c>
      <c r="G1478" s="146">
        <v>20.413128006582173</v>
      </c>
      <c r="H1478" s="146">
        <v>5.5041854180316108</v>
      </c>
      <c r="I1478" s="146"/>
      <c r="J1478" s="146">
        <v>0.13823617581693226</v>
      </c>
      <c r="K1478" s="146">
        <v>0.08</v>
      </c>
      <c r="L1478" s="146">
        <v>111.80697056996303</v>
      </c>
      <c r="M1478" s="146">
        <v>62.453484923276349</v>
      </c>
      <c r="N1478" s="146">
        <v>1.0855637909047946</v>
      </c>
      <c r="O1478" s="146"/>
      <c r="P1478" s="146"/>
      <c r="Q1478" s="146"/>
      <c r="R1478" s="146"/>
      <c r="S1478" s="146"/>
      <c r="T1478" s="146"/>
      <c r="U1478" s="146"/>
      <c r="V1478" s="146"/>
      <c r="W1478" s="146"/>
      <c r="X1478" s="146"/>
      <c r="Y1478" s="146"/>
      <c r="Z1478" s="146">
        <v>0.19722514931065138</v>
      </c>
      <c r="AA1478" s="146"/>
      <c r="AB1478" s="146"/>
      <c r="AC1478" s="146"/>
      <c r="AD1478" s="146"/>
      <c r="AE1478" s="146"/>
      <c r="AF1478" s="146"/>
      <c r="AG1478" s="146"/>
      <c r="AH1478" s="146"/>
      <c r="AI1478" s="146"/>
      <c r="AJ1478" s="146"/>
      <c r="AK1478" s="146"/>
      <c r="AL1478" s="146">
        <v>771.78598637836785</v>
      </c>
      <c r="AM1478" s="146">
        <v>0.33213900409521224</v>
      </c>
      <c r="AN1478" s="146">
        <v>0.12479541188633077</v>
      </c>
      <c r="AO1478" s="146">
        <v>269.52226619297318</v>
      </c>
      <c r="AP1478" s="146">
        <v>229.00409092597101</v>
      </c>
      <c r="AQ1478" t="s">
        <v>382</v>
      </c>
      <c r="AR1478">
        <f t="shared" si="85"/>
        <v>4.8813386259591285</v>
      </c>
      <c r="AS1478">
        <f t="shared" si="86"/>
        <v>1.3321822791215501</v>
      </c>
      <c r="AT1478">
        <v>0.1</v>
      </c>
      <c r="AU1478">
        <v>0</v>
      </c>
      <c r="AV1478">
        <v>0.2</v>
      </c>
      <c r="AW1478" s="146">
        <v>3</v>
      </c>
      <c r="AX1478">
        <v>8.4361551926688733E-2</v>
      </c>
      <c r="AY1478">
        <v>0.08</v>
      </c>
      <c r="AZ1478" s="209">
        <v>229.00409092597101</v>
      </c>
      <c r="BA1478">
        <v>8.4361551926688733E-2</v>
      </c>
      <c r="BB1478" s="249">
        <v>67.095154968239441</v>
      </c>
      <c r="BC1478" s="243">
        <v>210.19116317605139</v>
      </c>
      <c r="BD1478" s="209">
        <v>118579.44013563693</v>
      </c>
      <c r="BE1478" s="243">
        <v>85.851825164784771</v>
      </c>
      <c r="BF1478">
        <v>315863.55873571557</v>
      </c>
      <c r="BG1478" t="s">
        <v>390</v>
      </c>
      <c r="BH1478">
        <v>5.7724879228665556E-6</v>
      </c>
      <c r="BI1478">
        <v>2385794.4013563693</v>
      </c>
      <c r="BJ1478">
        <f t="shared" si="87"/>
        <v>0.13239345291284998</v>
      </c>
    </row>
    <row r="1479" spans="1:62" x14ac:dyDescent="0.3">
      <c r="A1479">
        <v>-0.7</v>
      </c>
      <c r="B1479" s="146">
        <v>1000</v>
      </c>
      <c r="C1479" s="146">
        <v>25</v>
      </c>
      <c r="D1479" s="146">
        <v>400</v>
      </c>
      <c r="E1479" s="252">
        <v>15.328853222838049</v>
      </c>
      <c r="F1479" s="146">
        <v>7.4380529783983462</v>
      </c>
      <c r="G1479" s="146">
        <v>19.805950506050987</v>
      </c>
      <c r="H1479" s="146">
        <v>5.5522032942050474</v>
      </c>
      <c r="I1479" s="146"/>
      <c r="J1479" s="146">
        <v>0.14048382755313171</v>
      </c>
      <c r="K1479" s="146">
        <v>0.08</v>
      </c>
      <c r="L1479" s="146">
        <v>112.85653633671498</v>
      </c>
      <c r="M1479" s="146">
        <v>63.039754629500202</v>
      </c>
      <c r="N1479" s="146">
        <v>1.0228148717766485</v>
      </c>
      <c r="O1479" s="146"/>
      <c r="P1479" s="146"/>
      <c r="Q1479" s="146"/>
      <c r="R1479" s="146"/>
      <c r="S1479" s="146"/>
      <c r="T1479" s="146"/>
      <c r="U1479" s="146"/>
      <c r="V1479" s="146"/>
      <c r="W1479" s="146"/>
      <c r="X1479" s="146"/>
      <c r="Y1479" s="146"/>
      <c r="Z1479" s="146">
        <v>0.18421783525905511</v>
      </c>
      <c r="AA1479" s="146"/>
      <c r="AB1479" s="146"/>
      <c r="AC1479" s="146"/>
      <c r="AD1479" s="146"/>
      <c r="AE1479" s="146"/>
      <c r="AF1479" s="146"/>
      <c r="AG1479" s="146"/>
      <c r="AH1479" s="146"/>
      <c r="AI1479" s="146"/>
      <c r="AJ1479" s="146"/>
      <c r="AK1479" s="146"/>
      <c r="AL1479" s="146">
        <v>710.450781087883</v>
      </c>
      <c r="AM1479" s="146">
        <v>0.37554637815165298</v>
      </c>
      <c r="AN1479" s="146">
        <v>9.4150248237266781E-2</v>
      </c>
      <c r="AO1479" s="146">
        <v>237.18733078421619</v>
      </c>
      <c r="AP1479" s="146">
        <v>199.04334519955862</v>
      </c>
      <c r="AQ1479" t="s">
        <v>382</v>
      </c>
      <c r="AR1479">
        <f t="shared" si="85"/>
        <v>4.8813386259591285</v>
      </c>
      <c r="AS1479">
        <f t="shared" si="86"/>
        <v>1.3321822791215501</v>
      </c>
      <c r="AT1479">
        <v>0.1</v>
      </c>
      <c r="AU1479">
        <v>0</v>
      </c>
      <c r="AV1479">
        <v>0.2</v>
      </c>
      <c r="AW1479" s="146">
        <v>3</v>
      </c>
      <c r="AX1479">
        <v>8.2955761918455731E-2</v>
      </c>
      <c r="AY1479">
        <v>0.08</v>
      </c>
      <c r="AZ1479" s="209">
        <v>199.04334519955862</v>
      </c>
      <c r="BA1479">
        <v>8.2955761918455731E-2</v>
      </c>
      <c r="BB1479" s="249">
        <v>70.991674889280205</v>
      </c>
      <c r="BC1479" s="243">
        <v>213.42179327494449</v>
      </c>
      <c r="BD1479" s="209">
        <v>122612.78984991858</v>
      </c>
      <c r="BE1479" s="243">
        <v>89.806524330561572</v>
      </c>
      <c r="BF1479">
        <v>299877.92589193257</v>
      </c>
      <c r="BG1479" t="s">
        <v>390</v>
      </c>
      <c r="BH1479">
        <v>5.3718553698056549E-6</v>
      </c>
      <c r="BI1479">
        <v>2426127.8984991862</v>
      </c>
      <c r="BJ1479">
        <f t="shared" si="87"/>
        <v>0.1236035107948919</v>
      </c>
    </row>
    <row r="1480" spans="1:62" x14ac:dyDescent="0.3">
      <c r="A1480">
        <v>-0.8</v>
      </c>
      <c r="B1480" s="146">
        <v>1000</v>
      </c>
      <c r="C1480" s="146">
        <v>25</v>
      </c>
      <c r="D1480" s="146">
        <v>400</v>
      </c>
      <c r="E1480" s="252">
        <v>13.450686937231865</v>
      </c>
      <c r="F1480" s="146">
        <v>8.6277626459300887</v>
      </c>
      <c r="G1480" s="146">
        <v>18.550895676296179</v>
      </c>
      <c r="H1480" s="146">
        <v>5.6251285740202865</v>
      </c>
      <c r="I1480" s="146"/>
      <c r="J1480" s="146">
        <v>0.14854095293875652</v>
      </c>
      <c r="K1480" s="146">
        <v>0.08</v>
      </c>
      <c r="L1480" s="146">
        <v>114.51239085604333</v>
      </c>
      <c r="M1480" s="146">
        <v>63.964686990432924</v>
      </c>
      <c r="N1480" s="146">
        <v>0.8920882992401804</v>
      </c>
      <c r="O1480" s="146"/>
      <c r="P1480" s="146"/>
      <c r="Q1480" s="146"/>
      <c r="R1480" s="146"/>
      <c r="S1480" s="146"/>
      <c r="T1480" s="146"/>
      <c r="U1480" s="146"/>
      <c r="V1480" s="146"/>
      <c r="W1480" s="146"/>
      <c r="X1480" s="146"/>
      <c r="Y1480" s="146"/>
      <c r="Z1480" s="146">
        <v>0.15858985043653923</v>
      </c>
      <c r="AA1480" s="146"/>
      <c r="AB1480" s="146"/>
      <c r="AC1480" s="146"/>
      <c r="AD1480" s="146"/>
      <c r="AE1480" s="146"/>
      <c r="AF1480" s="146"/>
      <c r="AG1480" s="146"/>
      <c r="AH1480" s="146"/>
      <c r="AI1480" s="146"/>
      <c r="AJ1480" s="146"/>
      <c r="AK1480" s="146"/>
      <c r="AL1480" s="146">
        <v>601.03845726732811</v>
      </c>
      <c r="AM1480" s="146">
        <v>0.46508604201544862</v>
      </c>
      <c r="AN1480" s="146">
        <v>6.3585930620424447E-2</v>
      </c>
      <c r="AO1480" s="146">
        <v>188.46441648348909</v>
      </c>
      <c r="AP1480" s="146">
        <v>154.99430764723704</v>
      </c>
      <c r="AQ1480" t="s">
        <v>382</v>
      </c>
      <c r="AR1480">
        <f t="shared" si="85"/>
        <v>4.8813386259591285</v>
      </c>
      <c r="AS1480">
        <f t="shared" si="86"/>
        <v>1.3321822791215501</v>
      </c>
      <c r="AT1480">
        <v>0.1</v>
      </c>
      <c r="AU1480">
        <v>0</v>
      </c>
      <c r="AV1480">
        <v>0.2</v>
      </c>
      <c r="AW1480" s="146">
        <v>3</v>
      </c>
      <c r="AX1480">
        <v>8.1936274454582458E-2</v>
      </c>
      <c r="AY1480">
        <v>0.08</v>
      </c>
      <c r="AZ1480" s="209">
        <v>154.99430764723704</v>
      </c>
      <c r="BA1480">
        <v>8.1936274454582458E-2</v>
      </c>
      <c r="BB1480" s="249">
        <v>77.83330931311842</v>
      </c>
      <c r="BC1480" s="243">
        <v>218.62001504874334</v>
      </c>
      <c r="BD1480" s="209">
        <v>128954.78413605259</v>
      </c>
      <c r="BE1480" s="243">
        <v>95.910951390964144</v>
      </c>
      <c r="BF1480">
        <v>270741.89486113307</v>
      </c>
      <c r="BG1480" t="s">
        <v>390</v>
      </c>
      <c r="BH1480">
        <v>4.6271529415128113E-6</v>
      </c>
      <c r="BI1480">
        <v>2489547.8413605262</v>
      </c>
      <c r="BJ1480">
        <f t="shared" si="87"/>
        <v>0.10875143283576101</v>
      </c>
    </row>
    <row r="1481" spans="1:62" x14ac:dyDescent="0.3">
      <c r="A1481">
        <v>-0.85</v>
      </c>
      <c r="B1481" s="146">
        <v>1000</v>
      </c>
      <c r="C1481" s="146">
        <v>25</v>
      </c>
      <c r="D1481" s="146">
        <v>400</v>
      </c>
      <c r="E1481" s="252">
        <v>9.336388978153872</v>
      </c>
      <c r="F1481" s="146">
        <v>5.0297853265217816</v>
      </c>
      <c r="G1481" s="146">
        <v>12.283097401132936</v>
      </c>
      <c r="H1481" s="146">
        <v>3.5922479655185819</v>
      </c>
      <c r="I1481" s="146"/>
      <c r="J1481" s="146">
        <v>0.1620096401118406</v>
      </c>
      <c r="K1481" s="146">
        <v>0.08</v>
      </c>
      <c r="L1481" s="146">
        <v>73.3772022717461</v>
      </c>
      <c r="M1481" s="146">
        <v>40.987265574136103</v>
      </c>
      <c r="N1481" s="146">
        <v>0.67116748035996698</v>
      </c>
      <c r="O1481" s="146"/>
      <c r="P1481" s="146"/>
      <c r="Q1481" s="146"/>
      <c r="R1481" s="146"/>
      <c r="S1481" s="146"/>
      <c r="T1481" s="146"/>
      <c r="U1481" s="146"/>
      <c r="V1481" s="146"/>
      <c r="W1481" s="146"/>
      <c r="X1481" s="146"/>
      <c r="Y1481" s="146"/>
      <c r="Z1481" s="146">
        <v>0.18683773692751646</v>
      </c>
      <c r="AA1481" s="146"/>
      <c r="AB1481" s="146"/>
      <c r="AC1481" s="146"/>
      <c r="AD1481" s="146"/>
      <c r="AE1481" s="146"/>
      <c r="AF1481" s="146"/>
      <c r="AG1481" s="146"/>
      <c r="AH1481" s="146"/>
      <c r="AI1481" s="146"/>
      <c r="AJ1481" s="146"/>
      <c r="AK1481" s="146"/>
      <c r="AL1481" s="146">
        <v>519.59453057365636</v>
      </c>
      <c r="AM1481" s="146">
        <v>0.40948835316227788</v>
      </c>
      <c r="AN1481" s="146">
        <v>4.843611566719766E-2</v>
      </c>
      <c r="AO1481" s="146">
        <v>207.24323473203808</v>
      </c>
      <c r="AP1481" s="146">
        <v>184.01079039367315</v>
      </c>
      <c r="AQ1481" t="s">
        <v>382</v>
      </c>
      <c r="AR1481">
        <f t="shared" si="85"/>
        <v>4.8813386259591285</v>
      </c>
      <c r="AS1481">
        <f t="shared" si="86"/>
        <v>1.3321822791215501</v>
      </c>
      <c r="AT1481">
        <v>0.1</v>
      </c>
      <c r="AU1481">
        <v>0</v>
      </c>
      <c r="AV1481">
        <v>0.2</v>
      </c>
      <c r="AW1481" s="146">
        <v>3</v>
      </c>
      <c r="AX1481">
        <v>9.0088658520240603E-2</v>
      </c>
      <c r="AY1481">
        <v>0.08</v>
      </c>
      <c r="AZ1481" s="209">
        <v>184.01079039367315</v>
      </c>
      <c r="BA1481">
        <v>9.0088658520240603E-2</v>
      </c>
      <c r="BB1481" s="249">
        <v>46.953396045419176</v>
      </c>
      <c r="BC1481" s="243">
        <v>116.31470083028232</v>
      </c>
      <c r="BD1481" s="209">
        <v>62843.818213715596</v>
      </c>
      <c r="BE1481" s="243">
        <v>56.411603056987019</v>
      </c>
      <c r="BF1481">
        <v>650060.37415789894</v>
      </c>
      <c r="BG1481" t="s">
        <v>390</v>
      </c>
      <c r="BH1481">
        <v>3.4445562767308605E-6</v>
      </c>
      <c r="BI1481">
        <v>1828438.1821371559</v>
      </c>
      <c r="BJ1481">
        <f t="shared" si="87"/>
        <v>0.35552767411479064</v>
      </c>
    </row>
    <row r="1482" spans="1:62" s="160" customFormat="1" ht="15" thickBot="1" x14ac:dyDescent="0.35">
      <c r="A1482" s="160">
        <v>-0.87</v>
      </c>
      <c r="B1482" s="160">
        <v>1000</v>
      </c>
      <c r="C1482" s="160">
        <v>25</v>
      </c>
      <c r="D1482" s="160">
        <v>400</v>
      </c>
      <c r="E1482" s="250">
        <v>3.3819945905476669</v>
      </c>
      <c r="F1482" s="160">
        <v>1.0965469870517639</v>
      </c>
      <c r="G1482" s="160">
        <v>4.0388018567985782</v>
      </c>
      <c r="H1482" s="160">
        <v>1.0560422626980241</v>
      </c>
      <c r="J1482" s="160">
        <v>0.19824787183461676</v>
      </c>
      <c r="K1482" s="160">
        <v>0.08</v>
      </c>
      <c r="L1482" s="160">
        <v>21.578549870333518</v>
      </c>
      <c r="M1482" s="160">
        <v>12.053413415308913</v>
      </c>
      <c r="N1482" s="160">
        <v>0.24357064464400047</v>
      </c>
      <c r="Z1482" s="160">
        <v>0.23064478880013312</v>
      </c>
      <c r="AL1482" s="160">
        <v>433.43635857426312</v>
      </c>
      <c r="AM1482" s="160">
        <v>0.27150304123138136</v>
      </c>
      <c r="AN1482" s="160">
        <v>4.2310315906897114E-2</v>
      </c>
      <c r="AO1482" s="160">
        <v>320.0669028803834</v>
      </c>
      <c r="AP1482" s="160">
        <v>311.65103625226283</v>
      </c>
      <c r="AQ1482" t="s">
        <v>382</v>
      </c>
      <c r="AR1482" s="160">
        <f t="shared" si="85"/>
        <v>4.8813386259591285</v>
      </c>
      <c r="AS1482" s="160">
        <f t="shared" si="86"/>
        <v>1.3321822791215501</v>
      </c>
      <c r="AT1482" s="160">
        <v>0.1</v>
      </c>
      <c r="AU1482">
        <v>0</v>
      </c>
      <c r="AV1482" s="160">
        <v>0.2</v>
      </c>
      <c r="AW1482" s="160">
        <v>3</v>
      </c>
      <c r="AX1482" s="160">
        <v>0.12546035453924692</v>
      </c>
      <c r="AY1482" s="160">
        <v>0.08</v>
      </c>
      <c r="AZ1482" s="248">
        <v>311.65103625226283</v>
      </c>
      <c r="BA1482" s="160">
        <v>0.12546035453924692</v>
      </c>
      <c r="BB1482" s="250">
        <v>11.640391245304503</v>
      </c>
      <c r="BC1482" s="246">
        <v>29.617390547284888</v>
      </c>
      <c r="BD1482" s="248">
        <v>12153.45991392358</v>
      </c>
      <c r="BE1482" s="246">
        <v>13.79611854272685</v>
      </c>
      <c r="BF1482" s="160">
        <v>827389.64882855583</v>
      </c>
      <c r="BG1482" s="254" t="s">
        <v>390</v>
      </c>
      <c r="BH1482" s="160">
        <v>1.1941298414439241E-6</v>
      </c>
      <c r="BI1482" s="160">
        <v>1321534.5991392359</v>
      </c>
      <c r="BJ1482">
        <f t="shared" si="87"/>
        <v>0.62608247212556156</v>
      </c>
    </row>
    <row r="1483" spans="1:62" x14ac:dyDescent="0.3">
      <c r="A1483">
        <v>-0.1</v>
      </c>
      <c r="B1483" s="146">
        <v>100</v>
      </c>
      <c r="C1483" s="146">
        <v>25</v>
      </c>
      <c r="D1483" s="146">
        <v>400</v>
      </c>
      <c r="E1483" s="249">
        <v>3.1068791480014593</v>
      </c>
      <c r="F1483">
        <v>0.38998666218709926</v>
      </c>
      <c r="G1483">
        <v>3.5038258347425266</v>
      </c>
      <c r="H1483">
        <v>4.3003373478667974</v>
      </c>
      <c r="J1483">
        <v>0.94537204655755258</v>
      </c>
      <c r="K1483">
        <v>0.36</v>
      </c>
      <c r="L1483">
        <v>21.654788909420841</v>
      </c>
      <c r="M1483">
        <v>7.9874221387208033</v>
      </c>
      <c r="N1483">
        <v>1.2008920974512738</v>
      </c>
      <c r="Z1483">
        <v>0.27925532354967036</v>
      </c>
      <c r="AL1483">
        <v>974.97527128566924</v>
      </c>
      <c r="AM1483">
        <v>0.11130309569618116</v>
      </c>
      <c r="AN1483">
        <v>0.17513667023032922</v>
      </c>
      <c r="AO1483">
        <v>382.26025912268699</v>
      </c>
      <c r="AP1483">
        <v>374.52922256003313</v>
      </c>
      <c r="AQ1483" t="s">
        <v>383</v>
      </c>
      <c r="AR1483">
        <f t="shared" ref="AR1483:AR1522" si="88">0.6*Jsat_t</f>
        <v>19.525354503836514</v>
      </c>
      <c r="AS1483">
        <f t="shared" ref="AS1483:AS1522" si="89">0.2*Jatp</f>
        <v>5.3287291164862003</v>
      </c>
      <c r="AT1483">
        <v>0.4</v>
      </c>
      <c r="AU1483">
        <v>0</v>
      </c>
      <c r="AV1483">
        <v>0.5</v>
      </c>
      <c r="AW1483">
        <v>3</v>
      </c>
      <c r="AX1483">
        <v>0.91561877553328974</v>
      </c>
      <c r="AY1483">
        <v>0.36</v>
      </c>
      <c r="AZ1483" s="209">
        <v>374.52922256003313</v>
      </c>
      <c r="BA1483">
        <v>0.91561877553328974</v>
      </c>
      <c r="BB1483" s="249">
        <v>6.0208380932987522</v>
      </c>
      <c r="BC1483" s="243">
        <v>70.626621448889139</v>
      </c>
      <c r="BD1483" s="209">
        <v>23918.500932472056</v>
      </c>
      <c r="BE1483" s="243">
        <v>10.154720810117972</v>
      </c>
      <c r="BF1483">
        <v>16556.008970374445</v>
      </c>
      <c r="BG1483" t="s">
        <v>387</v>
      </c>
      <c r="BH1483">
        <v>1.928917830529742E-6</v>
      </c>
      <c r="BI1483">
        <v>1439185.0093247206</v>
      </c>
      <c r="BJ1483">
        <f t="shared" si="87"/>
        <v>1.1503739173980615E-2</v>
      </c>
    </row>
    <row r="1484" spans="1:62" s="146" customFormat="1" x14ac:dyDescent="0.3">
      <c r="A1484">
        <v>-0.1</v>
      </c>
      <c r="B1484" s="146">
        <v>200</v>
      </c>
      <c r="C1484" s="146">
        <v>25</v>
      </c>
      <c r="D1484" s="146">
        <v>400</v>
      </c>
      <c r="E1484" s="252">
        <v>5.9219568555655817</v>
      </c>
      <c r="F1484" s="146">
        <v>0.59108345489173297</v>
      </c>
      <c r="G1484" s="146">
        <v>6.5113370071097387</v>
      </c>
      <c r="H1484" s="146">
        <v>7.9458808873280544</v>
      </c>
      <c r="J1484" s="146">
        <v>0.99999999932410799</v>
      </c>
      <c r="K1484" s="146">
        <v>0.36</v>
      </c>
      <c r="L1484" s="146">
        <v>40.107639742488388</v>
      </c>
      <c r="M1484" s="146">
        <v>14.793801544360472</v>
      </c>
      <c r="N1484" s="146">
        <v>1.8770048218667821</v>
      </c>
      <c r="Z1484" s="146">
        <v>0.23622362938515667</v>
      </c>
      <c r="AL1484" s="146">
        <v>1293.9823780873496</v>
      </c>
      <c r="AM1484" s="146">
        <v>9.0777585962196095E-2</v>
      </c>
      <c r="AN1484" s="146">
        <v>0.19882953339197715</v>
      </c>
      <c r="AO1484" s="146">
        <v>370.21590930412287</v>
      </c>
      <c r="AP1484" s="146">
        <v>355.47996715395897</v>
      </c>
      <c r="AQ1484" s="146" t="s">
        <v>383</v>
      </c>
      <c r="AR1484" s="146">
        <f t="shared" si="88"/>
        <v>19.525354503836514</v>
      </c>
      <c r="AS1484" s="146">
        <f t="shared" si="89"/>
        <v>5.3287291164862003</v>
      </c>
      <c r="AT1484" s="146">
        <v>0.4</v>
      </c>
      <c r="AU1484">
        <v>0</v>
      </c>
      <c r="AV1484" s="146">
        <v>0.5</v>
      </c>
      <c r="AW1484" s="146">
        <v>3</v>
      </c>
      <c r="AX1484" s="146">
        <v>0.99999999900000003</v>
      </c>
      <c r="AY1484" s="146">
        <v>0.36</v>
      </c>
      <c r="AZ1484" s="209">
        <v>355.47996715395897</v>
      </c>
      <c r="BA1484" s="146">
        <v>0.99999999900000003</v>
      </c>
      <c r="BB1484" s="252">
        <v>10.063746227912922</v>
      </c>
      <c r="BC1484" s="244">
        <v>102.66370452091444</v>
      </c>
      <c r="BD1484" s="229">
        <v>37485.693577775084</v>
      </c>
      <c r="BE1484" s="244">
        <v>14.87166511840196</v>
      </c>
      <c r="BF1484" s="146">
        <v>46886.999235000098</v>
      </c>
      <c r="BG1484" t="s">
        <v>387</v>
      </c>
      <c r="BH1484" s="146">
        <v>3.4381059478888656E-6</v>
      </c>
      <c r="BI1484" s="146">
        <v>1574856.9357777508</v>
      </c>
      <c r="BJ1484">
        <f t="shared" si="87"/>
        <v>2.9772227667045022E-2</v>
      </c>
    </row>
    <row r="1485" spans="1:62" s="146" customFormat="1" x14ac:dyDescent="0.3">
      <c r="A1485">
        <v>-0.1</v>
      </c>
      <c r="B1485" s="146">
        <v>300</v>
      </c>
      <c r="C1485" s="146">
        <v>25</v>
      </c>
      <c r="D1485" s="146">
        <v>400</v>
      </c>
      <c r="E1485" s="252">
        <v>8.4196836373703725</v>
      </c>
      <c r="F1485" s="146">
        <v>0.7313457362641107</v>
      </c>
      <c r="G1485" s="146">
        <v>9.146329433505727</v>
      </c>
      <c r="H1485" s="146">
        <v>11.147444590179729</v>
      </c>
      <c r="J1485" s="146">
        <v>0.99999999928676842</v>
      </c>
      <c r="K1485" s="146">
        <v>0.36</v>
      </c>
      <c r="L1485" s="146">
        <v>56.370659280694689</v>
      </c>
      <c r="M1485" s="146">
        <v>20.792456292059516</v>
      </c>
      <c r="N1485" s="146">
        <v>2.5472744917119527</v>
      </c>
      <c r="Z1485" s="146">
        <v>0.22850748179147337</v>
      </c>
      <c r="AL1485" s="146">
        <v>1613.1117621462458</v>
      </c>
      <c r="AM1485" s="146">
        <v>7.996057233462131E-2</v>
      </c>
      <c r="AN1485" s="146">
        <v>0.21275630057900236</v>
      </c>
      <c r="AO1485" s="146">
        <v>360.42569073415569</v>
      </c>
      <c r="AP1485" s="146">
        <v>339.47451629026943</v>
      </c>
      <c r="AQ1485" t="s">
        <v>383</v>
      </c>
      <c r="AR1485" s="146">
        <f t="shared" si="88"/>
        <v>19.525354503836514</v>
      </c>
      <c r="AS1485" s="146">
        <f t="shared" si="89"/>
        <v>5.3287291164862003</v>
      </c>
      <c r="AT1485" s="146">
        <v>0.4</v>
      </c>
      <c r="AU1485">
        <v>0</v>
      </c>
      <c r="AV1485" s="146">
        <v>0.5</v>
      </c>
      <c r="AW1485" s="146">
        <v>3</v>
      </c>
      <c r="AX1485" s="146">
        <v>0.99999999900000003</v>
      </c>
      <c r="AY1485" s="146">
        <v>0.36</v>
      </c>
      <c r="AZ1485" s="209">
        <v>339.47451629026943</v>
      </c>
      <c r="BA1485" s="146">
        <v>0.99999999900000003</v>
      </c>
      <c r="BB1485" s="252">
        <v>13.339494835468459</v>
      </c>
      <c r="BC1485" s="244">
        <v>125.47045335864958</v>
      </c>
      <c r="BD1485" s="229">
        <v>48297.402970236653</v>
      </c>
      <c r="BE1485" s="244">
        <v>18.91871784267035</v>
      </c>
      <c r="BF1485" s="146">
        <v>82494.706252156218</v>
      </c>
      <c r="BG1485" t="s">
        <v>387</v>
      </c>
      <c r="BH1485" s="146">
        <v>4.5472866197512347E-6</v>
      </c>
      <c r="BI1485" s="146">
        <v>1682974.0297023666</v>
      </c>
      <c r="BJ1485">
        <f t="shared" si="87"/>
        <v>4.9017218802090118E-2</v>
      </c>
    </row>
    <row r="1486" spans="1:62" s="146" customFormat="1" x14ac:dyDescent="0.3">
      <c r="A1486">
        <v>-0.1</v>
      </c>
      <c r="B1486" s="146">
        <v>400</v>
      </c>
      <c r="C1486" s="146">
        <v>25</v>
      </c>
      <c r="D1486" s="146">
        <v>400</v>
      </c>
      <c r="E1486" s="252">
        <v>10.647713876556539</v>
      </c>
      <c r="F1486" s="146">
        <v>0.84210969110238432</v>
      </c>
      <c r="G1486" s="146">
        <v>11.483386189855242</v>
      </c>
      <c r="H1486" s="146">
        <v>14.0016337311055</v>
      </c>
      <c r="J1486" s="146">
        <v>0.99999999926132344</v>
      </c>
      <c r="K1486" s="146">
        <v>0.36</v>
      </c>
      <c r="L1486" s="146">
        <v>70.910897573597182</v>
      </c>
      <c r="M1486" s="146">
        <v>26.155658941080926</v>
      </c>
      <c r="N1486" s="146">
        <v>3.1466111241924501</v>
      </c>
      <c r="Z1486" s="146">
        <v>0.22473171235739856</v>
      </c>
      <c r="AL1486" s="146">
        <v>1898.847045036403</v>
      </c>
      <c r="AM1486" s="146">
        <v>7.3332872131943852E-2</v>
      </c>
      <c r="AN1486" s="146">
        <v>0.22199777365838114</v>
      </c>
      <c r="AO1486" s="146">
        <v>352.03684387870635</v>
      </c>
      <c r="AP1486" s="146">
        <v>325.54148294017625</v>
      </c>
      <c r="AQ1486" s="146" t="s">
        <v>383</v>
      </c>
      <c r="AR1486" s="146">
        <f t="shared" si="88"/>
        <v>19.525354503836514</v>
      </c>
      <c r="AS1486" s="146">
        <f t="shared" si="89"/>
        <v>5.3287291164862003</v>
      </c>
      <c r="AT1486" s="146">
        <v>0.4</v>
      </c>
      <c r="AU1486">
        <v>0</v>
      </c>
      <c r="AV1486" s="146">
        <v>0.5</v>
      </c>
      <c r="AW1486" s="146">
        <v>3</v>
      </c>
      <c r="AX1486" s="146">
        <v>0.99999999900000003</v>
      </c>
      <c r="AY1486" s="146">
        <v>0.36</v>
      </c>
      <c r="AZ1486" s="209">
        <v>325.54148294017625</v>
      </c>
      <c r="BA1486" s="146">
        <v>0.99999999900000003</v>
      </c>
      <c r="BB1486" s="252">
        <v>16.136646158950299</v>
      </c>
      <c r="BC1486" s="244">
        <v>143.52229402479665</v>
      </c>
      <c r="BD1486" s="229">
        <v>57372.775696561243</v>
      </c>
      <c r="BE1486" s="244">
        <v>22.324693074208092</v>
      </c>
      <c r="BF1486" s="146">
        <v>120441.85657079345</v>
      </c>
      <c r="BG1486" t="s">
        <v>387</v>
      </c>
      <c r="BH1486" s="146">
        <v>5.3916363567089458E-6</v>
      </c>
      <c r="BI1486" s="146">
        <v>1773727.7569656125</v>
      </c>
      <c r="BJ1486">
        <f t="shared" si="87"/>
        <v>6.7903237178200432E-2</v>
      </c>
    </row>
    <row r="1487" spans="1:62" s="146" customFormat="1" x14ac:dyDescent="0.3">
      <c r="A1487">
        <v>-0.1</v>
      </c>
      <c r="B1487" s="146">
        <v>600</v>
      </c>
      <c r="C1487" s="146">
        <v>25</v>
      </c>
      <c r="D1487" s="146">
        <v>400</v>
      </c>
      <c r="E1487" s="252">
        <v>14.434026476582048</v>
      </c>
      <c r="F1487" s="146">
        <v>1.0106385629788037</v>
      </c>
      <c r="G1487" s="146">
        <v>15.435777510060399</v>
      </c>
      <c r="H1487" s="146">
        <v>18.863093343703607</v>
      </c>
      <c r="J1487" s="146">
        <v>0.99999999922840799</v>
      </c>
      <c r="K1487" s="146">
        <v>0.36</v>
      </c>
      <c r="L1487" s="146">
        <v>95.769401872066751</v>
      </c>
      <c r="M1487" s="146">
        <v>35.324779379041019</v>
      </c>
      <c r="N1487" s="146">
        <v>4.1808509955648869</v>
      </c>
      <c r="Z1487" s="146">
        <v>0.22164185477884152</v>
      </c>
      <c r="AL1487" s="146">
        <v>2392.8181919425328</v>
      </c>
      <c r="AM1487" s="146">
        <v>6.5473771069848044E-2</v>
      </c>
      <c r="AN1487" s="146">
        <v>0.23397563491742934</v>
      </c>
      <c r="AO1487" s="146">
        <v>338.30970271038751</v>
      </c>
      <c r="AP1487" s="146">
        <v>302.39269416008995</v>
      </c>
      <c r="AQ1487" t="s">
        <v>383</v>
      </c>
      <c r="AR1487" s="146">
        <f t="shared" si="88"/>
        <v>19.525354503836514</v>
      </c>
      <c r="AS1487" s="146">
        <f t="shared" si="89"/>
        <v>5.3287291164862003</v>
      </c>
      <c r="AT1487" s="146">
        <v>0.4</v>
      </c>
      <c r="AU1487">
        <v>0</v>
      </c>
      <c r="AV1487" s="146">
        <v>0.5</v>
      </c>
      <c r="AW1487" s="146">
        <v>3</v>
      </c>
      <c r="AX1487" s="146">
        <v>0.99999999900000003</v>
      </c>
      <c r="AY1487" s="146">
        <v>0.36</v>
      </c>
      <c r="AZ1487" s="209">
        <v>302.39269416008995</v>
      </c>
      <c r="BA1487" s="146">
        <v>0.99999999900000003</v>
      </c>
      <c r="BB1487" s="252">
        <v>20.726840750339022</v>
      </c>
      <c r="BC1487" s="244">
        <v>170.75665646070499</v>
      </c>
      <c r="BD1487" s="229">
        <v>71853.391522838865</v>
      </c>
      <c r="BE1487" s="244">
        <v>27.816044334874789</v>
      </c>
      <c r="BF1487" s="146">
        <v>197687.14877800096</v>
      </c>
      <c r="BG1487" t="s">
        <v>387</v>
      </c>
      <c r="BH1487" s="146">
        <v>6.5770672533933712E-6</v>
      </c>
      <c r="BI1487" s="146">
        <v>1918533.9152283887</v>
      </c>
      <c r="BJ1487">
        <f t="shared" si="87"/>
        <v>0.10304073710079169</v>
      </c>
    </row>
    <row r="1488" spans="1:62" s="146" customFormat="1" x14ac:dyDescent="0.3">
      <c r="A1488">
        <v>-0.1</v>
      </c>
      <c r="B1488" s="146">
        <v>800</v>
      </c>
      <c r="C1488" s="146">
        <v>25</v>
      </c>
      <c r="D1488" s="146">
        <v>400</v>
      </c>
      <c r="E1488" s="252">
        <v>17.474906563033009</v>
      </c>
      <c r="F1488" s="146">
        <v>1.1331320004434862</v>
      </c>
      <c r="G1488" s="146">
        <v>18.59636048167809</v>
      </c>
      <c r="H1488" s="146">
        <v>22.78482245327536</v>
      </c>
      <c r="J1488" s="146">
        <v>0.99999999920793659</v>
      </c>
      <c r="K1488" s="146">
        <v>0.36</v>
      </c>
      <c r="L1488" s="146">
        <v>115.91832655390587</v>
      </c>
      <c r="M1488" s="146">
        <v>42.756759794473481</v>
      </c>
      <c r="N1488" s="146">
        <v>5.0324719360964743</v>
      </c>
      <c r="Z1488" s="146">
        <v>0.22086948214832577</v>
      </c>
      <c r="AL1488" s="146">
        <v>2800.4512690228325</v>
      </c>
      <c r="AM1488" s="146">
        <v>6.0932998236934321E-2</v>
      </c>
      <c r="AN1488" s="146">
        <v>0.24169693114585536</v>
      </c>
      <c r="AO1488" s="146">
        <v>327.69909621861302</v>
      </c>
      <c r="AP1488" s="146">
        <v>284.21530097459396</v>
      </c>
      <c r="AQ1488" s="146" t="s">
        <v>383</v>
      </c>
      <c r="AR1488" s="146">
        <f t="shared" si="88"/>
        <v>19.525354503836514</v>
      </c>
      <c r="AS1488" s="146">
        <f t="shared" si="89"/>
        <v>5.3287291164862003</v>
      </c>
      <c r="AT1488" s="146">
        <v>0.4</v>
      </c>
      <c r="AU1488">
        <v>0</v>
      </c>
      <c r="AV1488" s="146">
        <v>0.5</v>
      </c>
      <c r="AW1488" s="146">
        <v>3</v>
      </c>
      <c r="AX1488" s="146">
        <v>0.99999999900000003</v>
      </c>
      <c r="AY1488" s="146">
        <v>0.36</v>
      </c>
      <c r="AZ1488" s="209">
        <v>284.21530097459396</v>
      </c>
      <c r="BA1488" s="146">
        <v>0.99999999900000003</v>
      </c>
      <c r="BB1488" s="252">
        <v>24.313353465934181</v>
      </c>
      <c r="BC1488" s="244">
        <v>189.95093677779349</v>
      </c>
      <c r="BD1488" s="229">
        <v>82616.782182028226</v>
      </c>
      <c r="BE1488" s="244">
        <v>32.004230591541109</v>
      </c>
      <c r="BF1488" s="146">
        <v>271087.6315294925</v>
      </c>
      <c r="BG1488" t="s">
        <v>387</v>
      </c>
      <c r="BH1488" s="146">
        <v>7.3517935875854702E-6</v>
      </c>
      <c r="BI1488" s="146">
        <v>2026167.8218202824</v>
      </c>
      <c r="BJ1488">
        <f t="shared" si="87"/>
        <v>0.13379327645523012</v>
      </c>
    </row>
    <row r="1489" spans="1:62" s="146" customFormat="1" x14ac:dyDescent="0.3">
      <c r="A1489">
        <v>-0.1</v>
      </c>
      <c r="B1489" s="146">
        <v>1000</v>
      </c>
      <c r="C1489" s="146">
        <v>25</v>
      </c>
      <c r="D1489" s="146">
        <v>400</v>
      </c>
      <c r="E1489" s="252">
        <v>19.900018720878744</v>
      </c>
      <c r="F1489" s="146">
        <v>1.2241672047543606</v>
      </c>
      <c r="G1489" s="146">
        <v>21.109000664572346</v>
      </c>
      <c r="H1489" s="146">
        <v>25.927332139946891</v>
      </c>
      <c r="J1489" s="146">
        <v>0.9999999991940578</v>
      </c>
      <c r="K1489" s="146">
        <v>0.36</v>
      </c>
      <c r="L1489" s="146">
        <v>132.13928895805432</v>
      </c>
      <c r="M1489" s="146">
        <v>48.739901664856113</v>
      </c>
      <c r="N1489" s="146">
        <v>5.728864253904586</v>
      </c>
      <c r="Z1489" s="146">
        <v>0.22095849364609255</v>
      </c>
      <c r="AL1489" s="146">
        <v>3134.4130950425624</v>
      </c>
      <c r="AM1489" s="146">
        <v>5.7992665034536886E-2</v>
      </c>
      <c r="AN1489" s="146">
        <v>0.24720326913497376</v>
      </c>
      <c r="AO1489" s="146">
        <v>319.49937073844575</v>
      </c>
      <c r="AP1489" s="146">
        <v>269.98096809026896</v>
      </c>
      <c r="AQ1489" t="s">
        <v>383</v>
      </c>
      <c r="AR1489" s="146">
        <f t="shared" si="88"/>
        <v>19.525354503836514</v>
      </c>
      <c r="AS1489" s="146">
        <f t="shared" si="89"/>
        <v>5.3287291164862003</v>
      </c>
      <c r="AT1489" s="146">
        <v>0.4</v>
      </c>
      <c r="AU1489">
        <v>0</v>
      </c>
      <c r="AV1489" s="146">
        <v>0.5</v>
      </c>
      <c r="AW1489" s="146">
        <v>3</v>
      </c>
      <c r="AX1489" s="146">
        <v>0.99999999900000003</v>
      </c>
      <c r="AY1489" s="146">
        <v>0.36</v>
      </c>
      <c r="AZ1489" s="209">
        <v>269.98096809026896</v>
      </c>
      <c r="BA1489" s="146">
        <v>0.99999999900000003</v>
      </c>
      <c r="BB1489" s="252">
        <v>27.125517062916849</v>
      </c>
      <c r="BC1489" s="244">
        <v>203.5502481319414</v>
      </c>
      <c r="BD1489" s="229">
        <v>90552.094954605345</v>
      </c>
      <c r="BE1489" s="244">
        <v>35.209088394627358</v>
      </c>
      <c r="BF1489" s="146">
        <v>336702.33957028226</v>
      </c>
      <c r="BG1489" t="s">
        <v>387</v>
      </c>
      <c r="BH1489" s="146">
        <v>7.8839827588230633E-6</v>
      </c>
      <c r="BI1489" s="146">
        <v>2105520.9495460535</v>
      </c>
      <c r="BJ1489">
        <f t="shared" si="87"/>
        <v>0.15991402965754137</v>
      </c>
    </row>
    <row r="1490" spans="1:62" s="146" customFormat="1" x14ac:dyDescent="0.3">
      <c r="A1490">
        <v>-0.1</v>
      </c>
      <c r="B1490" s="146">
        <v>1300</v>
      </c>
      <c r="C1490" s="146">
        <v>25</v>
      </c>
      <c r="D1490" s="146">
        <v>400</v>
      </c>
      <c r="E1490" s="252">
        <v>22.625249094088097</v>
      </c>
      <c r="F1490" s="146">
        <v>1.3199303274486387</v>
      </c>
      <c r="G1490" s="146">
        <v>23.923981709349775</v>
      </c>
      <c r="H1490" s="146">
        <v>29.478482372130614</v>
      </c>
      <c r="J1490" s="146">
        <v>0.99999999918021498</v>
      </c>
      <c r="K1490" s="146">
        <v>0.36</v>
      </c>
      <c r="L1490" s="146">
        <v>150.57312219640619</v>
      </c>
      <c r="M1490" s="146">
        <v>55.539266383920314</v>
      </c>
      <c r="N1490" s="146">
        <v>6.5338495581736957</v>
      </c>
      <c r="Z1490" s="146">
        <v>0.22164809828713883</v>
      </c>
      <c r="AL1490" s="146">
        <v>3521.2098144542742</v>
      </c>
      <c r="AM1490" s="146">
        <v>5.517184988202839E-2</v>
      </c>
      <c r="AN1490" s="146">
        <v>0.25303562630637827</v>
      </c>
      <c r="AO1490" s="146">
        <v>310.58472901877775</v>
      </c>
      <c r="AP1490" s="146">
        <v>254.28503536742653</v>
      </c>
      <c r="AQ1490" s="146" t="s">
        <v>383</v>
      </c>
      <c r="AR1490" s="146">
        <f t="shared" si="88"/>
        <v>19.525354503836514</v>
      </c>
      <c r="AS1490" s="146">
        <f t="shared" si="89"/>
        <v>5.3287291164862003</v>
      </c>
      <c r="AT1490" s="146">
        <v>0.4</v>
      </c>
      <c r="AU1490">
        <v>0</v>
      </c>
      <c r="AV1490" s="146">
        <v>0.5</v>
      </c>
      <c r="AW1490" s="146">
        <v>3</v>
      </c>
      <c r="AX1490" s="146">
        <v>0.99999999900000014</v>
      </c>
      <c r="AY1490" s="146">
        <v>0.36</v>
      </c>
      <c r="AZ1490" s="209">
        <v>254.28503536742653</v>
      </c>
      <c r="BA1490" s="146">
        <v>0.99999999900000014</v>
      </c>
      <c r="BB1490" s="252">
        <v>30.241272378682275</v>
      </c>
      <c r="BC1490" s="244">
        <v>216.84531573318486</v>
      </c>
      <c r="BD1490" s="229">
        <v>98633.789693220097</v>
      </c>
      <c r="BE1490" s="244">
        <v>38.661664881757851</v>
      </c>
      <c r="BF1490" s="146">
        <v>417567.95970418054</v>
      </c>
      <c r="BG1490" t="s">
        <v>387</v>
      </c>
      <c r="BH1490" s="146">
        <v>8.4141301879480374E-6</v>
      </c>
      <c r="BI1490" s="146">
        <v>2186337.896932201</v>
      </c>
      <c r="BJ1490">
        <f t="shared" si="87"/>
        <v>0.19098967286351229</v>
      </c>
    </row>
    <row r="1491" spans="1:62" s="146" customFormat="1" x14ac:dyDescent="0.3">
      <c r="A1491">
        <v>-0.1</v>
      </c>
      <c r="B1491" s="227">
        <v>1600</v>
      </c>
      <c r="C1491" s="146">
        <v>25</v>
      </c>
      <c r="D1491" s="146">
        <v>400</v>
      </c>
      <c r="E1491" s="252">
        <v>24.546868774376435</v>
      </c>
      <c r="F1491" s="146">
        <v>1.3833099350154274</v>
      </c>
      <c r="G1491" s="146">
        <v>25.90298546823372</v>
      </c>
      <c r="H1491" s="146">
        <v>31.99758985957347</v>
      </c>
      <c r="J1491" s="146">
        <v>0.99999999917121496</v>
      </c>
      <c r="K1491" s="146">
        <v>0.36</v>
      </c>
      <c r="L1491" s="146">
        <v>163.73592568789462</v>
      </c>
      <c r="M1491" s="146">
        <v>60.394398819305394</v>
      </c>
      <c r="N1491" s="146">
        <v>7.1184902281591391</v>
      </c>
      <c r="Z1491" s="146">
        <v>0.22246957534613607</v>
      </c>
      <c r="AL1491" s="146">
        <v>3802.6734103118415</v>
      </c>
      <c r="AM1491" s="146">
        <v>5.3403494230881525E-2</v>
      </c>
      <c r="AN1491" s="146">
        <v>0.25706128762861108</v>
      </c>
      <c r="AO1491" s="146">
        <v>304.50966382055753</v>
      </c>
      <c r="AP1491" s="146">
        <v>243.42829623227456</v>
      </c>
      <c r="AQ1491" t="s">
        <v>383</v>
      </c>
      <c r="AR1491" s="146">
        <f t="shared" si="88"/>
        <v>19.525354503836514</v>
      </c>
      <c r="AS1491" s="146">
        <f t="shared" si="89"/>
        <v>5.3287291164862003</v>
      </c>
      <c r="AT1491" s="146">
        <v>0.4</v>
      </c>
      <c r="AU1491">
        <v>0</v>
      </c>
      <c r="AV1491" s="146">
        <v>0.5</v>
      </c>
      <c r="AW1491" s="146">
        <v>3</v>
      </c>
      <c r="AX1491" s="146">
        <v>0.99999999900000003</v>
      </c>
      <c r="AY1491" s="146">
        <v>0.36</v>
      </c>
      <c r="AZ1491" s="209">
        <v>243.42829623227456</v>
      </c>
      <c r="BA1491" s="146">
        <v>0.99999999900000003</v>
      </c>
      <c r="BB1491" s="252">
        <v>32.411357801256173</v>
      </c>
      <c r="BC1491" s="244">
        <v>224.78896817286432</v>
      </c>
      <c r="BD1491" s="229">
        <v>103694.23692355942</v>
      </c>
      <c r="BE1491" s="244">
        <v>40.99572236696465</v>
      </c>
      <c r="BF1491" s="146">
        <v>478729.73527194356</v>
      </c>
      <c r="BG1491" t="s">
        <v>387</v>
      </c>
      <c r="BH1491" s="146">
        <v>8.7567004515052446E-6</v>
      </c>
      <c r="BI1491" s="146">
        <v>2236942.3692355943</v>
      </c>
      <c r="BJ1491">
        <f t="shared" si="87"/>
        <v>0.21401075944371986</v>
      </c>
    </row>
    <row r="1492" spans="1:62" s="140" customFormat="1" x14ac:dyDescent="0.3">
      <c r="A1492" s="140">
        <v>-0.1</v>
      </c>
      <c r="B1492" s="140">
        <v>1900</v>
      </c>
      <c r="C1492" s="140">
        <v>25</v>
      </c>
      <c r="D1492" s="140">
        <v>400</v>
      </c>
      <c r="E1492" s="253">
        <v>25.922642103811562</v>
      </c>
      <c r="F1492" s="140">
        <v>1.4265264241587288</v>
      </c>
      <c r="G1492" s="140">
        <v>27.316555500204792</v>
      </c>
      <c r="H1492" s="140">
        <v>33.81004328969091</v>
      </c>
      <c r="J1492" s="140">
        <v>0.99999999916502513</v>
      </c>
      <c r="K1492" s="140">
        <v>0.36</v>
      </c>
      <c r="L1492" s="140">
        <v>173.26326156436687</v>
      </c>
      <c r="M1492" s="140">
        <v>63.908580085217281</v>
      </c>
      <c r="N1492" s="140">
        <v>7.5470761000045172</v>
      </c>
      <c r="Z1492" s="140">
        <v>0.22321994785217303</v>
      </c>
      <c r="AL1492" s="140">
        <v>4009.3120514812977</v>
      </c>
      <c r="AM1492" s="140">
        <v>5.2222046229365708E-2</v>
      </c>
      <c r="AN1492" s="140">
        <v>0.25995122416775751</v>
      </c>
      <c r="AO1492" s="140">
        <v>300.27882274144406</v>
      </c>
      <c r="AP1492" s="140">
        <v>235.77400147903995</v>
      </c>
      <c r="AQ1492" s="146" t="s">
        <v>383</v>
      </c>
      <c r="AR1492" s="140">
        <f t="shared" si="88"/>
        <v>19.525354503836514</v>
      </c>
      <c r="AS1492" s="140">
        <f t="shared" si="89"/>
        <v>5.3287291164862003</v>
      </c>
      <c r="AT1492" s="140">
        <v>0.4</v>
      </c>
      <c r="AU1492">
        <v>0</v>
      </c>
      <c r="AV1492" s="140">
        <v>0.5</v>
      </c>
      <c r="AW1492" s="140">
        <v>3</v>
      </c>
      <c r="AX1492" s="140">
        <v>0.99999999900000003</v>
      </c>
      <c r="AY1492" s="140">
        <v>0.36</v>
      </c>
      <c r="AZ1492" s="209">
        <v>235.77400147903995</v>
      </c>
      <c r="BA1492" s="140">
        <v>0.99999999900000003</v>
      </c>
      <c r="BB1492" s="253">
        <v>33.951416536772605</v>
      </c>
      <c r="BC1492" s="245">
        <v>229.64720271153104</v>
      </c>
      <c r="BD1492" s="210">
        <v>106935.34070323488</v>
      </c>
      <c r="BE1492" s="245">
        <v>42.612871014014935</v>
      </c>
      <c r="BF1492" s="140">
        <v>524333.26941371616</v>
      </c>
      <c r="BG1492" t="s">
        <v>387</v>
      </c>
      <c r="BH1492" s="140">
        <v>8.9914220235382818E-6</v>
      </c>
      <c r="BI1492" s="140">
        <v>2269353.4070323487</v>
      </c>
      <c r="BJ1492">
        <f t="shared" si="87"/>
        <v>0.2310496319299121</v>
      </c>
    </row>
    <row r="1493" spans="1:62" s="146" customFormat="1" x14ac:dyDescent="0.3">
      <c r="A1493">
        <v>-0.1</v>
      </c>
      <c r="B1493" s="146">
        <v>1000</v>
      </c>
      <c r="C1493" s="146">
        <v>25</v>
      </c>
      <c r="D1493" s="146">
        <v>200</v>
      </c>
      <c r="E1493" s="252">
        <v>19.89088235639074</v>
      </c>
      <c r="F1493" s="146">
        <v>1.3499020626540914</v>
      </c>
      <c r="G1493" s="146">
        <v>21.174758193381901</v>
      </c>
      <c r="H1493" s="146">
        <v>25.753845574368132</v>
      </c>
      <c r="J1493" s="146">
        <v>0.99999999917671123</v>
      </c>
      <c r="K1493" s="146">
        <v>0.36</v>
      </c>
      <c r="L1493" s="146">
        <v>133.86545670145702</v>
      </c>
      <c r="M1493" s="146">
        <v>49.376602881684967</v>
      </c>
      <c r="N1493" s="146">
        <v>5.5585008160292837</v>
      </c>
      <c r="Z1493" s="146">
        <v>0.21583187644650079</v>
      </c>
      <c r="AL1493" s="146">
        <v>2851.0940024672741</v>
      </c>
      <c r="AM1493" s="146">
        <v>6.3750530245771528E-2</v>
      </c>
      <c r="AN1493" s="146">
        <v>0.25286905300076162</v>
      </c>
      <c r="AO1493" s="146">
        <v>121.33919860754636</v>
      </c>
      <c r="AP1493" s="146">
        <v>71.843594452633909</v>
      </c>
      <c r="AQ1493" t="s">
        <v>383</v>
      </c>
      <c r="AR1493" s="146">
        <f t="shared" si="88"/>
        <v>19.525354503836514</v>
      </c>
      <c r="AS1493" s="146">
        <f t="shared" si="89"/>
        <v>5.3287291164862003</v>
      </c>
      <c r="AT1493" s="146">
        <v>0.4</v>
      </c>
      <c r="AU1493">
        <v>0</v>
      </c>
      <c r="AV1493" s="146">
        <v>0.5</v>
      </c>
      <c r="AW1493" s="146">
        <v>3</v>
      </c>
      <c r="AX1493" s="146">
        <v>0.99999999900000003</v>
      </c>
      <c r="AY1493" s="146">
        <v>0.36</v>
      </c>
      <c r="AZ1493" s="209">
        <v>71.843594452633909</v>
      </c>
      <c r="BA1493" s="146">
        <v>0.99999999900000003</v>
      </c>
      <c r="BB1493" s="252">
        <v>27.809445348300791</v>
      </c>
      <c r="BC1493" s="244">
        <v>207.8329273735315</v>
      </c>
      <c r="BD1493" s="229">
        <v>92755.544383756627</v>
      </c>
      <c r="BE1493" s="244">
        <v>35.736994892115618</v>
      </c>
      <c r="BF1493" s="146">
        <v>342142.30006424815</v>
      </c>
      <c r="BG1493" t="s">
        <v>388</v>
      </c>
      <c r="BH1493" s="146">
        <v>7.7893241990500549E-6</v>
      </c>
      <c r="BI1493" s="146">
        <v>2127555.4438375663</v>
      </c>
      <c r="BJ1493">
        <f t="shared" si="87"/>
        <v>0.16081475152868913</v>
      </c>
    </row>
    <row r="1494" spans="1:62" s="146" customFormat="1" x14ac:dyDescent="0.3">
      <c r="A1494">
        <v>-0.1</v>
      </c>
      <c r="B1494" s="146">
        <v>1000</v>
      </c>
      <c r="C1494" s="146">
        <v>25</v>
      </c>
      <c r="D1494" s="146">
        <v>300</v>
      </c>
      <c r="E1494" s="252">
        <v>19.884247625268362</v>
      </c>
      <c r="F1494" s="146">
        <v>1.2639822272454269</v>
      </c>
      <c r="G1494" s="146">
        <v>21.115811169928282</v>
      </c>
      <c r="H1494" s="146">
        <v>25.914397637553318</v>
      </c>
      <c r="J1494" s="146">
        <v>0.99999999919398574</v>
      </c>
      <c r="K1494" s="146">
        <v>0.36</v>
      </c>
      <c r="L1494" s="146">
        <v>132.5387480034376</v>
      </c>
      <c r="M1494" s="146">
        <v>48.88724311602207</v>
      </c>
      <c r="N1494" s="146">
        <v>5.7303638002388126</v>
      </c>
      <c r="Z1494" s="146">
        <v>0.22112664474727259</v>
      </c>
      <c r="AL1494" s="146">
        <v>3035.562065620486</v>
      </c>
      <c r="AM1494" s="146">
        <v>5.9859515557967542E-2</v>
      </c>
      <c r="AN1494" s="146">
        <v>0.2481166202955187</v>
      </c>
      <c r="AO1494" s="146">
        <v>219.85926778470031</v>
      </c>
      <c r="AP1494" s="146">
        <v>170.38016550108122</v>
      </c>
      <c r="AQ1494" s="146" t="s">
        <v>383</v>
      </c>
      <c r="AR1494" s="146">
        <f t="shared" si="88"/>
        <v>19.525354503836514</v>
      </c>
      <c r="AS1494" s="146">
        <f t="shared" si="89"/>
        <v>5.3287291164862003</v>
      </c>
      <c r="AT1494" s="146">
        <v>0.4</v>
      </c>
      <c r="AU1494">
        <v>0</v>
      </c>
      <c r="AV1494" s="146">
        <v>0.5</v>
      </c>
      <c r="AW1494" s="146">
        <v>3</v>
      </c>
      <c r="AX1494" s="146">
        <v>0.99999999900000003</v>
      </c>
      <c r="AY1494" s="146">
        <v>0.36</v>
      </c>
      <c r="AZ1494" s="209">
        <v>170.38016550108122</v>
      </c>
      <c r="BA1494" s="146">
        <v>0.99999999900000003</v>
      </c>
      <c r="BB1494" s="252">
        <v>27.328923954057377</v>
      </c>
      <c r="BC1494" s="244">
        <v>204.53372396140009</v>
      </c>
      <c r="BD1494" s="229">
        <v>91034.129899074178</v>
      </c>
      <c r="BE1494" s="244">
        <v>35.295248453482671</v>
      </c>
      <c r="BF1494" s="146">
        <v>337619.32197657472</v>
      </c>
      <c r="BG1494" t="s">
        <v>388</v>
      </c>
      <c r="BH1494" s="146">
        <v>7.858418821248951E-6</v>
      </c>
      <c r="BI1494" s="146">
        <v>2110341.2989907418</v>
      </c>
      <c r="BJ1494">
        <f t="shared" si="87"/>
        <v>0.15998327954726524</v>
      </c>
    </row>
    <row r="1495" spans="1:62" s="146" customFormat="1" x14ac:dyDescent="0.3">
      <c r="A1495">
        <v>-0.1</v>
      </c>
      <c r="B1495" s="146">
        <v>1000</v>
      </c>
      <c r="C1495" s="146">
        <v>25</v>
      </c>
      <c r="D1495" s="146">
        <v>400</v>
      </c>
      <c r="E1495" s="252">
        <v>19.899984128785093</v>
      </c>
      <c r="F1495" s="146">
        <v>1.2241653296514072</v>
      </c>
      <c r="G1495" s="146">
        <v>21.108963616874028</v>
      </c>
      <c r="H1495" s="146">
        <v>25.927289222173794</v>
      </c>
      <c r="J1495" s="146">
        <v>0.99999999919405791</v>
      </c>
      <c r="K1495" s="146">
        <v>0.36</v>
      </c>
      <c r="L1495" s="146">
        <v>132.13907263281058</v>
      </c>
      <c r="M1495" s="146">
        <v>48.739821872758</v>
      </c>
      <c r="N1495" s="146">
        <v>5.7288566872517244</v>
      </c>
      <c r="Z1495" s="146">
        <v>0.22095856756024593</v>
      </c>
      <c r="AL1495" s="146">
        <v>3134.4096206441454</v>
      </c>
      <c r="AM1495" s="146">
        <v>5.7992677985992509E-2</v>
      </c>
      <c r="AN1495" s="146">
        <v>0.2472033492814788</v>
      </c>
      <c r="AO1495" s="146">
        <v>319.49953677154303</v>
      </c>
      <c r="AP1495" s="146">
        <v>269.98127701828196</v>
      </c>
      <c r="AQ1495" t="s">
        <v>383</v>
      </c>
      <c r="AR1495" s="146">
        <f t="shared" si="88"/>
        <v>19.525354503836514</v>
      </c>
      <c r="AS1495" s="146">
        <f t="shared" si="89"/>
        <v>5.3287291164862003</v>
      </c>
      <c r="AT1495" s="146">
        <v>0.4</v>
      </c>
      <c r="AU1495">
        <v>0</v>
      </c>
      <c r="AV1495" s="146">
        <v>0.5</v>
      </c>
      <c r="AW1495" s="146">
        <v>3</v>
      </c>
      <c r="AX1495" s="146">
        <v>0.99999999900000003</v>
      </c>
      <c r="AY1495" s="146">
        <v>0.36</v>
      </c>
      <c r="AZ1495" s="209">
        <v>269.98127701828196</v>
      </c>
      <c r="BA1495" s="146">
        <v>0.99999999900000003</v>
      </c>
      <c r="BB1495" s="252">
        <v>27.125472967149477</v>
      </c>
      <c r="BC1495" s="244">
        <v>203.54971675742576</v>
      </c>
      <c r="BD1495" s="229">
        <v>90551.815242792727</v>
      </c>
      <c r="BE1495" s="244">
        <v>35.209012547866756</v>
      </c>
      <c r="BF1495" s="146">
        <v>336700.91985277104</v>
      </c>
      <c r="BG1495" t="s">
        <v>388</v>
      </c>
      <c r="BH1495" s="146">
        <v>7.8839828240374344E-6</v>
      </c>
      <c r="BI1495" s="146">
        <v>2105518.1524279271</v>
      </c>
      <c r="BJ1495">
        <f t="shared" si="87"/>
        <v>0.15991356781441782</v>
      </c>
    </row>
    <row r="1496" spans="1:62" s="146" customFormat="1" x14ac:dyDescent="0.3">
      <c r="A1496">
        <v>-0.1</v>
      </c>
      <c r="B1496" s="146">
        <v>1000</v>
      </c>
      <c r="C1496" s="146">
        <v>25</v>
      </c>
      <c r="D1496" s="146">
        <v>500</v>
      </c>
      <c r="E1496" s="252">
        <v>19.916974181052712</v>
      </c>
      <c r="F1496" s="146">
        <v>1.1927688738057962</v>
      </c>
      <c r="G1496" s="146">
        <v>21.108470607550306</v>
      </c>
      <c r="H1496" s="146">
        <v>25.911339807499939</v>
      </c>
      <c r="J1496" s="146">
        <v>0.99999999919188431</v>
      </c>
      <c r="K1496" s="146">
        <v>0.36</v>
      </c>
      <c r="L1496" s="146">
        <v>131.85761707929097</v>
      </c>
      <c r="M1496" s="146">
        <v>48.636006299738483</v>
      </c>
      <c r="N1496" s="146">
        <v>5.6968096387631633</v>
      </c>
      <c r="Z1496" s="146">
        <v>0.21985777968587497</v>
      </c>
      <c r="AL1496" s="146">
        <v>3218.1360349649881</v>
      </c>
      <c r="AM1496" s="146">
        <v>5.650664588552208E-2</v>
      </c>
      <c r="AN1496" s="146">
        <v>0.24677787935425413</v>
      </c>
      <c r="AO1496" s="146">
        <v>419.29189831288915</v>
      </c>
      <c r="AP1496" s="146">
        <v>369.73121558340722</v>
      </c>
      <c r="AQ1496" s="146" t="s">
        <v>383</v>
      </c>
      <c r="AR1496" s="146">
        <f t="shared" si="88"/>
        <v>19.525354503836514</v>
      </c>
      <c r="AS1496" s="146">
        <f t="shared" si="89"/>
        <v>5.3287291164862003</v>
      </c>
      <c r="AT1496" s="146">
        <v>0.4</v>
      </c>
      <c r="AU1496">
        <v>0</v>
      </c>
      <c r="AV1496" s="146">
        <v>0.5</v>
      </c>
      <c r="AW1496" s="146">
        <v>3</v>
      </c>
      <c r="AX1496" s="146">
        <v>0.99999999900000003</v>
      </c>
      <c r="AY1496" s="146">
        <v>0.36</v>
      </c>
      <c r="AZ1496" s="209">
        <v>369.73121558340722</v>
      </c>
      <c r="BA1496" s="146">
        <v>0.99999999900000003</v>
      </c>
      <c r="BB1496" s="252">
        <v>26.969711758197406</v>
      </c>
      <c r="BC1496" s="244">
        <v>202.85947308966945</v>
      </c>
      <c r="BD1496" s="229">
        <v>90238.06569997147</v>
      </c>
      <c r="BE1496" s="244">
        <v>35.185322748208705</v>
      </c>
      <c r="BF1496" s="146">
        <v>336236.54725893855</v>
      </c>
      <c r="BG1496" t="s">
        <v>388</v>
      </c>
      <c r="BH1496" s="146">
        <v>7.9029789168320842E-6</v>
      </c>
      <c r="BI1496" s="146">
        <v>2102380.6569997147</v>
      </c>
      <c r="BJ1496">
        <f t="shared" si="87"/>
        <v>0.15993133600210069</v>
      </c>
    </row>
    <row r="1497" spans="1:62" s="146" customFormat="1" x14ac:dyDescent="0.3">
      <c r="A1497">
        <v>-0.1</v>
      </c>
      <c r="B1497" s="146">
        <v>1000</v>
      </c>
      <c r="C1497" s="146">
        <v>25</v>
      </c>
      <c r="D1497" s="146">
        <v>600</v>
      </c>
      <c r="E1497" s="252">
        <v>19.934142610852081</v>
      </c>
      <c r="F1497" s="146">
        <v>1.1647420771558383</v>
      </c>
      <c r="G1497" s="146">
        <v>21.110164352288169</v>
      </c>
      <c r="H1497" s="146">
        <v>25.886293657617497</v>
      </c>
      <c r="J1497" s="146">
        <v>0.99999999918904325</v>
      </c>
      <c r="K1497" s="146">
        <v>0.36</v>
      </c>
      <c r="L1497" s="146">
        <v>131.61951394608423</v>
      </c>
      <c r="M1497" s="146">
        <v>48.548181373555657</v>
      </c>
      <c r="N1497" s="146">
        <v>5.6553257037743272</v>
      </c>
      <c r="Z1497" s="146">
        <v>0.21846795754440299</v>
      </c>
      <c r="AL1497" s="146">
        <v>3297.1933438265087</v>
      </c>
      <c r="AM1497" s="146">
        <v>5.5174467508567256E-2</v>
      </c>
      <c r="AN1497" s="146">
        <v>0.2465085640021131</v>
      </c>
      <c r="AO1497" s="146">
        <v>519.13407677519388</v>
      </c>
      <c r="AP1497" s="146">
        <v>469.5304919393468</v>
      </c>
      <c r="AQ1497" t="s">
        <v>383</v>
      </c>
      <c r="AR1497" s="146">
        <f t="shared" si="88"/>
        <v>19.525354503836514</v>
      </c>
      <c r="AS1497" s="146">
        <f t="shared" si="89"/>
        <v>5.3287291164862003</v>
      </c>
      <c r="AT1497" s="146">
        <v>0.4</v>
      </c>
      <c r="AU1497">
        <v>0</v>
      </c>
      <c r="AV1497" s="146">
        <v>0.5</v>
      </c>
      <c r="AW1497" s="146">
        <v>3</v>
      </c>
      <c r="AX1497" s="146">
        <v>0.99999999900000003</v>
      </c>
      <c r="AY1497" s="146">
        <v>0.36</v>
      </c>
      <c r="AZ1497" s="209">
        <v>469.5304919393468</v>
      </c>
      <c r="BA1497" s="146">
        <v>0.99999999900000003</v>
      </c>
      <c r="BB1497" s="252">
        <v>26.832724576219395</v>
      </c>
      <c r="BC1497" s="244">
        <v>202.27727988898155</v>
      </c>
      <c r="BD1497" s="229">
        <v>89985.236988417601</v>
      </c>
      <c r="BE1497" s="244">
        <v>35.183001254286467</v>
      </c>
      <c r="BF1497" s="146">
        <v>335930.00393727492</v>
      </c>
      <c r="BG1497" t="s">
        <v>388</v>
      </c>
      <c r="BH1497" s="146">
        <v>7.9195165414769853E-6</v>
      </c>
      <c r="BI1497" s="146">
        <v>2099852.3698841762</v>
      </c>
      <c r="BJ1497">
        <f t="shared" si="87"/>
        <v>0.15997791499780728</v>
      </c>
    </row>
    <row r="1498" spans="1:62" s="146" customFormat="1" x14ac:dyDescent="0.3">
      <c r="A1498">
        <v>-0.1</v>
      </c>
      <c r="B1498" s="146">
        <v>1000</v>
      </c>
      <c r="C1498" s="146">
        <v>25</v>
      </c>
      <c r="D1498" s="146">
        <v>700</v>
      </c>
      <c r="E1498" s="252">
        <v>19.951309150175462</v>
      </c>
      <c r="F1498" s="146">
        <v>1.1386486617788019</v>
      </c>
      <c r="G1498" s="146">
        <v>21.112999060290981</v>
      </c>
      <c r="H1498" s="146">
        <v>25.857985010180329</v>
      </c>
      <c r="J1498" s="146">
        <v>0.99999999918594906</v>
      </c>
      <c r="K1498" s="146">
        <v>0.36</v>
      </c>
      <c r="L1498" s="146">
        <v>131.40573881571785</v>
      </c>
      <c r="M1498" s="146">
        <v>48.469329891043472</v>
      </c>
      <c r="N1498" s="146">
        <v>5.6104930799341339</v>
      </c>
      <c r="Z1498" s="146">
        <v>0.21697332865361604</v>
      </c>
      <c r="AL1498" s="146">
        <v>3374.5996190086148</v>
      </c>
      <c r="AM1498" s="146">
        <v>5.3931166222630854E-2</v>
      </c>
      <c r="AN1498" s="146">
        <v>0.2463103755518456</v>
      </c>
      <c r="AO1498" s="146">
        <v>618.99931496805368</v>
      </c>
      <c r="AP1498" s="146">
        <v>569.35307904154956</v>
      </c>
      <c r="AQ1498" s="146" t="s">
        <v>383</v>
      </c>
      <c r="AR1498" s="146">
        <f t="shared" si="88"/>
        <v>19.525354503836514</v>
      </c>
      <c r="AS1498" s="146">
        <f t="shared" si="89"/>
        <v>5.3287291164862003</v>
      </c>
      <c r="AT1498" s="146">
        <v>0.4</v>
      </c>
      <c r="AU1498">
        <v>0</v>
      </c>
      <c r="AV1498" s="146">
        <v>0.5</v>
      </c>
      <c r="AW1498" s="146">
        <v>3</v>
      </c>
      <c r="AX1498" s="146">
        <v>0.99999999900000003</v>
      </c>
      <c r="AY1498" s="146">
        <v>0.36</v>
      </c>
      <c r="AZ1498" s="209">
        <v>569.35307904154956</v>
      </c>
      <c r="BA1498" s="146">
        <v>0.99999999900000003</v>
      </c>
      <c r="BB1498" s="252">
        <v>26.706417734842496</v>
      </c>
      <c r="BC1498" s="244">
        <v>201.75591710528852</v>
      </c>
      <c r="BD1498" s="229">
        <v>89765.126558496573</v>
      </c>
      <c r="BE1498" s="244">
        <v>35.190314585159399</v>
      </c>
      <c r="BF1498" s="146">
        <v>335705.80062360654</v>
      </c>
      <c r="BG1498" t="s">
        <v>388</v>
      </c>
      <c r="BH1498" s="146">
        <v>7.9347068698224112E-6</v>
      </c>
      <c r="BI1498" s="146">
        <v>2097651.2655849657</v>
      </c>
      <c r="BJ1498">
        <f t="shared" si="87"/>
        <v>0.16003889975962676</v>
      </c>
    </row>
    <row r="1499" spans="1:62" s="146" customFormat="1" x14ac:dyDescent="0.3">
      <c r="A1499">
        <v>-0.1</v>
      </c>
      <c r="B1499" s="146">
        <v>1000</v>
      </c>
      <c r="C1499" s="146">
        <v>25</v>
      </c>
      <c r="D1499" s="146">
        <v>800</v>
      </c>
      <c r="E1499" s="252">
        <v>20.000441768504107</v>
      </c>
      <c r="F1499" s="146">
        <v>1.0917274599714282</v>
      </c>
      <c r="G1499" s="146">
        <v>21.138039566517502</v>
      </c>
      <c r="H1499" s="146">
        <v>25.80007883770233</v>
      </c>
      <c r="J1499" s="146">
        <v>0.97120560924177823</v>
      </c>
      <c r="K1499" s="146">
        <v>0.36</v>
      </c>
      <c r="L1499" s="146">
        <v>131.06542130915648</v>
      </c>
      <c r="M1499" s="146">
        <v>48.343802941901977</v>
      </c>
      <c r="N1499" s="146">
        <v>5.8734214369928566</v>
      </c>
      <c r="Z1499" s="146">
        <v>0.2276512980421545</v>
      </c>
      <c r="AL1499" s="146">
        <v>3605.7568357738037</v>
      </c>
      <c r="AM1499" s="146">
        <v>5.1647526561579359E-2</v>
      </c>
      <c r="AN1499" s="146">
        <v>0.24635613636673295</v>
      </c>
      <c r="AO1499" s="146">
        <v>718.8149235352073</v>
      </c>
      <c r="AP1499" s="146">
        <v>669.04611727737688</v>
      </c>
      <c r="AQ1499" t="s">
        <v>383</v>
      </c>
      <c r="AR1499" s="146">
        <f t="shared" si="88"/>
        <v>19.525354503836514</v>
      </c>
      <c r="AS1499" s="146">
        <f t="shared" si="89"/>
        <v>5.3287291164862003</v>
      </c>
      <c r="AT1499" s="146">
        <v>0.4</v>
      </c>
      <c r="AU1499">
        <v>0</v>
      </c>
      <c r="AV1499" s="146">
        <v>0.5</v>
      </c>
      <c r="AW1499" s="146">
        <v>3</v>
      </c>
      <c r="AX1499" s="146">
        <v>0.96530942822684551</v>
      </c>
      <c r="AY1499" s="146">
        <v>0.36</v>
      </c>
      <c r="AZ1499" s="209">
        <v>669.04611727737688</v>
      </c>
      <c r="BA1499" s="146">
        <v>0.96530942822684551</v>
      </c>
      <c r="BB1499" s="252">
        <v>26.626801410386008</v>
      </c>
      <c r="BC1499" s="244">
        <v>200.92854794319541</v>
      </c>
      <c r="BD1499" s="229">
        <v>89787.900611241072</v>
      </c>
      <c r="BE1499" s="244">
        <v>35.765079267876786</v>
      </c>
      <c r="BF1499" s="146">
        <v>336754.29079652863</v>
      </c>
      <c r="BG1499" t="s">
        <v>388</v>
      </c>
      <c r="BH1499" s="146">
        <v>7.950422402965509E-6</v>
      </c>
      <c r="BI1499" s="146">
        <v>2097879.0061124107</v>
      </c>
      <c r="BJ1499">
        <f t="shared" si="87"/>
        <v>0.16052131215163337</v>
      </c>
    </row>
    <row r="1500" spans="1:62" s="146" customFormat="1" x14ac:dyDescent="0.3">
      <c r="A1500">
        <v>-0.1</v>
      </c>
      <c r="B1500" s="146">
        <v>1000</v>
      </c>
      <c r="C1500" s="146">
        <v>25</v>
      </c>
      <c r="D1500" s="146">
        <v>900</v>
      </c>
      <c r="E1500" s="252">
        <v>20.063691711067897</v>
      </c>
      <c r="F1500" s="146">
        <v>1.0364245672294294</v>
      </c>
      <c r="G1500" s="146">
        <v>21.17309358594721</v>
      </c>
      <c r="H1500" s="146">
        <v>25.739908146460696</v>
      </c>
      <c r="J1500" s="146">
        <v>0.93677706315114939</v>
      </c>
      <c r="K1500" s="146">
        <v>0.36</v>
      </c>
      <c r="L1500" s="146">
        <v>130.72694156308896</v>
      </c>
      <c r="M1500" s="146">
        <v>48.218953855237736</v>
      </c>
      <c r="N1500" s="146">
        <v>6.2510939555546514</v>
      </c>
      <c r="Z1500" s="146">
        <v>0.24285610966386426</v>
      </c>
      <c r="AL1500" s="146">
        <v>3894.204520123079</v>
      </c>
      <c r="AM1500" s="146">
        <v>4.8950077277196496E-2</v>
      </c>
      <c r="AN1500" s="146">
        <v>0.24643214889828149</v>
      </c>
      <c r="AO1500" s="146">
        <v>818.58330254081625</v>
      </c>
      <c r="AP1500" s="146">
        <v>768.65754234575252</v>
      </c>
      <c r="AQ1500" s="146" t="s">
        <v>383</v>
      </c>
      <c r="AR1500" s="146">
        <f t="shared" si="88"/>
        <v>19.525354503836514</v>
      </c>
      <c r="AS1500" s="146">
        <f t="shared" si="89"/>
        <v>5.3287291164862003</v>
      </c>
      <c r="AT1500" s="146">
        <v>0.4</v>
      </c>
      <c r="AU1500">
        <v>0</v>
      </c>
      <c r="AV1500" s="146">
        <v>0.5</v>
      </c>
      <c r="AW1500" s="146">
        <v>3</v>
      </c>
      <c r="AX1500" s="146">
        <v>0.92541946970278377</v>
      </c>
      <c r="AY1500" s="146">
        <v>0.36</v>
      </c>
      <c r="AZ1500" s="209">
        <v>768.65754234575252</v>
      </c>
      <c r="BA1500" s="146">
        <v>0.92541946970278377</v>
      </c>
      <c r="BB1500" s="252">
        <v>26.521684325531993</v>
      </c>
      <c r="BC1500" s="244">
        <v>200.10880475658485</v>
      </c>
      <c r="BD1500" s="229">
        <v>89831.926755301552</v>
      </c>
      <c r="BE1500" s="244">
        <v>36.3670317492547</v>
      </c>
      <c r="BF1500" s="146">
        <v>338144.27215929993</v>
      </c>
      <c r="BG1500" t="s">
        <v>388</v>
      </c>
      <c r="BH1500" s="146">
        <v>7.9699934048991646E-6</v>
      </c>
      <c r="BI1500" s="146">
        <v>2098319.2675530156</v>
      </c>
      <c r="BJ1500">
        <f t="shared" si="87"/>
        <v>0.16115005823381282</v>
      </c>
    </row>
    <row r="1501" spans="1:62" s="146" customFormat="1" x14ac:dyDescent="0.3">
      <c r="A1501">
        <v>-0.1</v>
      </c>
      <c r="B1501" s="146">
        <v>1000</v>
      </c>
      <c r="C1501" s="146">
        <v>25</v>
      </c>
      <c r="D1501" s="146">
        <v>1000</v>
      </c>
      <c r="E1501" s="252">
        <v>20.121778285533349</v>
      </c>
      <c r="F1501" s="146">
        <v>0.9850561318484814</v>
      </c>
      <c r="G1501" s="146">
        <v>21.204795146141489</v>
      </c>
      <c r="H1501" s="146">
        <v>25.688809386396208</v>
      </c>
      <c r="J1501" s="146">
        <v>0.90926624606248463</v>
      </c>
      <c r="K1501" s="146">
        <v>0.36</v>
      </c>
      <c r="L1501" s="146">
        <v>130.44253251625864</v>
      </c>
      <c r="M1501" s="146">
        <v>48.11404887894787</v>
      </c>
      <c r="N1501" s="146">
        <v>6.591558674173335</v>
      </c>
      <c r="Z1501" s="146">
        <v>0.25659261100921116</v>
      </c>
      <c r="AL1501" s="146">
        <v>4164.0628927140924</v>
      </c>
      <c r="AM1501" s="146">
        <v>4.6454404537255162E-2</v>
      </c>
      <c r="AN1501" s="146">
        <v>0.24645079376298812</v>
      </c>
      <c r="AO1501" s="146">
        <v>918.35376961745771</v>
      </c>
      <c r="AP1501" s="146">
        <v>868.28355562742513</v>
      </c>
      <c r="AQ1501" t="s">
        <v>383</v>
      </c>
      <c r="AR1501" s="146">
        <f t="shared" si="88"/>
        <v>19.525354503836514</v>
      </c>
      <c r="AS1501" s="146">
        <f t="shared" si="89"/>
        <v>5.3287291164862003</v>
      </c>
      <c r="AT1501" s="146">
        <v>0.4</v>
      </c>
      <c r="AU1501">
        <v>0</v>
      </c>
      <c r="AV1501" s="146">
        <v>0.5</v>
      </c>
      <c r="AW1501" s="146">
        <v>3</v>
      </c>
      <c r="AX1501" s="146">
        <v>0.89469054093952916</v>
      </c>
      <c r="AY1501" s="146">
        <v>0.36</v>
      </c>
      <c r="AZ1501" s="209">
        <v>868.28355562742513</v>
      </c>
      <c r="BA1501" s="146">
        <v>0.89469054093952916</v>
      </c>
      <c r="BB1501" s="252">
        <v>26.388622470349478</v>
      </c>
      <c r="BC1501" s="244">
        <v>199.42242897840859</v>
      </c>
      <c r="BD1501" s="229">
        <v>89804.074315413149</v>
      </c>
      <c r="BE1501" s="244">
        <v>36.773088895151041</v>
      </c>
      <c r="BF1501" s="146">
        <v>339243.77791419293</v>
      </c>
      <c r="BG1501" t="s">
        <v>388</v>
      </c>
      <c r="BH1501" s="146">
        <v>7.9908633768191462E-6</v>
      </c>
      <c r="BI1501" s="146">
        <v>2098040.7431541313</v>
      </c>
      <c r="BJ1501">
        <f t="shared" si="87"/>
        <v>0.16169551474209412</v>
      </c>
    </row>
    <row r="1502" spans="1:62" s="140" customFormat="1" x14ac:dyDescent="0.3">
      <c r="A1502" s="140">
        <v>-0.1</v>
      </c>
      <c r="B1502" s="140">
        <v>1000</v>
      </c>
      <c r="C1502" s="140">
        <v>25</v>
      </c>
      <c r="D1502" s="140">
        <v>1100</v>
      </c>
      <c r="E1502" s="253">
        <v>20.174859820282656</v>
      </c>
      <c r="F1502" s="140">
        <v>0.93835237597101173</v>
      </c>
      <c r="G1502" s="140">
        <v>21.233788858366008</v>
      </c>
      <c r="H1502" s="140">
        <v>25.646281207063073</v>
      </c>
      <c r="J1502" s="140">
        <v>0.88711008623250687</v>
      </c>
      <c r="K1502" s="140">
        <v>0.36</v>
      </c>
      <c r="L1502" s="140">
        <v>130.20699442743589</v>
      </c>
      <c r="M1502" s="140">
        <v>48.027170075693562</v>
      </c>
      <c r="N1502" s="140">
        <v>6.8928392834450918</v>
      </c>
      <c r="Z1502" s="140">
        <v>0.26876564394633484</v>
      </c>
      <c r="AL1502" s="140">
        <v>4414.3496508570233</v>
      </c>
      <c r="AM1502" s="140">
        <v>4.4191471537652856E-2</v>
      </c>
      <c r="AN1502" s="140">
        <v>0.24643246806348662</v>
      </c>
      <c r="AO1502" s="140">
        <v>1018.1322981552693</v>
      </c>
      <c r="AP1502" s="140">
        <v>967.93000913447815</v>
      </c>
      <c r="AQ1502" s="146" t="s">
        <v>383</v>
      </c>
      <c r="AR1502" s="140">
        <f t="shared" si="88"/>
        <v>19.525354503836514</v>
      </c>
      <c r="AS1502" s="140">
        <f t="shared" si="89"/>
        <v>5.3287291164862003</v>
      </c>
      <c r="AT1502" s="140">
        <v>0.4</v>
      </c>
      <c r="AU1502">
        <v>0</v>
      </c>
      <c r="AV1502" s="140">
        <v>0.5</v>
      </c>
      <c r="AW1502" s="140">
        <v>3</v>
      </c>
      <c r="AX1502" s="140">
        <v>0.8706307536297907</v>
      </c>
      <c r="AY1502" s="140">
        <v>0.36</v>
      </c>
      <c r="AZ1502" s="209">
        <v>967.93000913447815</v>
      </c>
      <c r="BA1502" s="140">
        <v>0.8706307536297907</v>
      </c>
      <c r="BB1502" s="253">
        <v>26.245473731829666</v>
      </c>
      <c r="BC1502" s="245">
        <v>198.8556552158513</v>
      </c>
      <c r="BD1502" s="210">
        <v>89739.523408984285</v>
      </c>
      <c r="BE1502" s="245">
        <v>37.045484823286635</v>
      </c>
      <c r="BF1502" s="140">
        <v>340146.07012492546</v>
      </c>
      <c r="BG1502" t="s">
        <v>388</v>
      </c>
      <c r="BH1502" s="140">
        <v>8.0116044363833672E-6</v>
      </c>
      <c r="BI1502" s="140">
        <v>2097395.234089843</v>
      </c>
      <c r="BJ1502">
        <f t="shared" si="87"/>
        <v>0.1621754758456532</v>
      </c>
    </row>
    <row r="1503" spans="1:62" s="146" customFormat="1" x14ac:dyDescent="0.3">
      <c r="A1503">
        <v>-0.1</v>
      </c>
      <c r="B1503" s="146">
        <v>1000</v>
      </c>
      <c r="C1503" s="146">
        <v>25</v>
      </c>
      <c r="D1503" s="146">
        <v>400</v>
      </c>
      <c r="E1503" s="252">
        <v>19.899998868060457</v>
      </c>
      <c r="F1503" s="146">
        <v>1.2241668134232153</v>
      </c>
      <c r="G1503" s="146">
        <v>21.108979709032351</v>
      </c>
      <c r="H1503" s="146">
        <v>25.927304112666373</v>
      </c>
      <c r="J1503" s="146">
        <v>0.99999999919405824</v>
      </c>
      <c r="K1503" s="146">
        <v>0.36</v>
      </c>
      <c r="L1503" s="146">
        <v>132.1391478134008</v>
      </c>
      <c r="M1503" s="146">
        <v>48.739849603303576</v>
      </c>
      <c r="N1503" s="146">
        <v>5.7288565329704149</v>
      </c>
      <c r="Z1503" s="146">
        <v>0.22095843470944104</v>
      </c>
      <c r="AL1503" s="146">
        <v>3134.4093917352639</v>
      </c>
      <c r="AM1503" s="146">
        <v>5.799270406704711E-2</v>
      </c>
      <c r="AN1503" s="146">
        <v>0.24720318564269164</v>
      </c>
      <c r="AO1503" s="146">
        <v>319.49942385927022</v>
      </c>
      <c r="AP1503" s="146">
        <v>269.98112525005814</v>
      </c>
      <c r="AQ1503" t="s">
        <v>383</v>
      </c>
      <c r="AR1503" s="146">
        <f t="shared" si="88"/>
        <v>19.525354503836514</v>
      </c>
      <c r="AS1503" s="146">
        <f t="shared" si="89"/>
        <v>5.3287291164862003</v>
      </c>
      <c r="AT1503" s="146">
        <v>0.4</v>
      </c>
      <c r="AU1503">
        <v>0</v>
      </c>
      <c r="AV1503" s="146">
        <v>0.5</v>
      </c>
      <c r="AW1503" s="146">
        <v>3</v>
      </c>
      <c r="AX1503" s="146">
        <v>0.99999999900000003</v>
      </c>
      <c r="AY1503" s="146">
        <v>0.36</v>
      </c>
      <c r="AZ1503" s="209">
        <v>269.98112525005814</v>
      </c>
      <c r="BA1503" s="146">
        <v>0.99999999900000003</v>
      </c>
      <c r="BB1503" s="252">
        <v>27.125495429212076</v>
      </c>
      <c r="BC1503" s="244">
        <v>203.54990142851031</v>
      </c>
      <c r="BD1503" s="229">
        <v>90551.934525482939</v>
      </c>
      <c r="BE1503" s="244">
        <v>35.209072275604342</v>
      </c>
      <c r="BF1503" s="146">
        <v>336701.52503201237</v>
      </c>
      <c r="BG1503" t="s">
        <v>389</v>
      </c>
      <c r="BH1503" s="146">
        <v>7.8839827920205122E-6</v>
      </c>
      <c r="BI1503" s="146">
        <v>2105519.3452548292</v>
      </c>
      <c r="BJ1503">
        <f t="shared" si="87"/>
        <v>0.15991376464473267</v>
      </c>
    </row>
    <row r="1504" spans="1:62" s="146" customFormat="1" x14ac:dyDescent="0.3">
      <c r="A1504">
        <v>-0.1</v>
      </c>
      <c r="B1504" s="146">
        <v>1000</v>
      </c>
      <c r="C1504" s="146">
        <v>25</v>
      </c>
      <c r="D1504" s="146">
        <v>400</v>
      </c>
      <c r="E1504" s="252">
        <v>19.183820181139886</v>
      </c>
      <c r="F1504" s="146">
        <v>1.1852824121421786</v>
      </c>
      <c r="G1504" s="146">
        <v>20.342694135230733</v>
      </c>
      <c r="H1504" s="146">
        <v>25.041677300810598</v>
      </c>
      <c r="J1504" s="146">
        <v>0.9999999991953783</v>
      </c>
      <c r="K1504" s="146">
        <v>0.36</v>
      </c>
      <c r="L1504" s="146">
        <v>127.67594542175071</v>
      </c>
      <c r="M1504" s="146">
        <v>47.093586426055587</v>
      </c>
      <c r="N1504" s="146">
        <v>5.574740751053465</v>
      </c>
      <c r="Z1504" s="146">
        <v>0.22261850450700485</v>
      </c>
      <c r="AL1504" s="146">
        <v>3062.5799754085692</v>
      </c>
      <c r="AM1504" s="146">
        <v>5.8265753998111458E-2</v>
      </c>
      <c r="AN1504" s="146">
        <v>0.2489654712531745</v>
      </c>
      <c r="AO1504" s="146">
        <v>322.94586038546788</v>
      </c>
      <c r="AP1504" s="146">
        <v>275.2095998818379</v>
      </c>
      <c r="AQ1504" s="146" t="s">
        <v>383</v>
      </c>
      <c r="AR1504" s="146">
        <f t="shared" si="88"/>
        <v>19.525354503836514</v>
      </c>
      <c r="AS1504" s="146">
        <f t="shared" si="89"/>
        <v>5.3287291164862003</v>
      </c>
      <c r="AT1504" s="146">
        <v>0.4</v>
      </c>
      <c r="AU1504">
        <v>0</v>
      </c>
      <c r="AV1504" s="146">
        <v>0.5</v>
      </c>
      <c r="AW1504" s="146">
        <v>2.5</v>
      </c>
      <c r="AX1504" s="146">
        <v>0.99999999900000003</v>
      </c>
      <c r="AY1504" s="146">
        <v>0.36</v>
      </c>
      <c r="AZ1504" s="209">
        <v>275.2095998818379</v>
      </c>
      <c r="BA1504" s="146">
        <v>0.99999999900000003</v>
      </c>
      <c r="BB1504" s="252">
        <v>26.212341711304596</v>
      </c>
      <c r="BC1504" s="244">
        <v>192.85792213584196</v>
      </c>
      <c r="BD1504" s="229">
        <v>84921.470284643219</v>
      </c>
      <c r="BE1504" s="244">
        <v>33.63517707206163</v>
      </c>
      <c r="BF1504" s="146">
        <v>381859.35475615034</v>
      </c>
      <c r="BG1504" t="s">
        <v>389</v>
      </c>
      <c r="BH1504" s="146">
        <v>7.6177869939769939E-6</v>
      </c>
      <c r="BI1504" s="146">
        <v>2049214.7028464321</v>
      </c>
      <c r="BJ1504">
        <f t="shared" si="87"/>
        <v>0.18634423919842763</v>
      </c>
    </row>
    <row r="1505" spans="1:62" s="146" customFormat="1" x14ac:dyDescent="0.3">
      <c r="A1505">
        <v>-0.1</v>
      </c>
      <c r="B1505" s="146">
        <v>1000</v>
      </c>
      <c r="C1505" s="146">
        <v>25</v>
      </c>
      <c r="D1505" s="146">
        <v>400</v>
      </c>
      <c r="E1505" s="252">
        <v>16.681100672724757</v>
      </c>
      <c r="F1505" s="146">
        <v>1.0534096695437229</v>
      </c>
      <c r="G1505" s="146">
        <v>17.676309395307406</v>
      </c>
      <c r="H1505" s="146">
        <v>21.928327062251498</v>
      </c>
      <c r="J1505" s="146">
        <v>0.99999999920116844</v>
      </c>
      <c r="K1505" s="146">
        <v>0.36</v>
      </c>
      <c r="L1505" s="146">
        <v>111.95038304444742</v>
      </c>
      <c r="M1505" s="146">
        <v>41.293174073771596</v>
      </c>
      <c r="N1505" s="146">
        <v>5.0129744505922424</v>
      </c>
      <c r="Z1505" s="146">
        <v>0.22860724561254031</v>
      </c>
      <c r="AL1505" s="146">
        <v>2799.4298893903583</v>
      </c>
      <c r="AM1505" s="146">
        <v>5.9594434900725114E-2</v>
      </c>
      <c r="AN1505" s="146">
        <v>0.25448366815959239</v>
      </c>
      <c r="AO1505" s="146">
        <v>334.45119369206958</v>
      </c>
      <c r="AP1505" s="146">
        <v>292.94266409423773</v>
      </c>
      <c r="AQ1505" t="s">
        <v>383</v>
      </c>
      <c r="AR1505" s="146">
        <f t="shared" si="88"/>
        <v>19.525354503836514</v>
      </c>
      <c r="AS1505" s="146">
        <f t="shared" si="89"/>
        <v>5.3287291164862003</v>
      </c>
      <c r="AT1505" s="146">
        <v>0.4</v>
      </c>
      <c r="AU1505">
        <v>0</v>
      </c>
      <c r="AV1505" s="146">
        <v>0.5</v>
      </c>
      <c r="AW1505" s="146">
        <v>1.5</v>
      </c>
      <c r="AX1505" s="146">
        <v>0.99999999900000003</v>
      </c>
      <c r="AY1505" s="146">
        <v>0.36</v>
      </c>
      <c r="AZ1505" s="209">
        <v>292.94266409423773</v>
      </c>
      <c r="BA1505" s="146">
        <v>0.99999999900000003</v>
      </c>
      <c r="BB1505" s="252">
        <v>23.042338259321465</v>
      </c>
      <c r="BC1505" s="244">
        <v>158.92015838705981</v>
      </c>
      <c r="BD1505" s="229">
        <v>67392.008510121945</v>
      </c>
      <c r="BE1505" s="244">
        <v>28.481396737255132</v>
      </c>
      <c r="BF1505" s="146">
        <v>499437.50268546713</v>
      </c>
      <c r="BG1505" t="s">
        <v>389</v>
      </c>
      <c r="BH1505" s="146">
        <v>6.7302788264102611E-6</v>
      </c>
      <c r="BI1505" s="146">
        <v>1873920.0851012194</v>
      </c>
      <c r="BJ1505">
        <f t="shared" si="87"/>
        <v>0.26652017162113406</v>
      </c>
    </row>
    <row r="1506" spans="1:62" s="146" customFormat="1" x14ac:dyDescent="0.3">
      <c r="A1506">
        <v>-0.1</v>
      </c>
      <c r="B1506" s="146">
        <v>1000</v>
      </c>
      <c r="C1506" s="146">
        <v>25</v>
      </c>
      <c r="D1506" s="146">
        <v>400</v>
      </c>
      <c r="E1506" s="252">
        <v>14.417533585628703</v>
      </c>
      <c r="F1506" s="146">
        <v>0.93828469960102401</v>
      </c>
      <c r="G1506" s="146">
        <v>15.276790703451079</v>
      </c>
      <c r="H1506" s="146">
        <v>19.087026595889199</v>
      </c>
      <c r="J1506" s="146">
        <v>0.99999999920828175</v>
      </c>
      <c r="K1506" s="146">
        <v>0.36</v>
      </c>
      <c r="L1506" s="146">
        <v>97.554203925365556</v>
      </c>
      <c r="M1506" s="146">
        <v>35.983108005257783</v>
      </c>
      <c r="N1506" s="146">
        <v>4.4744356307603717</v>
      </c>
      <c r="Z1506" s="146">
        <v>0.23442287400196934</v>
      </c>
      <c r="AL1506" s="146">
        <v>2545.6277236822034</v>
      </c>
      <c r="AM1506" s="146">
        <v>6.1418966706735224E-2</v>
      </c>
      <c r="AN1506" s="146">
        <v>0.25877697787310772</v>
      </c>
      <c r="AO1506" s="146">
        <v>344.2858723209203</v>
      </c>
      <c r="AP1506" s="146">
        <v>308.40990830201849</v>
      </c>
      <c r="AQ1506" s="146" t="s">
        <v>383</v>
      </c>
      <c r="AR1506" s="146">
        <f t="shared" si="88"/>
        <v>19.525354503836514</v>
      </c>
      <c r="AS1506" s="146">
        <f t="shared" si="89"/>
        <v>5.3287291164862003</v>
      </c>
      <c r="AT1506" s="146">
        <v>0.4</v>
      </c>
      <c r="AU1506">
        <v>0</v>
      </c>
      <c r="AV1506" s="146">
        <v>0.5</v>
      </c>
      <c r="AW1506" s="146">
        <v>1</v>
      </c>
      <c r="AX1506" s="146">
        <v>0.99999999900000003</v>
      </c>
      <c r="AY1506" s="146">
        <v>0.36</v>
      </c>
      <c r="AZ1506" s="209">
        <v>308.40990830201849</v>
      </c>
      <c r="BA1506" s="146">
        <v>0.99999999900000003</v>
      </c>
      <c r="BB1506" s="252">
        <v>20.193470608950694</v>
      </c>
      <c r="BC1506" s="244">
        <v>131.86604263351614</v>
      </c>
      <c r="BD1506" s="229">
        <v>53895.969009815926</v>
      </c>
      <c r="BE1506" s="244">
        <v>24.179864575229246</v>
      </c>
      <c r="BF1506" s="146">
        <v>569833.59898860392</v>
      </c>
      <c r="BG1506" t="s">
        <v>389</v>
      </c>
      <c r="BH1506" s="146">
        <v>5.9294405637464632E-6</v>
      </c>
      <c r="BI1506" s="146">
        <v>1738959.6900981592</v>
      </c>
      <c r="BJ1506">
        <f t="shared" si="87"/>
        <v>0.32768649108619557</v>
      </c>
    </row>
    <row r="1507" spans="1:62" s="146" customFormat="1" x14ac:dyDescent="0.3">
      <c r="A1507">
        <v>-0.1</v>
      </c>
      <c r="B1507" s="146">
        <v>1000</v>
      </c>
      <c r="C1507" s="146">
        <v>25</v>
      </c>
      <c r="D1507" s="146">
        <v>400</v>
      </c>
      <c r="E1507" s="252">
        <v>13.167914405016159</v>
      </c>
      <c r="F1507" s="146">
        <v>0.8758261912920573</v>
      </c>
      <c r="G1507" s="146">
        <v>13.955843506110597</v>
      </c>
      <c r="H1507" s="146">
        <v>17.507936340231883</v>
      </c>
      <c r="J1507" s="146">
        <v>0.99999999921314675</v>
      </c>
      <c r="K1507" s="146">
        <v>0.36</v>
      </c>
      <c r="L1507" s="146">
        <v>89.536391743970213</v>
      </c>
      <c r="M1507" s="146">
        <v>33.025718266218526</v>
      </c>
      <c r="N1507" s="146">
        <v>4.1650139367193511</v>
      </c>
      <c r="Z1507" s="146">
        <v>0.23789291072234889</v>
      </c>
      <c r="AL1507" s="146">
        <v>2399.274444233648</v>
      </c>
      <c r="AM1507" s="146">
        <v>6.2756951302053138E-2</v>
      </c>
      <c r="AN1507" s="146">
        <v>0.26092615412037762</v>
      </c>
      <c r="AO1507" s="146">
        <v>349.53394208638366</v>
      </c>
      <c r="AP1507" s="146">
        <v>316.76747587397182</v>
      </c>
      <c r="AQ1507" t="s">
        <v>383</v>
      </c>
      <c r="AR1507" s="146">
        <f t="shared" si="88"/>
        <v>19.525354503836514</v>
      </c>
      <c r="AS1507" s="146">
        <f t="shared" si="89"/>
        <v>5.3287291164862003</v>
      </c>
      <c r="AT1507" s="146">
        <v>0.4</v>
      </c>
      <c r="AU1507">
        <v>0</v>
      </c>
      <c r="AV1507" s="146">
        <v>0.5</v>
      </c>
      <c r="AW1507" s="146">
        <v>0.8</v>
      </c>
      <c r="AX1507" s="146">
        <v>0.99999999900000003</v>
      </c>
      <c r="AY1507" s="146">
        <v>0.36</v>
      </c>
      <c r="AZ1507" s="209">
        <v>316.76747587397182</v>
      </c>
      <c r="BA1507" s="146">
        <v>0.99999999900000003</v>
      </c>
      <c r="BB1507" s="252">
        <v>18.623412456597784</v>
      </c>
      <c r="BC1507" s="244">
        <v>118.09009833767999</v>
      </c>
      <c r="BD1507" s="229">
        <v>47231.913038325991</v>
      </c>
      <c r="BE1507" s="244">
        <v>21.916303841684158</v>
      </c>
      <c r="BF1507" s="146">
        <v>598256.45144956897</v>
      </c>
      <c r="BG1507" t="s">
        <v>389</v>
      </c>
      <c r="BH1507" s="146">
        <v>5.4764144581359695E-6</v>
      </c>
      <c r="BI1507" s="146">
        <v>1672319.1303832598</v>
      </c>
      <c r="BJ1507">
        <f t="shared" si="87"/>
        <v>0.35774060140809449</v>
      </c>
    </row>
    <row r="1508" spans="1:62" s="146" customFormat="1" x14ac:dyDescent="0.3">
      <c r="A1508">
        <v>-0.1</v>
      </c>
      <c r="B1508" s="146">
        <v>1000</v>
      </c>
      <c r="C1508" s="146">
        <v>25</v>
      </c>
      <c r="D1508" s="146">
        <v>400</v>
      </c>
      <c r="E1508" s="252">
        <v>11.627438245137528</v>
      </c>
      <c r="F1508" s="146">
        <v>0.80939169806628786</v>
      </c>
      <c r="G1508" s="146">
        <v>12.33495287230841</v>
      </c>
      <c r="H1508" s="146">
        <v>15.498252932550898</v>
      </c>
      <c r="J1508" s="146">
        <v>0.99999999922196481</v>
      </c>
      <c r="K1508" s="146">
        <v>0.36</v>
      </c>
      <c r="L1508" s="146">
        <v>79.317079665206137</v>
      </c>
      <c r="M1508" s="146">
        <v>29.256299876510461</v>
      </c>
      <c r="N1508" s="146">
        <v>3.7194053021980071</v>
      </c>
      <c r="Z1508" s="146">
        <v>0.23998868249118324</v>
      </c>
      <c r="AL1508" s="146">
        <v>2186.1853477365394</v>
      </c>
      <c r="AM1508" s="146">
        <v>6.5617737371607421E-2</v>
      </c>
      <c r="AN1508" s="146">
        <v>0.26079847331908046</v>
      </c>
      <c r="AO1508" s="146">
        <v>355.41600340999065</v>
      </c>
      <c r="AP1508" s="146">
        <v>326.48269663753621</v>
      </c>
      <c r="AQ1508" s="146" t="s">
        <v>383</v>
      </c>
      <c r="AR1508" s="146">
        <f t="shared" si="88"/>
        <v>19.525354503836514</v>
      </c>
      <c r="AS1508" s="146">
        <f t="shared" si="89"/>
        <v>5.3287291164862003</v>
      </c>
      <c r="AT1508" s="146">
        <v>0.4</v>
      </c>
      <c r="AU1508">
        <v>0</v>
      </c>
      <c r="AV1508" s="146">
        <v>0.5</v>
      </c>
      <c r="AW1508" s="146">
        <v>0.6</v>
      </c>
      <c r="AX1508" s="146">
        <v>0.99999999900000003</v>
      </c>
      <c r="AY1508" s="146">
        <v>0.36</v>
      </c>
      <c r="AZ1508" s="209">
        <v>326.48269663753621</v>
      </c>
      <c r="BA1508" s="146">
        <v>0.99999999900000003</v>
      </c>
      <c r="BB1508" s="252">
        <v>16.74547026166054</v>
      </c>
      <c r="BC1508" s="244">
        <v>101.62916785934414</v>
      </c>
      <c r="BD1508" s="229">
        <v>39691.064823696899</v>
      </c>
      <c r="BE1508" s="244">
        <v>19.498343395750606</v>
      </c>
      <c r="BF1508" s="146">
        <v>626933.74521254643</v>
      </c>
      <c r="BG1508" t="s">
        <v>389</v>
      </c>
      <c r="BH1508" s="146">
        <v>4.8969704523508765E-6</v>
      </c>
      <c r="BI1508" s="146">
        <v>1596910.648236969</v>
      </c>
      <c r="BJ1508">
        <f t="shared" si="87"/>
        <v>0.3925916242744687</v>
      </c>
    </row>
    <row r="1509" spans="1:62" s="146" customFormat="1" x14ac:dyDescent="0.3">
      <c r="A1509">
        <v>-0.1</v>
      </c>
      <c r="B1509" s="146">
        <v>1000</v>
      </c>
      <c r="C1509" s="146">
        <v>25</v>
      </c>
      <c r="D1509" s="146">
        <v>400</v>
      </c>
      <c r="E1509" s="252">
        <v>9.6179079950946651</v>
      </c>
      <c r="F1509" s="146">
        <v>0.72542210900342741</v>
      </c>
      <c r="G1509" s="146">
        <v>10.225571461417523</v>
      </c>
      <c r="H1509" s="146">
        <v>12.84535024046839</v>
      </c>
      <c r="J1509" s="146">
        <v>0.99999999923681715</v>
      </c>
      <c r="K1509" s="146">
        <v>0.36</v>
      </c>
      <c r="L1509" s="146">
        <v>65.800673061095665</v>
      </c>
      <c r="M1509" s="146">
        <v>24.270740063518893</v>
      </c>
      <c r="N1509" s="146">
        <v>3.1049660427909647</v>
      </c>
      <c r="Z1509" s="146">
        <v>0.24171906446030433</v>
      </c>
      <c r="AL1509" s="146">
        <v>1891.3322980750831</v>
      </c>
      <c r="AM1509" s="146">
        <v>7.0941962680574289E-2</v>
      </c>
      <c r="AN1509" s="146">
        <v>0.25842243975038165</v>
      </c>
      <c r="AO1509" s="146">
        <v>362.78222586093955</v>
      </c>
      <c r="AP1509" s="146">
        <v>338.84927667959943</v>
      </c>
      <c r="AQ1509" t="s">
        <v>383</v>
      </c>
      <c r="AR1509" s="146">
        <f t="shared" si="88"/>
        <v>19.525354503836514</v>
      </c>
      <c r="AS1509" s="146">
        <f t="shared" si="89"/>
        <v>5.3287291164862003</v>
      </c>
      <c r="AT1509" s="146">
        <v>0.4</v>
      </c>
      <c r="AU1509">
        <v>0</v>
      </c>
      <c r="AV1509" s="146">
        <v>0.5</v>
      </c>
      <c r="AW1509" s="146">
        <v>0.4</v>
      </c>
      <c r="AX1509" s="146">
        <v>0.99999999899999992</v>
      </c>
      <c r="AY1509" s="146">
        <v>0.36</v>
      </c>
      <c r="AZ1509" s="209">
        <v>338.84927667959943</v>
      </c>
      <c r="BA1509" s="146">
        <v>0.99999999899999992</v>
      </c>
      <c r="BB1509" s="252">
        <v>14.305674787203186</v>
      </c>
      <c r="BC1509" s="244">
        <v>81.437851218912144</v>
      </c>
      <c r="BD1509" s="229">
        <v>30867.223086262959</v>
      </c>
      <c r="BE1509" s="244">
        <v>16.543113509545535</v>
      </c>
      <c r="BF1509" s="146">
        <v>650688.13557588949</v>
      </c>
      <c r="BG1509" t="s">
        <v>389</v>
      </c>
      <c r="BH1509" s="146">
        <v>4.1134317349670173E-6</v>
      </c>
      <c r="BI1509" s="146">
        <v>1508672.2308626296</v>
      </c>
      <c r="BJ1509">
        <f t="shared" si="87"/>
        <v>0.43129854335811468</v>
      </c>
    </row>
    <row r="1510" spans="1:62" s="146" customFormat="1" x14ac:dyDescent="0.3">
      <c r="A1510">
        <v>-0.1</v>
      </c>
      <c r="B1510" s="146">
        <v>1000</v>
      </c>
      <c r="C1510" s="146">
        <v>25</v>
      </c>
      <c r="D1510" s="146">
        <v>400</v>
      </c>
      <c r="E1510" s="252">
        <v>8.3326554405807727</v>
      </c>
      <c r="F1510" s="146">
        <v>0.66760433741731329</v>
      </c>
      <c r="G1510" s="146">
        <v>8.8763657216374074</v>
      </c>
      <c r="H1510" s="146">
        <v>11.154273129857847</v>
      </c>
      <c r="J1510" s="146">
        <v>0.99999999924779426</v>
      </c>
      <c r="K1510" s="146">
        <v>0.36</v>
      </c>
      <c r="L1510" s="146">
        <v>57.169775724049757</v>
      </c>
      <c r="M1510" s="146">
        <v>21.087212357231465</v>
      </c>
      <c r="N1510" s="146">
        <v>2.7166636360726883</v>
      </c>
      <c r="Z1510" s="146">
        <v>0.24355362330161179</v>
      </c>
      <c r="AL1510" s="146">
        <v>1705.1323086572929</v>
      </c>
      <c r="AM1510" s="146">
        <v>7.5211450085921144E-2</v>
      </c>
      <c r="AN1510" s="146">
        <v>0.25666675908603331</v>
      </c>
      <c r="AO1510" s="146">
        <v>367.53512036286821</v>
      </c>
      <c r="AP1510" s="146">
        <v>346.8004906209481</v>
      </c>
      <c r="AQ1510" s="146" t="s">
        <v>383</v>
      </c>
      <c r="AR1510" s="146">
        <f t="shared" si="88"/>
        <v>19.525354503836514</v>
      </c>
      <c r="AS1510" s="146">
        <f t="shared" si="89"/>
        <v>5.3287291164862003</v>
      </c>
      <c r="AT1510" s="146">
        <v>0.4</v>
      </c>
      <c r="AU1510">
        <v>0</v>
      </c>
      <c r="AV1510" s="146">
        <v>0.5</v>
      </c>
      <c r="AW1510" s="146">
        <v>0.3</v>
      </c>
      <c r="AX1510" s="146">
        <v>0.99999999900000003</v>
      </c>
      <c r="AY1510" s="146">
        <v>0.36</v>
      </c>
      <c r="AZ1510" s="209">
        <v>346.8004906209481</v>
      </c>
      <c r="BA1510" s="146">
        <v>0.99999999900000003</v>
      </c>
      <c r="BB1510" s="252">
        <v>12.714928467707226</v>
      </c>
      <c r="BC1510" s="244">
        <v>69.336111579935093</v>
      </c>
      <c r="BD1510" s="229">
        <v>25755.145389013847</v>
      </c>
      <c r="BE1510" s="244">
        <v>14.627133359256531</v>
      </c>
      <c r="BF1510" s="146">
        <v>657276.22067124431</v>
      </c>
      <c r="BG1510" t="s">
        <v>389</v>
      </c>
      <c r="BH1510" s="146">
        <v>3.5950735344266018E-6</v>
      </c>
      <c r="BI1510" s="146">
        <v>1457551.4538901385</v>
      </c>
      <c r="BJ1510">
        <f t="shared" si="87"/>
        <v>0.45094546673944441</v>
      </c>
    </row>
    <row r="1511" spans="1:62" s="146" customFormat="1" x14ac:dyDescent="0.3">
      <c r="A1511">
        <v>-0.1</v>
      </c>
      <c r="B1511" s="146">
        <v>1000</v>
      </c>
      <c r="C1511" s="146">
        <v>25</v>
      </c>
      <c r="D1511" s="146">
        <v>400</v>
      </c>
      <c r="E1511" s="252">
        <v>6.7329891827774686</v>
      </c>
      <c r="F1511" s="146">
        <v>0.58950529495123949</v>
      </c>
      <c r="G1511" s="146">
        <v>7.1957823887238481</v>
      </c>
      <c r="H1511" s="146">
        <v>9.0542757212598968</v>
      </c>
      <c r="J1511" s="146">
        <v>0.99999999926331296</v>
      </c>
      <c r="K1511" s="146">
        <v>0.36</v>
      </c>
      <c r="L1511" s="146">
        <v>46.436916542758048</v>
      </c>
      <c r="M1511" s="146">
        <v>17.128370855935344</v>
      </c>
      <c r="N1511" s="146">
        <v>2.2372662617466359</v>
      </c>
      <c r="Z1511" s="146">
        <v>0.24709500026528039</v>
      </c>
      <c r="AL1511" s="146">
        <v>1475.3918444617718</v>
      </c>
      <c r="AM1511" s="146">
        <v>8.1923724635562051E-2</v>
      </c>
      <c r="AN1511" s="146">
        <v>0.25419811599648823</v>
      </c>
      <c r="AO1511" s="146">
        <v>373.51282814829955</v>
      </c>
      <c r="AP1511" s="146">
        <v>356.7587135884541</v>
      </c>
      <c r="AQ1511" t="s">
        <v>383</v>
      </c>
      <c r="AR1511" s="146">
        <f t="shared" si="88"/>
        <v>19.525354503836514</v>
      </c>
      <c r="AS1511" s="146">
        <f t="shared" si="89"/>
        <v>5.3287291164862003</v>
      </c>
      <c r="AT1511" s="146">
        <v>0.4</v>
      </c>
      <c r="AU1511">
        <v>0</v>
      </c>
      <c r="AV1511" s="146">
        <v>0.5</v>
      </c>
      <c r="AW1511" s="146">
        <v>0.2</v>
      </c>
      <c r="AX1511" s="146">
        <v>0.99999999900000003</v>
      </c>
      <c r="AY1511" s="146">
        <v>0.36</v>
      </c>
      <c r="AZ1511" s="209">
        <v>356.7587135884541</v>
      </c>
      <c r="BA1511" s="146">
        <v>0.99999999900000003</v>
      </c>
      <c r="BB1511" s="252">
        <v>10.68729683992324</v>
      </c>
      <c r="BC1511" s="244">
        <v>55.015129529422907</v>
      </c>
      <c r="BD1511" s="229">
        <v>19908.949890784697</v>
      </c>
      <c r="BE1511" s="244">
        <v>12.201093858881078</v>
      </c>
      <c r="BF1511" s="146">
        <v>654336.10865312908</v>
      </c>
      <c r="BG1511" t="s">
        <v>389</v>
      </c>
      <c r="BH1511" s="146">
        <v>2.9301997542084358E-6</v>
      </c>
      <c r="BI1511" s="146">
        <v>1399089.4989078469</v>
      </c>
      <c r="BJ1511">
        <f t="shared" si="87"/>
        <v>0.4676870987623844</v>
      </c>
    </row>
    <row r="1512" spans="1:62" s="140" customFormat="1" x14ac:dyDescent="0.3">
      <c r="A1512" s="140">
        <v>-0.1</v>
      </c>
      <c r="B1512" s="140">
        <v>1000</v>
      </c>
      <c r="C1512" s="140">
        <v>25</v>
      </c>
      <c r="D1512" s="140">
        <v>400</v>
      </c>
      <c r="E1512" s="253">
        <v>4.5570721275163697</v>
      </c>
      <c r="F1512" s="140">
        <v>0.46716947768560108</v>
      </c>
      <c r="G1512" s="140">
        <v>4.9041990837435856</v>
      </c>
      <c r="H1512" s="140">
        <v>6.2001184938459737</v>
      </c>
      <c r="J1512" s="140">
        <v>0.99999999928784367</v>
      </c>
      <c r="K1512" s="140">
        <v>0.36</v>
      </c>
      <c r="L1512" s="140">
        <v>31.82526775341903</v>
      </c>
      <c r="M1512" s="140">
        <v>11.738828269703742</v>
      </c>
      <c r="N1512" s="140">
        <v>1.5862752594526661</v>
      </c>
      <c r="Z1512" s="140">
        <v>0.25584595859371861</v>
      </c>
      <c r="AL1512" s="140">
        <v>1163.5874720220693</v>
      </c>
      <c r="AM1512" s="140">
        <v>9.525907690700651E-2</v>
      </c>
      <c r="AN1512" s="140">
        <v>0.25024373089197677</v>
      </c>
      <c r="AO1512" s="140">
        <v>381.78946536933017</v>
      </c>
      <c r="AP1512" s="140">
        <v>370.44984229573589</v>
      </c>
      <c r="AQ1512" s="146" t="s">
        <v>383</v>
      </c>
      <c r="AR1512" s="140">
        <f t="shared" si="88"/>
        <v>19.525354503836514</v>
      </c>
      <c r="AS1512" s="140">
        <f t="shared" si="89"/>
        <v>5.3287291164862003</v>
      </c>
      <c r="AT1512" s="140">
        <v>0.4</v>
      </c>
      <c r="AU1512">
        <v>0</v>
      </c>
      <c r="AV1512" s="140">
        <v>0.5</v>
      </c>
      <c r="AW1512" s="140">
        <v>0.1</v>
      </c>
      <c r="AX1512" s="140">
        <v>0.99999999900000003</v>
      </c>
      <c r="AY1512" s="140">
        <v>0.36</v>
      </c>
      <c r="AZ1512" s="209">
        <v>370.44984229573589</v>
      </c>
      <c r="BA1512" s="140">
        <v>0.99999999900000003</v>
      </c>
      <c r="BB1512" s="253">
        <v>7.798291028958805</v>
      </c>
      <c r="BC1512" s="245">
        <v>36.622713096668903</v>
      </c>
      <c r="BD1512" s="210">
        <v>12778.156648277625</v>
      </c>
      <c r="BE1512" s="245">
        <v>8.7941738570970074</v>
      </c>
      <c r="BF1512" s="140">
        <v>623546.85215287225</v>
      </c>
      <c r="BG1512" t="s">
        <v>389</v>
      </c>
      <c r="BH1512" s="140">
        <v>1.9862458188839908E-6</v>
      </c>
      <c r="BI1512" s="140">
        <v>1327781.5664827763</v>
      </c>
      <c r="BJ1512">
        <f t="shared" si="87"/>
        <v>0.46961553608897821</v>
      </c>
    </row>
    <row r="1513" spans="1:62" s="146" customFormat="1" x14ac:dyDescent="0.3">
      <c r="A1513">
        <v>-0.1</v>
      </c>
      <c r="B1513" s="146">
        <v>1000</v>
      </c>
      <c r="C1513" s="146">
        <v>25</v>
      </c>
      <c r="D1513" s="146">
        <v>400</v>
      </c>
      <c r="E1513" s="252">
        <v>19.899945264164778</v>
      </c>
      <c r="F1513" s="146">
        <v>1.2241646177388927</v>
      </c>
      <c r="G1513" s="146">
        <v>21.108922623250344</v>
      </c>
      <c r="H1513" s="146">
        <v>25.927234324836153</v>
      </c>
      <c r="J1513" s="146">
        <v>0.99999999919405835</v>
      </c>
      <c r="K1513" s="146">
        <v>0.36</v>
      </c>
      <c r="L1513" s="146">
        <v>132.13879650571639</v>
      </c>
      <c r="M1513" s="146">
        <v>48.739720022600309</v>
      </c>
      <c r="N1513" s="146">
        <v>5.7288415410579496</v>
      </c>
      <c r="Z1513" s="146">
        <v>0.2209584512286446</v>
      </c>
      <c r="AL1513" s="146">
        <v>3134.4022367227617</v>
      </c>
      <c r="AM1513" s="146">
        <v>5.7992756882368844E-2</v>
      </c>
      <c r="AN1513" s="146">
        <v>0.24720318404856817</v>
      </c>
      <c r="AO1513" s="146">
        <v>319.49964018159642</v>
      </c>
      <c r="AP1513" s="146">
        <v>269.98146619378792</v>
      </c>
      <c r="AQ1513" t="s">
        <v>383</v>
      </c>
      <c r="AR1513" s="146">
        <f t="shared" si="88"/>
        <v>19.525354503836514</v>
      </c>
      <c r="AS1513" s="146">
        <f t="shared" si="89"/>
        <v>5.3287291164862003</v>
      </c>
      <c r="AT1513" s="146">
        <v>0.4</v>
      </c>
      <c r="AU1513">
        <v>0</v>
      </c>
      <c r="AV1513" s="146">
        <v>0.5</v>
      </c>
      <c r="AW1513" s="146">
        <v>3</v>
      </c>
      <c r="AX1513" s="146">
        <v>0.99999999900000003</v>
      </c>
      <c r="AY1513" s="146">
        <v>0.36</v>
      </c>
      <c r="AZ1513" s="209">
        <v>269.98146619378792</v>
      </c>
      <c r="BA1513" s="146">
        <v>0.99999999900000003</v>
      </c>
      <c r="BB1513" s="252">
        <v>27.125430912087534</v>
      </c>
      <c r="BC1513" s="244">
        <v>203.54903848944505</v>
      </c>
      <c r="BD1513" s="229">
        <v>90551.501775798359</v>
      </c>
      <c r="BE1513" s="244">
        <v>35.208981597002044</v>
      </c>
      <c r="BF1513" s="146">
        <v>336699.32682210254</v>
      </c>
      <c r="BG1513" t="s">
        <v>390</v>
      </c>
      <c r="BH1513" s="146">
        <v>7.8839828639375109E-6</v>
      </c>
      <c r="BI1513" s="146">
        <v>2105515.0177579839</v>
      </c>
      <c r="BJ1513">
        <f t="shared" si="87"/>
        <v>0.15991304929310368</v>
      </c>
    </row>
    <row r="1514" spans="1:62" s="146" customFormat="1" x14ac:dyDescent="0.3">
      <c r="A1514">
        <v>-0.2</v>
      </c>
      <c r="B1514" s="146">
        <v>1000</v>
      </c>
      <c r="C1514" s="146">
        <v>25</v>
      </c>
      <c r="D1514" s="146">
        <v>400</v>
      </c>
      <c r="E1514" s="252">
        <v>19.898324143026333</v>
      </c>
      <c r="F1514" s="146">
        <v>1.2276363718396921</v>
      </c>
      <c r="G1514" s="146">
        <v>21.109250771916884</v>
      </c>
      <c r="H1514" s="146">
        <v>25.927910664968334</v>
      </c>
      <c r="J1514" s="146">
        <v>0.99999999919420224</v>
      </c>
      <c r="K1514" s="146">
        <v>0.36</v>
      </c>
      <c r="L1514" s="146">
        <v>132.17163738878801</v>
      </c>
      <c r="M1514" s="146">
        <v>48.751833463077553</v>
      </c>
      <c r="N1514" s="146">
        <v>5.731032305768359</v>
      </c>
      <c r="Z1514" s="146">
        <v>0.22103718189339722</v>
      </c>
      <c r="AL1514" s="146">
        <v>3125.4682201169721</v>
      </c>
      <c r="AM1514" s="146">
        <v>5.8156321373229541E-2</v>
      </c>
      <c r="AN1514" s="146">
        <v>0.21978887279414097</v>
      </c>
      <c r="AO1514" s="146">
        <v>309.46618957519502</v>
      </c>
      <c r="AP1514" s="146">
        <v>259.95206723279074</v>
      </c>
      <c r="AQ1514" s="146" t="s">
        <v>383</v>
      </c>
      <c r="AR1514" s="146">
        <f t="shared" si="88"/>
        <v>19.525354503836514</v>
      </c>
      <c r="AS1514" s="146">
        <f t="shared" si="89"/>
        <v>5.3287291164862003</v>
      </c>
      <c r="AT1514" s="146">
        <v>0.4</v>
      </c>
      <c r="AU1514">
        <v>0</v>
      </c>
      <c r="AV1514" s="146">
        <v>0.5</v>
      </c>
      <c r="AW1514" s="146">
        <v>3</v>
      </c>
      <c r="AX1514" s="146">
        <v>0.99999999900000003</v>
      </c>
      <c r="AY1514" s="146">
        <v>0.36</v>
      </c>
      <c r="AZ1514" s="209">
        <v>259.95206723279074</v>
      </c>
      <c r="BA1514" s="146">
        <v>0.99999999900000003</v>
      </c>
      <c r="BB1514" s="252">
        <v>27.142915120936966</v>
      </c>
      <c r="BC1514" s="244">
        <v>203.62972264899267</v>
      </c>
      <c r="BD1514" s="229">
        <v>90589.447516532222</v>
      </c>
      <c r="BE1514" s="244">
        <v>35.213654539288491</v>
      </c>
      <c r="BF1514" s="146">
        <v>336764.04785864078</v>
      </c>
      <c r="BG1514" t="s">
        <v>390</v>
      </c>
      <c r="BH1514" s="146">
        <v>7.8818368188934521E-6</v>
      </c>
      <c r="BI1514" s="146">
        <v>2105894.4751653224</v>
      </c>
      <c r="BJ1514">
        <f t="shared" si="87"/>
        <v>0.15991496811928493</v>
      </c>
    </row>
    <row r="1515" spans="1:62" s="146" customFormat="1" x14ac:dyDescent="0.3">
      <c r="A1515">
        <v>-0.3</v>
      </c>
      <c r="B1515" s="146">
        <v>1000</v>
      </c>
      <c r="C1515" s="146">
        <v>25</v>
      </c>
      <c r="D1515" s="146">
        <v>400</v>
      </c>
      <c r="E1515" s="252">
        <v>19.896210404361518</v>
      </c>
      <c r="F1515" s="146">
        <v>1.232216102568672</v>
      </c>
      <c r="G1515" s="146">
        <v>21.109711627480259</v>
      </c>
      <c r="H1515" s="146">
        <v>25.928300404466764</v>
      </c>
      <c r="J1515" s="146">
        <v>0.99999999919435545</v>
      </c>
      <c r="K1515" s="146">
        <v>0.36</v>
      </c>
      <c r="L1515" s="146">
        <v>132.21520223022998</v>
      </c>
      <c r="M1515" s="146">
        <v>48.767902461970074</v>
      </c>
      <c r="N1515" s="146">
        <v>5.7333934192586042</v>
      </c>
      <c r="Z1515" s="146">
        <v>0.22112492256804042</v>
      </c>
      <c r="AL1515" s="146">
        <v>3113.7661826400627</v>
      </c>
      <c r="AM1515" s="146">
        <v>5.8372000731861932E-2</v>
      </c>
      <c r="AN1515" s="146">
        <v>0.19237993551084182</v>
      </c>
      <c r="AO1515" s="146">
        <v>296.5785576779121</v>
      </c>
      <c r="AP1515" s="146">
        <v>247.06947301076022</v>
      </c>
      <c r="AQ1515" t="s">
        <v>383</v>
      </c>
      <c r="AR1515" s="146">
        <f t="shared" si="88"/>
        <v>19.525354503836514</v>
      </c>
      <c r="AS1515" s="146">
        <f t="shared" si="89"/>
        <v>5.3287291164862003</v>
      </c>
      <c r="AT1515" s="146">
        <v>0.4</v>
      </c>
      <c r="AU1515">
        <v>0</v>
      </c>
      <c r="AV1515" s="146">
        <v>0.5</v>
      </c>
      <c r="AW1515" s="146">
        <v>3</v>
      </c>
      <c r="AX1515" s="146">
        <v>0.99999999900000003</v>
      </c>
      <c r="AY1515" s="146">
        <v>0.36</v>
      </c>
      <c r="AZ1515" s="209">
        <v>247.06947301076022</v>
      </c>
      <c r="BA1515" s="146">
        <v>0.99999999900000003</v>
      </c>
      <c r="BB1515" s="252">
        <v>27.166006415812145</v>
      </c>
      <c r="BC1515" s="244">
        <v>203.7368006038057</v>
      </c>
      <c r="BD1515" s="229">
        <v>90640.215103629816</v>
      </c>
      <c r="BE1515" s="244">
        <v>35.220468129955727</v>
      </c>
      <c r="BF1515" s="146">
        <v>336851.68786562781</v>
      </c>
      <c r="BG1515" t="s">
        <v>390</v>
      </c>
      <c r="BH1515" s="146">
        <v>7.8789857507787854E-6</v>
      </c>
      <c r="BI1515" s="146">
        <v>2106402.1510362979</v>
      </c>
      <c r="BJ1515">
        <f t="shared" si="87"/>
        <v>0.15991803260355819</v>
      </c>
    </row>
    <row r="1516" spans="1:62" s="146" customFormat="1" x14ac:dyDescent="0.3">
      <c r="A1516">
        <v>-0.4</v>
      </c>
      <c r="B1516" s="146">
        <v>1000</v>
      </c>
      <c r="C1516" s="146">
        <v>25</v>
      </c>
      <c r="D1516" s="146">
        <v>400</v>
      </c>
      <c r="E1516" s="252">
        <v>19.893368145431314</v>
      </c>
      <c r="F1516" s="146">
        <v>1.2385625780748792</v>
      </c>
      <c r="G1516" s="146">
        <v>21.110445096312944</v>
      </c>
      <c r="H1516" s="146">
        <v>25.927857767295865</v>
      </c>
      <c r="J1516" s="146">
        <v>0.99999999919449267</v>
      </c>
      <c r="K1516" s="146">
        <v>0.36</v>
      </c>
      <c r="L1516" s="146">
        <v>132.27623258699677</v>
      </c>
      <c r="M1516" s="146">
        <v>48.790413659138146</v>
      </c>
      <c r="N1516" s="146">
        <v>5.7355917956806302</v>
      </c>
      <c r="Z1516" s="146">
        <v>0.22121348578652053</v>
      </c>
      <c r="AL1516" s="146">
        <v>3097.7138022420395</v>
      </c>
      <c r="AM1516" s="146">
        <v>5.8670604642589989E-2</v>
      </c>
      <c r="AN1516" s="146">
        <v>0.16498036381790637</v>
      </c>
      <c r="AO1516" s="146">
        <v>279.41978254219271</v>
      </c>
      <c r="AP1516" s="146">
        <v>229.91790440172755</v>
      </c>
      <c r="AQ1516" s="146" t="s">
        <v>383</v>
      </c>
      <c r="AR1516" s="146">
        <f t="shared" si="88"/>
        <v>19.525354503836514</v>
      </c>
      <c r="AS1516" s="146">
        <f t="shared" si="89"/>
        <v>5.3287291164862003</v>
      </c>
      <c r="AT1516" s="146">
        <v>0.4</v>
      </c>
      <c r="AU1516">
        <v>0</v>
      </c>
      <c r="AV1516" s="146">
        <v>0.5</v>
      </c>
      <c r="AW1516" s="146">
        <v>3</v>
      </c>
      <c r="AX1516" s="146">
        <v>0.99999999899999992</v>
      </c>
      <c r="AY1516" s="146">
        <v>0.36</v>
      </c>
      <c r="AZ1516" s="209">
        <v>229.91790440172755</v>
      </c>
      <c r="BA1516" s="146">
        <v>0.99999999899999992</v>
      </c>
      <c r="BB1516" s="252">
        <v>27.198096453742149</v>
      </c>
      <c r="BC1516" s="244">
        <v>203.88689716271125</v>
      </c>
      <c r="BD1516" s="229">
        <v>90712.278548166243</v>
      </c>
      <c r="BE1516" s="244">
        <v>35.231367574965745</v>
      </c>
      <c r="BF1516" s="146">
        <v>336979.16554139223</v>
      </c>
      <c r="BG1516" t="s">
        <v>390</v>
      </c>
      <c r="BH1516" s="146">
        <v>7.8749950685366592E-6</v>
      </c>
      <c r="BI1516" s="146">
        <v>2107122.7854816625</v>
      </c>
      <c r="BJ1516">
        <f t="shared" si="87"/>
        <v>0.15992383921014025</v>
      </c>
    </row>
    <row r="1517" spans="1:62" s="146" customFormat="1" x14ac:dyDescent="0.3">
      <c r="A1517">
        <v>-0.5</v>
      </c>
      <c r="B1517" s="146">
        <v>1000</v>
      </c>
      <c r="C1517" s="146">
        <v>25</v>
      </c>
      <c r="D1517" s="146">
        <v>400</v>
      </c>
      <c r="E1517" s="252">
        <v>19.889541651689022</v>
      </c>
      <c r="F1517" s="146">
        <v>1.2480290407771601</v>
      </c>
      <c r="G1517" s="146">
        <v>21.111980954147114</v>
      </c>
      <c r="H1517" s="146">
        <v>25.925169981278128</v>
      </c>
      <c r="J1517" s="146">
        <v>0.99999999919451577</v>
      </c>
      <c r="K1517" s="146">
        <v>0.36</v>
      </c>
      <c r="L1517" s="146">
        <v>132.37041237069499</v>
      </c>
      <c r="M1517" s="146">
        <v>48.825152103944887</v>
      </c>
      <c r="N1517" s="146">
        <v>5.7364159428052197</v>
      </c>
      <c r="Z1517" s="146">
        <v>0.2212682095024941</v>
      </c>
      <c r="AL1517" s="146">
        <v>3074.1705113811072</v>
      </c>
      <c r="AM1517" s="146">
        <v>5.911472937985976E-2</v>
      </c>
      <c r="AN1517" s="146">
        <v>0.13760090569856021</v>
      </c>
      <c r="AO1517" s="146">
        <v>255.45486382727248</v>
      </c>
      <c r="AP1517" s="146">
        <v>205.96253997849851</v>
      </c>
      <c r="AQ1517" t="s">
        <v>383</v>
      </c>
      <c r="AR1517" s="146">
        <f t="shared" si="88"/>
        <v>19.525354503836514</v>
      </c>
      <c r="AS1517" s="146">
        <f t="shared" si="89"/>
        <v>5.3287291164862003</v>
      </c>
      <c r="AT1517" s="146">
        <v>0.4</v>
      </c>
      <c r="AU1517">
        <v>0</v>
      </c>
      <c r="AV1517" s="146">
        <v>0.5</v>
      </c>
      <c r="AW1517" s="146">
        <v>3</v>
      </c>
      <c r="AX1517" s="146">
        <v>0.99999999900000003</v>
      </c>
      <c r="AY1517" s="146">
        <v>0.36</v>
      </c>
      <c r="AZ1517" s="209">
        <v>205.96253997849851</v>
      </c>
      <c r="BA1517" s="146">
        <v>0.99999999900000003</v>
      </c>
      <c r="BB1517" s="252">
        <v>27.246380494128722</v>
      </c>
      <c r="BC1517" s="244">
        <v>204.11872734562564</v>
      </c>
      <c r="BD1517" s="229">
        <v>90825.575873471549</v>
      </c>
      <c r="BE1517" s="244">
        <v>35.251185482179324</v>
      </c>
      <c r="BF1517" s="146">
        <v>337192.31044334889</v>
      </c>
      <c r="BG1517" t="s">
        <v>390</v>
      </c>
      <c r="BH1517" s="146">
        <v>7.8689447013205024E-6</v>
      </c>
      <c r="BI1517" s="146">
        <v>2108255.7587347156</v>
      </c>
      <c r="BJ1517">
        <f t="shared" si="87"/>
        <v>0.15993899651231935</v>
      </c>
    </row>
    <row r="1518" spans="1:62" s="146" customFormat="1" x14ac:dyDescent="0.3">
      <c r="A1518">
        <v>-0.6</v>
      </c>
      <c r="B1518" s="146">
        <v>1000</v>
      </c>
      <c r="C1518" s="146">
        <v>25</v>
      </c>
      <c r="D1518" s="146">
        <v>400</v>
      </c>
      <c r="E1518" s="252">
        <v>19.884536408488422</v>
      </c>
      <c r="F1518" s="146">
        <v>1.2640839692699812</v>
      </c>
      <c r="G1518" s="146">
        <v>21.116171264526603</v>
      </c>
      <c r="H1518" s="146">
        <v>25.91471221884348</v>
      </c>
      <c r="J1518" s="146">
        <v>0.99999999919398008</v>
      </c>
      <c r="K1518" s="146">
        <v>0.36</v>
      </c>
      <c r="L1518" s="146">
        <v>132.54169787060798</v>
      </c>
      <c r="M1518" s="146">
        <v>48.888331181781638</v>
      </c>
      <c r="N1518" s="146">
        <v>5.7303793781219099</v>
      </c>
      <c r="Z1518" s="146">
        <v>0.22112456158996641</v>
      </c>
      <c r="AL1518" s="146">
        <v>3035.392238114106</v>
      </c>
      <c r="AM1518" s="146">
        <v>5.9863312976322386E-2</v>
      </c>
      <c r="AN1518" s="146">
        <v>0.11027505432499173</v>
      </c>
      <c r="AO1518" s="146">
        <v>219.68237032206136</v>
      </c>
      <c r="AP1518" s="146">
        <v>170.20254905315235</v>
      </c>
      <c r="AQ1518" s="146" t="s">
        <v>383</v>
      </c>
      <c r="AR1518" s="146">
        <f t="shared" si="88"/>
        <v>19.525354503836514</v>
      </c>
      <c r="AS1518" s="146">
        <f t="shared" si="89"/>
        <v>5.3287291164862003</v>
      </c>
      <c r="AT1518" s="146">
        <v>0.4</v>
      </c>
      <c r="AU1518">
        <v>0</v>
      </c>
      <c r="AV1518" s="146">
        <v>0.5</v>
      </c>
      <c r="AW1518" s="146">
        <v>3</v>
      </c>
      <c r="AX1518" s="146">
        <v>0.99999999900000003</v>
      </c>
      <c r="AY1518" s="146">
        <v>0.36</v>
      </c>
      <c r="AZ1518" s="209">
        <v>170.20254905315235</v>
      </c>
      <c r="BA1518" s="146">
        <v>0.99999999900000003</v>
      </c>
      <c r="BB1518" s="252">
        <v>27.329765216589482</v>
      </c>
      <c r="BC1518" s="244">
        <v>204.54100342667516</v>
      </c>
      <c r="BD1518" s="229">
        <v>91037.870778181357</v>
      </c>
      <c r="BE1518" s="244">
        <v>35.296145134600813</v>
      </c>
      <c r="BF1518" s="146">
        <v>337634.77401574096</v>
      </c>
      <c r="BG1518" t="s">
        <v>390</v>
      </c>
      <c r="BH1518" s="146">
        <v>7.8583598336486293E-6</v>
      </c>
      <c r="BI1518" s="146">
        <v>2110378.7077818136</v>
      </c>
      <c r="BJ1518">
        <f t="shared" si="87"/>
        <v>0.15998776559427272</v>
      </c>
    </row>
    <row r="1519" spans="1:62" s="146" customFormat="1" x14ac:dyDescent="0.3">
      <c r="A1519">
        <v>-0.7</v>
      </c>
      <c r="B1519" s="146">
        <v>1000</v>
      </c>
      <c r="C1519" s="146">
        <v>25</v>
      </c>
      <c r="D1519" s="146">
        <v>400</v>
      </c>
      <c r="E1519" s="252">
        <v>19.879020686617309</v>
      </c>
      <c r="F1519" s="146">
        <v>1.3009701298782712</v>
      </c>
      <c r="G1519" s="146">
        <v>21.132325680766137</v>
      </c>
      <c r="H1519" s="146">
        <v>25.859784100911629</v>
      </c>
      <c r="J1519" s="146">
        <v>0.9999999991895262</v>
      </c>
      <c r="K1519" s="146">
        <v>0.36</v>
      </c>
      <c r="L1519" s="146">
        <v>133.00087056875614</v>
      </c>
      <c r="M1519" s="146">
        <v>49.057698160606783</v>
      </c>
      <c r="N1519" s="146">
        <v>5.6793534517083621</v>
      </c>
      <c r="Z1519" s="146">
        <v>0.21962106990321506</v>
      </c>
      <c r="AL1519" s="146">
        <v>2951.2981620165497</v>
      </c>
      <c r="AM1519" s="146">
        <v>6.1563036152824685E-2</v>
      </c>
      <c r="AN1519" s="146">
        <v>8.3206310348018273E-2</v>
      </c>
      <c r="AO1519" s="146">
        <v>161.08758333987623</v>
      </c>
      <c r="AP1519" s="146">
        <v>111.62143616237125</v>
      </c>
      <c r="AQ1519" t="s">
        <v>383</v>
      </c>
      <c r="AR1519" s="146">
        <f t="shared" si="88"/>
        <v>19.525354503836514</v>
      </c>
      <c r="AS1519" s="146">
        <f t="shared" si="89"/>
        <v>5.3287291164862003</v>
      </c>
      <c r="AT1519" s="146">
        <v>0.4</v>
      </c>
      <c r="AU1519">
        <v>0</v>
      </c>
      <c r="AV1519" s="146">
        <v>0.5</v>
      </c>
      <c r="AW1519" s="146">
        <v>3</v>
      </c>
      <c r="AX1519" s="146">
        <v>0.99999999900000003</v>
      </c>
      <c r="AY1519" s="146">
        <v>0.36</v>
      </c>
      <c r="AZ1519" s="209">
        <v>111.62143616237125</v>
      </c>
      <c r="BA1519" s="146">
        <v>0.99999999900000003</v>
      </c>
      <c r="BB1519" s="252">
        <v>27.527487731511606</v>
      </c>
      <c r="BC1519" s="244">
        <v>205.67714596426941</v>
      </c>
      <c r="BD1519" s="229">
        <v>91631.791920996198</v>
      </c>
      <c r="BE1519" s="244">
        <v>35.450825719607067</v>
      </c>
      <c r="BF1519" s="146">
        <v>339040.62160494726</v>
      </c>
      <c r="BG1519" t="s">
        <v>390</v>
      </c>
      <c r="BH1519" s="146">
        <v>7.8317401316563717E-6</v>
      </c>
      <c r="BI1519" s="146">
        <v>2116317.9192099618</v>
      </c>
      <c r="BJ1519">
        <f t="shared" si="87"/>
        <v>0.16020306709471788</v>
      </c>
    </row>
    <row r="1520" spans="1:62" s="146" customFormat="1" x14ac:dyDescent="0.3">
      <c r="A1520">
        <v>-0.8</v>
      </c>
      <c r="B1520" s="146">
        <v>1000</v>
      </c>
      <c r="C1520" s="146">
        <v>25</v>
      </c>
      <c r="D1520" s="146">
        <v>400</v>
      </c>
      <c r="E1520" s="252">
        <v>20.472975513197749</v>
      </c>
      <c r="F1520" s="146">
        <v>1.6642614484185796</v>
      </c>
      <c r="G1520" s="146">
        <v>22.006107713984314</v>
      </c>
      <c r="H1520" s="146">
        <v>25.6548090643326</v>
      </c>
      <c r="J1520" s="146">
        <v>0.99999999904989012</v>
      </c>
      <c r="K1520" s="146">
        <v>0.36</v>
      </c>
      <c r="L1520" s="146">
        <v>146.51127300402104</v>
      </c>
      <c r="M1520" s="146">
        <v>54.0410433211553</v>
      </c>
      <c r="N1520" s="146">
        <v>4.8313328119913379</v>
      </c>
      <c r="Z1520" s="146">
        <v>0.1883207471891985</v>
      </c>
      <c r="AL1520" s="146">
        <v>2441.1515834374991</v>
      </c>
      <c r="AM1520" s="146">
        <v>7.5627251763426773E-2</v>
      </c>
      <c r="AN1520" s="146">
        <v>6.3272030214481745E-2</v>
      </c>
      <c r="AO1520" s="146">
        <v>76.429293578888803</v>
      </c>
      <c r="AP1520" s="146">
        <v>25.485177441831585</v>
      </c>
      <c r="AQ1520" s="146" t="s">
        <v>383</v>
      </c>
      <c r="AR1520" s="146">
        <f t="shared" si="88"/>
        <v>19.525354503836514</v>
      </c>
      <c r="AS1520" s="146">
        <f t="shared" si="89"/>
        <v>5.3287291164862003</v>
      </c>
      <c r="AT1520" s="146">
        <v>0.4</v>
      </c>
      <c r="AU1520">
        <v>0</v>
      </c>
      <c r="AV1520" s="146">
        <v>0.5</v>
      </c>
      <c r="AW1520" s="146">
        <v>3</v>
      </c>
      <c r="AX1520" s="146">
        <v>0.99999999900000003</v>
      </c>
      <c r="AY1520" s="146">
        <v>0.36</v>
      </c>
      <c r="AZ1520" s="209">
        <v>25.485177441831585</v>
      </c>
      <c r="BA1520" s="146">
        <v>0.99999999900000003</v>
      </c>
      <c r="BB1520" s="252">
        <v>30.134292748245606</v>
      </c>
      <c r="BC1520" s="244">
        <v>242.13294229069228</v>
      </c>
      <c r="BD1520" s="229">
        <v>109522.01071625776</v>
      </c>
      <c r="BE1520" s="244">
        <v>38.267648340218337</v>
      </c>
      <c r="BF1520" s="146">
        <v>402622.56856868073</v>
      </c>
      <c r="BG1520" t="s">
        <v>390</v>
      </c>
      <c r="BH1520" s="146">
        <v>7.319002187813156E-6</v>
      </c>
      <c r="BI1520" s="146">
        <v>2295220.1071625776</v>
      </c>
      <c r="BJ1520">
        <f t="shared" si="87"/>
        <v>0.17541784655521134</v>
      </c>
    </row>
    <row r="1521" spans="1:62" s="227" customFormat="1" x14ac:dyDescent="0.3">
      <c r="A1521" s="280">
        <v>-0.85</v>
      </c>
      <c r="B1521" s="227">
        <v>1000</v>
      </c>
      <c r="C1521" s="227">
        <v>25</v>
      </c>
      <c r="D1521" s="227">
        <v>400</v>
      </c>
      <c r="E1521" s="281">
        <v>14.047554585776609</v>
      </c>
      <c r="F1521" s="227">
        <v>1.0774533067332821</v>
      </c>
      <c r="G1521" s="227">
        <v>14.980166932395145</v>
      </c>
      <c r="H1521" s="227">
        <v>18.434405105865064</v>
      </c>
      <c r="J1521" s="227">
        <v>0.99999999916418891</v>
      </c>
      <c r="K1521" s="227">
        <v>0.36</v>
      </c>
      <c r="L1521" s="227">
        <v>98.280773601175142</v>
      </c>
      <c r="M1521" s="227">
        <v>36.251105016826898</v>
      </c>
      <c r="N1521" s="227">
        <v>4.1899076737315113</v>
      </c>
      <c r="Z1521" s="227">
        <v>0.22728738191819686</v>
      </c>
      <c r="AL1521" s="227">
        <v>2150.4876182260437</v>
      </c>
      <c r="AM1521" s="227">
        <v>7.192532043172703E-2</v>
      </c>
      <c r="AN1521" s="227">
        <v>4.5386300714813289E-2</v>
      </c>
      <c r="AO1521" s="227">
        <v>90.489104321477896</v>
      </c>
      <c r="AP1521" s="227">
        <v>55.533781360289396</v>
      </c>
      <c r="AQ1521" s="280" t="s">
        <v>383</v>
      </c>
      <c r="AR1521" s="227">
        <f t="shared" si="88"/>
        <v>19.525354503836514</v>
      </c>
      <c r="AS1521" s="227">
        <f t="shared" si="89"/>
        <v>5.3287291164862003</v>
      </c>
      <c r="AT1521" s="227">
        <v>0.4</v>
      </c>
      <c r="AU1521" s="280">
        <v>0</v>
      </c>
      <c r="AV1521" s="227">
        <v>0.5</v>
      </c>
      <c r="AW1521" s="227">
        <v>3</v>
      </c>
      <c r="AX1521" s="227">
        <v>0.99999999900000003</v>
      </c>
      <c r="AY1521" s="227">
        <v>0.36</v>
      </c>
      <c r="AZ1521" s="282">
        <v>55.533781360289396</v>
      </c>
      <c r="BA1521" s="227">
        <v>0.99999999900000003</v>
      </c>
      <c r="BB1521" s="281">
        <v>20.653242678844016</v>
      </c>
      <c r="BC1521" s="283">
        <v>133.15621381021194</v>
      </c>
      <c r="BD1521" s="284">
        <v>54533.196892098618</v>
      </c>
      <c r="BE1521" s="283">
        <v>24.398063490545503</v>
      </c>
      <c r="BF1521" s="227">
        <v>629940.66743364767</v>
      </c>
      <c r="BG1521" s="280" t="s">
        <v>390</v>
      </c>
      <c r="BH1521" s="227">
        <v>5.5903173150747878E-6</v>
      </c>
      <c r="BI1521" s="227">
        <v>1745331.9689209862</v>
      </c>
      <c r="BJ1521">
        <f t="shared" si="87"/>
        <v>0.36092885402373903</v>
      </c>
    </row>
    <row r="1522" spans="1:62" s="256" customFormat="1" ht="15" thickBot="1" x14ac:dyDescent="0.35">
      <c r="A1522" s="256">
        <v>-0.87</v>
      </c>
      <c r="B1522" s="256">
        <v>1000</v>
      </c>
      <c r="C1522" s="256">
        <v>25</v>
      </c>
      <c r="D1522" s="256">
        <v>400</v>
      </c>
      <c r="E1522" s="257">
        <v>4.4305340237149338</v>
      </c>
      <c r="F1522" s="256">
        <v>0.49887105311331403</v>
      </c>
      <c r="G1522" s="256">
        <v>4.7919793700275219</v>
      </c>
      <c r="H1522" s="256">
        <v>6.0740729796901922</v>
      </c>
      <c r="J1522" s="256">
        <v>0.99999999929886141</v>
      </c>
      <c r="K1522" s="256">
        <v>0.36</v>
      </c>
      <c r="L1522" s="256">
        <v>31.266180589140731</v>
      </c>
      <c r="M1522" s="256">
        <v>11.53260759435519</v>
      </c>
      <c r="N1522" s="256">
        <v>1.5875340474664785</v>
      </c>
      <c r="Z1522" s="256">
        <v>0.26136235978308092</v>
      </c>
      <c r="AL1522" s="256">
        <v>1059.1461900169788</v>
      </c>
      <c r="AM1522" s="256">
        <v>0.10410542587758445</v>
      </c>
      <c r="AN1522" s="256">
        <v>3.5846930820925119E-2</v>
      </c>
      <c r="AO1522" s="256">
        <v>276.40409032929887</v>
      </c>
      <c r="AP1522" s="256">
        <v>265.37916628373983</v>
      </c>
      <c r="AQ1522" s="255" t="s">
        <v>383</v>
      </c>
      <c r="AR1522" s="256">
        <f t="shared" si="88"/>
        <v>19.525354503836514</v>
      </c>
      <c r="AS1522" s="256">
        <f t="shared" si="89"/>
        <v>5.3287291164862003</v>
      </c>
      <c r="AT1522" s="256">
        <v>0.4</v>
      </c>
      <c r="AU1522" s="254">
        <v>0</v>
      </c>
      <c r="AV1522" s="256">
        <v>0.5</v>
      </c>
      <c r="AW1522" s="256">
        <v>3</v>
      </c>
      <c r="AX1522" s="256">
        <v>0.99999999900000003</v>
      </c>
      <c r="AY1522" s="256">
        <v>0.36</v>
      </c>
      <c r="AZ1522" s="258">
        <v>265.37916628373983</v>
      </c>
      <c r="BA1522" s="256">
        <v>0.99999999900000003</v>
      </c>
      <c r="BB1522" s="257">
        <v>7.8910610849108807</v>
      </c>
      <c r="BC1522" s="259">
        <v>35.941385940274614</v>
      </c>
      <c r="BD1522" s="258">
        <v>12612.083910167441</v>
      </c>
      <c r="BE1522" s="259">
        <v>8.8625419620979144</v>
      </c>
      <c r="BF1522" s="256">
        <v>896892.84241263452</v>
      </c>
      <c r="BG1522" s="254" t="s">
        <v>390</v>
      </c>
      <c r="BH1522" s="256">
        <v>1.6047500399800006E-6</v>
      </c>
      <c r="BI1522" s="256">
        <v>1326120.8391016745</v>
      </c>
      <c r="BJ1522">
        <f t="shared" si="87"/>
        <v>0.67632814142352016</v>
      </c>
    </row>
    <row r="1523" spans="1:62" x14ac:dyDescent="0.3">
      <c r="A1523">
        <v>-0.1</v>
      </c>
      <c r="B1523" s="146">
        <v>100</v>
      </c>
      <c r="C1523" s="146">
        <v>25</v>
      </c>
      <c r="D1523" s="146">
        <v>400</v>
      </c>
      <c r="E1523" s="249">
        <v>3.1671558523586443</v>
      </c>
      <c r="F1523">
        <v>0.75747327431082301</v>
      </c>
      <c r="G1523">
        <v>3.7627624001047435</v>
      </c>
      <c r="H1523">
        <v>1.8703188972204803</v>
      </c>
      <c r="J1523">
        <v>0.30365338257588964</v>
      </c>
      <c r="K1523">
        <v>0.18</v>
      </c>
      <c r="L1523">
        <v>18.818083291473126</v>
      </c>
      <c r="M1523">
        <v>9.3699999791567432</v>
      </c>
      <c r="N1523">
        <v>0.62210736459309479</v>
      </c>
      <c r="Z1523">
        <v>0.33262101212666001</v>
      </c>
      <c r="AL1523">
        <v>687.39770742595692</v>
      </c>
      <c r="AM1523">
        <v>0.20130776109853157</v>
      </c>
      <c r="AN1523">
        <v>0.20077368098647824</v>
      </c>
      <c r="AO1523">
        <v>384.2252438825787</v>
      </c>
      <c r="AP1523">
        <v>376.34402512940954</v>
      </c>
      <c r="AQ1523" t="s">
        <v>384</v>
      </c>
      <c r="AR1523">
        <f t="shared" ref="AR1523:AR1562" si="90">0.3*Jsat_t</f>
        <v>9.762677251918257</v>
      </c>
      <c r="AS1523">
        <f t="shared" ref="AS1523:AS1562" si="91">0.1*Jatp</f>
        <v>2.6643645582431001</v>
      </c>
      <c r="AT1523">
        <v>0.2</v>
      </c>
      <c r="AU1523">
        <v>0</v>
      </c>
      <c r="AV1523">
        <v>0.3</v>
      </c>
      <c r="AW1523">
        <v>3</v>
      </c>
      <c r="AX1523">
        <v>0.19717943100717727</v>
      </c>
      <c r="AY1523">
        <v>0.18</v>
      </c>
      <c r="AZ1523" s="209">
        <v>376.34402512940954</v>
      </c>
      <c r="BA1523">
        <v>0.19717943100717727</v>
      </c>
      <c r="BB1523" s="249">
        <v>8.9888869306971166</v>
      </c>
      <c r="BC1523" s="243">
        <v>69.931494752320958</v>
      </c>
      <c r="BD1523" s="209">
        <v>25544.992858235084</v>
      </c>
      <c r="BE1523" s="243">
        <v>16.816469483954094</v>
      </c>
      <c r="BF1523">
        <v>17838.637359913337</v>
      </c>
      <c r="BG1523" t="s">
        <v>387</v>
      </c>
      <c r="BH1523">
        <v>1.9440681940701409E-6</v>
      </c>
      <c r="BI1523">
        <v>1455449.9285823507</v>
      </c>
      <c r="BJ1523">
        <f t="shared" si="87"/>
        <v>1.2256441811975402E-2</v>
      </c>
    </row>
    <row r="1524" spans="1:62" x14ac:dyDescent="0.3">
      <c r="A1524">
        <v>-0.1</v>
      </c>
      <c r="B1524" s="146">
        <v>200</v>
      </c>
      <c r="C1524" s="146">
        <v>25</v>
      </c>
      <c r="D1524" s="146">
        <v>400</v>
      </c>
      <c r="E1524" s="252">
        <v>5.8602368308585664</v>
      </c>
      <c r="F1524" s="146">
        <v>1.3567561721901404</v>
      </c>
      <c r="G1524" s="146">
        <v>6.8586300230396038</v>
      </c>
      <c r="H1524" s="146">
        <v>3.4566601315352568</v>
      </c>
      <c r="I1524" s="146"/>
      <c r="J1524" s="146">
        <v>0.3017405722660077</v>
      </c>
      <c r="K1524" s="146">
        <v>0.18</v>
      </c>
      <c r="L1524" s="146">
        <v>34.847824084210735</v>
      </c>
      <c r="M1524" s="146">
        <v>17.351613651889163</v>
      </c>
      <c r="N1524" s="146">
        <v>0.97431778159208804</v>
      </c>
      <c r="O1524" s="146"/>
      <c r="P1524" s="146"/>
      <c r="Q1524" s="146"/>
      <c r="R1524" s="146"/>
      <c r="S1524" s="146"/>
      <c r="T1524" s="146"/>
      <c r="U1524" s="146"/>
      <c r="V1524" s="146"/>
      <c r="W1524" s="146"/>
      <c r="X1524" s="146"/>
      <c r="Y1524" s="146"/>
      <c r="Z1524" s="146">
        <v>0.28186681493599725</v>
      </c>
      <c r="AA1524" s="146"/>
      <c r="AB1524" s="146"/>
      <c r="AC1524" s="146"/>
      <c r="AD1524" s="146"/>
      <c r="AE1524" s="146"/>
      <c r="AF1524" s="146"/>
      <c r="AG1524" s="146"/>
      <c r="AH1524" s="146"/>
      <c r="AI1524" s="146"/>
      <c r="AJ1524" s="146"/>
      <c r="AK1524" s="146"/>
      <c r="AL1524" s="146">
        <v>846.52741581251303</v>
      </c>
      <c r="AM1524" s="146">
        <v>0.19781737280368042</v>
      </c>
      <c r="AN1524" s="146">
        <v>0.22496977198553575</v>
      </c>
      <c r="AO1524" s="146">
        <v>373.95100337642094</v>
      </c>
      <c r="AP1524" s="146">
        <v>359.36852501646882</v>
      </c>
      <c r="AQ1524" t="s">
        <v>384</v>
      </c>
      <c r="AR1524">
        <f t="shared" si="90"/>
        <v>9.762677251918257</v>
      </c>
      <c r="AS1524">
        <f t="shared" si="91"/>
        <v>2.6643645582431001</v>
      </c>
      <c r="AT1524">
        <v>0.2</v>
      </c>
      <c r="AU1524">
        <v>0</v>
      </c>
      <c r="AV1524">
        <v>0.3</v>
      </c>
      <c r="AW1524" s="146">
        <v>3</v>
      </c>
      <c r="AX1524" s="146">
        <v>0.20600593950371504</v>
      </c>
      <c r="AY1524">
        <v>0.18</v>
      </c>
      <c r="AZ1524" s="209">
        <v>359.36852501646882</v>
      </c>
      <c r="BA1524">
        <v>0.20600593950371504</v>
      </c>
      <c r="BB1524" s="249">
        <v>16.155890810393206</v>
      </c>
      <c r="BC1524" s="243">
        <v>101.8899524637793</v>
      </c>
      <c r="BD1524" s="209">
        <v>41061.316602625528</v>
      </c>
      <c r="BE1524" s="243">
        <v>26.116089970607547</v>
      </c>
      <c r="BF1524">
        <v>49704.583195410174</v>
      </c>
      <c r="BG1524" t="s">
        <v>387</v>
      </c>
      <c r="BH1524">
        <v>3.3156170326053757E-6</v>
      </c>
      <c r="BI1524">
        <v>1610613.1660262553</v>
      </c>
      <c r="BJ1524">
        <f t="shared" si="87"/>
        <v>3.0860658688170638E-2</v>
      </c>
    </row>
    <row r="1525" spans="1:62" x14ac:dyDescent="0.3">
      <c r="A1525">
        <v>-0.1</v>
      </c>
      <c r="B1525" s="146">
        <v>300</v>
      </c>
      <c r="C1525" s="146">
        <v>25</v>
      </c>
      <c r="D1525" s="146">
        <v>400</v>
      </c>
      <c r="E1525" s="252">
        <v>8.1737240522486569</v>
      </c>
      <c r="F1525" s="146">
        <v>1.8822081251121421</v>
      </c>
      <c r="G1525" s="146">
        <v>9.5108950858790937</v>
      </c>
      <c r="H1525" s="146">
        <v>4.853551395237349</v>
      </c>
      <c r="I1525" s="146"/>
      <c r="J1525" s="146">
        <v>0.30172233163820228</v>
      </c>
      <c r="K1525" s="146">
        <v>0.18</v>
      </c>
      <c r="L1525" s="146">
        <v>49.002929895908778</v>
      </c>
      <c r="M1525" s="146">
        <v>24.399799118294826</v>
      </c>
      <c r="N1525" s="146">
        <v>1.2299871009413006</v>
      </c>
      <c r="O1525" s="146"/>
      <c r="P1525" s="146"/>
      <c r="Q1525" s="146"/>
      <c r="R1525" s="146"/>
      <c r="S1525" s="146"/>
      <c r="T1525" s="146"/>
      <c r="U1525" s="146"/>
      <c r="V1525" s="146"/>
      <c r="W1525" s="146"/>
      <c r="X1525" s="146"/>
      <c r="Y1525" s="146"/>
      <c r="Z1525" s="146">
        <v>0.25342002191390239</v>
      </c>
      <c r="AA1525" s="146"/>
      <c r="AB1525" s="146"/>
      <c r="AC1525" s="146"/>
      <c r="AD1525" s="146"/>
      <c r="AE1525" s="146"/>
      <c r="AF1525" s="146"/>
      <c r="AG1525" s="146"/>
      <c r="AH1525" s="146"/>
      <c r="AI1525" s="146"/>
      <c r="AJ1525" s="146"/>
      <c r="AK1525" s="146"/>
      <c r="AL1525" s="146">
        <v>960.3614157165855</v>
      </c>
      <c r="AM1525" s="146">
        <v>0.19790020898313476</v>
      </c>
      <c r="AN1525" s="146">
        <v>0.23834992108232922</v>
      </c>
      <c r="AO1525" s="146">
        <v>365.70704108005413</v>
      </c>
      <c r="AP1525" s="146">
        <v>345.36786524593441</v>
      </c>
      <c r="AQ1525" t="s">
        <v>384</v>
      </c>
      <c r="AR1525">
        <f t="shared" si="90"/>
        <v>9.762677251918257</v>
      </c>
      <c r="AS1525">
        <f t="shared" si="91"/>
        <v>2.6643645582431001</v>
      </c>
      <c r="AT1525">
        <v>0.2</v>
      </c>
      <c r="AU1525">
        <v>0</v>
      </c>
      <c r="AV1525">
        <v>0.3</v>
      </c>
      <c r="AW1525" s="146">
        <v>3</v>
      </c>
      <c r="AX1525" s="146">
        <v>0.21194172794786278</v>
      </c>
      <c r="AY1525">
        <v>0.18</v>
      </c>
      <c r="AZ1525" s="209">
        <v>345.36786524593441</v>
      </c>
      <c r="BA1525">
        <v>0.21194172794786278</v>
      </c>
      <c r="BB1525" s="249">
        <v>22.338981783696678</v>
      </c>
      <c r="BC1525" s="243">
        <v>124.88289904878378</v>
      </c>
      <c r="BD1525" s="209">
        <v>53574.592615337337</v>
      </c>
      <c r="BE1525" s="243">
        <v>33.543889380962071</v>
      </c>
      <c r="BF1525">
        <v>86165.255356549635</v>
      </c>
      <c r="BG1525" t="s">
        <v>387</v>
      </c>
      <c r="BH1525">
        <v>4.2642755817592713E-6</v>
      </c>
      <c r="BI1525">
        <v>1735745.9261533734</v>
      </c>
      <c r="BJ1525">
        <f t="shared" si="87"/>
        <v>4.9641629030063431E-2</v>
      </c>
    </row>
    <row r="1526" spans="1:62" x14ac:dyDescent="0.3">
      <c r="A1526">
        <v>-0.1</v>
      </c>
      <c r="B1526" s="146">
        <v>400</v>
      </c>
      <c r="C1526" s="146">
        <v>25</v>
      </c>
      <c r="D1526" s="146">
        <v>400</v>
      </c>
      <c r="E1526" s="252">
        <v>10.189120661987397</v>
      </c>
      <c r="F1526" s="146">
        <v>2.3557672665118452</v>
      </c>
      <c r="G1526" s="146">
        <v>11.824624490395777</v>
      </c>
      <c r="H1526" s="146">
        <v>6.1023596591588491</v>
      </c>
      <c r="I1526" s="146"/>
      <c r="J1526" s="146">
        <v>0.30221253694557948</v>
      </c>
      <c r="K1526" s="146">
        <v>0.18</v>
      </c>
      <c r="L1526" s="146">
        <v>61.685634706385258</v>
      </c>
      <c r="M1526" s="146">
        <v>30.714838857951168</v>
      </c>
      <c r="N1526" s="146">
        <v>1.4313012369945595</v>
      </c>
      <c r="O1526" s="146"/>
      <c r="P1526" s="146"/>
      <c r="Q1526" s="146"/>
      <c r="R1526" s="146"/>
      <c r="S1526" s="146"/>
      <c r="T1526" s="146"/>
      <c r="U1526" s="146"/>
      <c r="V1526" s="146"/>
      <c r="W1526" s="146"/>
      <c r="X1526" s="146"/>
      <c r="Y1526" s="146"/>
      <c r="Z1526" s="146">
        <v>0.23454881667722785</v>
      </c>
      <c r="AA1526" s="146"/>
      <c r="AB1526" s="146"/>
      <c r="AC1526" s="146"/>
      <c r="AD1526" s="146"/>
      <c r="AE1526" s="146"/>
      <c r="AF1526" s="146"/>
      <c r="AG1526" s="146"/>
      <c r="AH1526" s="146"/>
      <c r="AI1526" s="146"/>
      <c r="AJ1526" s="146"/>
      <c r="AK1526" s="146"/>
      <c r="AL1526" s="146">
        <v>1049.0867384205715</v>
      </c>
      <c r="AM1526" s="146">
        <v>0.19922554567591147</v>
      </c>
      <c r="AN1526" s="146">
        <v>0.24725045390656988</v>
      </c>
      <c r="AO1526" s="146">
        <v>358.7902853119225</v>
      </c>
      <c r="AP1526" s="146">
        <v>333.43611992329193</v>
      </c>
      <c r="AQ1526" t="s">
        <v>384</v>
      </c>
      <c r="AR1526">
        <f t="shared" si="90"/>
        <v>9.762677251918257</v>
      </c>
      <c r="AS1526">
        <f t="shared" si="91"/>
        <v>2.6643645582431001</v>
      </c>
      <c r="AT1526">
        <v>0.2</v>
      </c>
      <c r="AU1526">
        <v>0</v>
      </c>
      <c r="AV1526">
        <v>0.3</v>
      </c>
      <c r="AW1526" s="146">
        <v>3</v>
      </c>
      <c r="AX1526" s="146">
        <v>0.21623124367520635</v>
      </c>
      <c r="AY1526">
        <v>0.18</v>
      </c>
      <c r="AZ1526" s="209">
        <v>333.43611992329193</v>
      </c>
      <c r="BA1526">
        <v>0.21623124367520635</v>
      </c>
      <c r="BB1526" s="249">
        <v>27.808434989082251</v>
      </c>
      <c r="BC1526" s="243">
        <v>143.18510588419019</v>
      </c>
      <c r="BD1526" s="209">
        <v>64257.95847254312</v>
      </c>
      <c r="BE1526" s="243">
        <v>39.862972176792908</v>
      </c>
      <c r="BF1526">
        <v>124332.39596009129</v>
      </c>
      <c r="BG1526" t="s">
        <v>387</v>
      </c>
      <c r="BH1526">
        <v>4.9507637233848442E-6</v>
      </c>
      <c r="BI1526">
        <v>1842579.5847254312</v>
      </c>
      <c r="BJ1526">
        <f t="shared" si="87"/>
        <v>6.7477354568985126E-2</v>
      </c>
    </row>
    <row r="1527" spans="1:62" x14ac:dyDescent="0.3">
      <c r="A1527">
        <v>-0.1</v>
      </c>
      <c r="B1527" s="146">
        <v>600</v>
      </c>
      <c r="C1527" s="146">
        <v>25</v>
      </c>
      <c r="D1527" s="146">
        <v>400</v>
      </c>
      <c r="E1527" s="252">
        <v>13.519533746661683</v>
      </c>
      <c r="F1527" s="146">
        <v>3.1802842014643247</v>
      </c>
      <c r="G1527" s="146">
        <v>15.662953313892999</v>
      </c>
      <c r="H1527" s="146">
        <v>8.2425096667428921</v>
      </c>
      <c r="I1527" s="146"/>
      <c r="J1527" s="146">
        <v>0.30397510454739252</v>
      </c>
      <c r="K1527" s="146">
        <v>0.18</v>
      </c>
      <c r="L1527" s="146">
        <v>83.480603044967623</v>
      </c>
      <c r="M1527" s="146">
        <v>41.567105250606289</v>
      </c>
      <c r="N1527" s="146">
        <v>1.7320553144595827</v>
      </c>
      <c r="O1527" s="146"/>
      <c r="P1527" s="146"/>
      <c r="Q1527" s="146"/>
      <c r="R1527" s="146"/>
      <c r="S1527" s="146"/>
      <c r="T1527" s="146"/>
      <c r="U1527" s="146"/>
      <c r="V1527" s="146"/>
      <c r="W1527" s="146"/>
      <c r="X1527" s="146"/>
      <c r="Y1527" s="146"/>
      <c r="Z1527" s="146">
        <v>0.21013688603219088</v>
      </c>
      <c r="AA1527" s="146"/>
      <c r="AB1527" s="146"/>
      <c r="AC1527" s="146"/>
      <c r="AD1527" s="146"/>
      <c r="AE1527" s="146"/>
      <c r="AF1527" s="146"/>
      <c r="AG1527" s="146"/>
      <c r="AH1527" s="146"/>
      <c r="AI1527" s="146"/>
      <c r="AJ1527" s="146"/>
      <c r="AK1527" s="146"/>
      <c r="AL1527" s="146">
        <v>1180.1623623531768</v>
      </c>
      <c r="AM1527" s="146">
        <v>0.2030449901579813</v>
      </c>
      <c r="AN1527" s="146">
        <v>0.25887648808639935</v>
      </c>
      <c r="AO1527" s="146">
        <v>347.77612348422474</v>
      </c>
      <c r="AP1527" s="146">
        <v>314.13470512338557</v>
      </c>
      <c r="AQ1527" t="s">
        <v>384</v>
      </c>
      <c r="AR1527">
        <f t="shared" si="90"/>
        <v>9.762677251918257</v>
      </c>
      <c r="AS1527">
        <f t="shared" si="91"/>
        <v>2.6643645582431001</v>
      </c>
      <c r="AT1527">
        <v>0.2</v>
      </c>
      <c r="AU1527">
        <v>0</v>
      </c>
      <c r="AV1527">
        <v>0.3</v>
      </c>
      <c r="AW1527" s="146">
        <v>3</v>
      </c>
      <c r="AX1527" s="146">
        <v>0.22239481425313198</v>
      </c>
      <c r="AY1527">
        <v>0.18</v>
      </c>
      <c r="AZ1527" s="209">
        <v>314.13470512338557</v>
      </c>
      <c r="BA1527">
        <v>0.22239481425313198</v>
      </c>
      <c r="BB1527" s="249">
        <v>37.088624151842069</v>
      </c>
      <c r="BC1527" s="243">
        <v>171.12849052696487</v>
      </c>
      <c r="BD1527" s="209">
        <v>81685.800272247652</v>
      </c>
      <c r="BE1527" s="243">
        <v>50.18249607269648</v>
      </c>
      <c r="BF1527">
        <v>200359.10117512126</v>
      </c>
      <c r="BG1527" t="s">
        <v>387</v>
      </c>
      <c r="BH1527">
        <v>5.8553532665694437E-6</v>
      </c>
      <c r="BI1527">
        <v>2016858.0027224766</v>
      </c>
      <c r="BJ1527">
        <f t="shared" si="87"/>
        <v>9.9342195089919302E-2</v>
      </c>
    </row>
    <row r="1528" spans="1:62" x14ac:dyDescent="0.3">
      <c r="A1528">
        <v>-0.1</v>
      </c>
      <c r="B1528" s="146">
        <v>800</v>
      </c>
      <c r="C1528" s="146">
        <v>25</v>
      </c>
      <c r="D1528" s="146">
        <v>400</v>
      </c>
      <c r="E1528" s="252">
        <v>16.120684465510909</v>
      </c>
      <c r="F1528" s="146">
        <v>3.8668825350424267</v>
      </c>
      <c r="G1528" s="146">
        <v>18.677980503748671</v>
      </c>
      <c r="H1528" s="146">
        <v>9.9918129217178162</v>
      </c>
      <c r="I1528" s="146"/>
      <c r="J1528" s="146">
        <v>0.30641845687254193</v>
      </c>
      <c r="K1528" s="146">
        <v>0.18</v>
      </c>
      <c r="L1528" s="146">
        <v>101.35416475437411</v>
      </c>
      <c r="M1528" s="146">
        <v>50.466804027074247</v>
      </c>
      <c r="N1528" s="146">
        <v>1.9426849595821523</v>
      </c>
      <c r="O1528" s="146"/>
      <c r="P1528" s="146"/>
      <c r="Q1528" s="146"/>
      <c r="R1528" s="146"/>
      <c r="S1528" s="146"/>
      <c r="T1528" s="146"/>
      <c r="U1528" s="146"/>
      <c r="V1528" s="146"/>
      <c r="W1528" s="146"/>
      <c r="X1528" s="146"/>
      <c r="Y1528" s="146"/>
      <c r="Z1528" s="146">
        <v>0.19442767541810232</v>
      </c>
      <c r="AA1528" s="146"/>
      <c r="AB1528" s="146"/>
      <c r="AC1528" s="146"/>
      <c r="AD1528" s="146"/>
      <c r="AE1528" s="146"/>
      <c r="AF1528" s="146"/>
      <c r="AG1528" s="146"/>
      <c r="AH1528" s="146"/>
      <c r="AI1528" s="146"/>
      <c r="AJ1528" s="146"/>
      <c r="AK1528" s="146"/>
      <c r="AL1528" s="146">
        <v>1270.7132383190094</v>
      </c>
      <c r="AM1528" s="146">
        <v>0.20702894160674079</v>
      </c>
      <c r="AN1528" s="146">
        <v>0.26639107035503562</v>
      </c>
      <c r="AO1528" s="146">
        <v>339.48489172694156</v>
      </c>
      <c r="AP1528" s="146">
        <v>299.37075852793356</v>
      </c>
      <c r="AQ1528" t="s">
        <v>384</v>
      </c>
      <c r="AR1528">
        <f t="shared" si="90"/>
        <v>9.762677251918257</v>
      </c>
      <c r="AS1528">
        <f t="shared" si="91"/>
        <v>2.6643645582431001</v>
      </c>
      <c r="AT1528">
        <v>0.2</v>
      </c>
      <c r="AU1528">
        <v>0</v>
      </c>
      <c r="AV1528">
        <v>0.3</v>
      </c>
      <c r="AW1528" s="146">
        <v>3</v>
      </c>
      <c r="AX1528" s="146">
        <v>0.22702309819043187</v>
      </c>
      <c r="AY1528">
        <v>0.18</v>
      </c>
      <c r="AZ1528" s="209">
        <v>299.37075852793356</v>
      </c>
      <c r="BA1528">
        <v>0.22702309819043187</v>
      </c>
      <c r="BB1528" s="249">
        <v>44.586823799473365</v>
      </c>
      <c r="BC1528" s="243">
        <v>191.34297673837654</v>
      </c>
      <c r="BD1528" s="209">
        <v>95092.243454827782</v>
      </c>
      <c r="BE1528" s="243">
        <v>58.198931548242435</v>
      </c>
      <c r="BF1528">
        <v>271241.87058692687</v>
      </c>
      <c r="BG1528" t="s">
        <v>387</v>
      </c>
      <c r="BH1528">
        <v>6.4032287289490403E-6</v>
      </c>
      <c r="BI1528">
        <v>2150922.4345482779</v>
      </c>
      <c r="BJ1528">
        <f t="shared" si="87"/>
        <v>0.12610490561175966</v>
      </c>
    </row>
    <row r="1529" spans="1:62" x14ac:dyDescent="0.3">
      <c r="A1529">
        <v>-0.1</v>
      </c>
      <c r="B1529" s="146">
        <v>1000</v>
      </c>
      <c r="C1529" s="146">
        <v>25</v>
      </c>
      <c r="D1529" s="146">
        <v>400</v>
      </c>
      <c r="E1529" s="252">
        <v>18.1646978740084</v>
      </c>
      <c r="F1529" s="146">
        <v>4.4307215342323438</v>
      </c>
      <c r="G1529" s="146">
        <v>21.056977315596761</v>
      </c>
      <c r="H1529" s="146">
        <v>11.41984608623353</v>
      </c>
      <c r="I1529" s="146"/>
      <c r="J1529" s="146">
        <v>0.30633596185663697</v>
      </c>
      <c r="K1529" s="146">
        <v>0.18</v>
      </c>
      <c r="L1529" s="146">
        <v>115.98951735794897</v>
      </c>
      <c r="M1529" s="146">
        <v>57.754116526779576</v>
      </c>
      <c r="N1529" s="146">
        <v>2.1276961332046387</v>
      </c>
      <c r="O1529" s="146"/>
      <c r="P1529" s="146"/>
      <c r="Q1529" s="146"/>
      <c r="R1529" s="146"/>
      <c r="S1529" s="146"/>
      <c r="T1529" s="146"/>
      <c r="U1529" s="146"/>
      <c r="V1529" s="146"/>
      <c r="W1529" s="146"/>
      <c r="X1529" s="146"/>
      <c r="Y1529" s="146"/>
      <c r="Z1529" s="146">
        <v>0.18631565759625671</v>
      </c>
      <c r="AA1529" s="146"/>
      <c r="AB1529" s="146"/>
      <c r="AC1529" s="146"/>
      <c r="AD1529" s="146"/>
      <c r="AE1529" s="146"/>
      <c r="AF1529" s="146"/>
      <c r="AG1529" s="146"/>
      <c r="AH1529" s="146"/>
      <c r="AI1529" s="146"/>
      <c r="AJ1529" s="146"/>
      <c r="AK1529" s="146"/>
      <c r="AL1529" s="146">
        <v>1351.8177288999489</v>
      </c>
      <c r="AM1529" s="146">
        <v>0.21041583831457797</v>
      </c>
      <c r="AN1529" s="146">
        <v>0.27180419588109217</v>
      </c>
      <c r="AO1529" s="146">
        <v>333.1699136758175</v>
      </c>
      <c r="AP1529" s="146">
        <v>287.96966229762899</v>
      </c>
      <c r="AQ1529" t="s">
        <v>384</v>
      </c>
      <c r="AR1529">
        <f t="shared" si="90"/>
        <v>9.762677251918257</v>
      </c>
      <c r="AS1529">
        <f t="shared" si="91"/>
        <v>2.6643645582431001</v>
      </c>
      <c r="AT1529">
        <v>0.2</v>
      </c>
      <c r="AU1529">
        <v>0</v>
      </c>
      <c r="AV1529">
        <v>0.3</v>
      </c>
      <c r="AW1529" s="146">
        <v>3</v>
      </c>
      <c r="AX1529" s="146">
        <v>0.22930947362045961</v>
      </c>
      <c r="AY1529">
        <v>0.18</v>
      </c>
      <c r="AZ1529" s="209">
        <v>287.96966229762899</v>
      </c>
      <c r="BA1529">
        <v>0.22930947362045961</v>
      </c>
      <c r="BB1529" s="249">
        <v>50.638410911784128</v>
      </c>
      <c r="BC1529" s="243">
        <v>206.19163779257289</v>
      </c>
      <c r="BD1529" s="209">
        <v>105464.87352254939</v>
      </c>
      <c r="BE1529" s="243">
        <v>64.575831996302568</v>
      </c>
      <c r="BF1529">
        <v>334379.03038977529</v>
      </c>
      <c r="BG1529" t="s">
        <v>387</v>
      </c>
      <c r="BH1529">
        <v>6.7557594420828871E-6</v>
      </c>
      <c r="BI1529">
        <v>2254648.735225494</v>
      </c>
      <c r="BJ1529">
        <f t="shared" si="87"/>
        <v>0.14830648569136562</v>
      </c>
    </row>
    <row r="1530" spans="1:62" x14ac:dyDescent="0.3">
      <c r="A1530">
        <v>-0.1</v>
      </c>
      <c r="B1530" s="146">
        <v>1300</v>
      </c>
      <c r="C1530" s="146">
        <v>25</v>
      </c>
      <c r="D1530" s="146">
        <v>400</v>
      </c>
      <c r="E1530" s="252">
        <v>20.415524850153385</v>
      </c>
      <c r="F1530" s="146">
        <v>5.0817357108862371</v>
      </c>
      <c r="G1530" s="146">
        <v>23.688207091919317</v>
      </c>
      <c r="H1530" s="146">
        <v>13.076137967333652</v>
      </c>
      <c r="I1530" s="146"/>
      <c r="J1530" s="146">
        <v>0.31097064787017892</v>
      </c>
      <c r="K1530" s="146">
        <v>0.18</v>
      </c>
      <c r="L1530" s="146">
        <v>133.02355004191742</v>
      </c>
      <c r="M1530" s="146">
        <v>66.235792551992077</v>
      </c>
      <c r="N1530" s="146">
        <v>2.2827399818538421</v>
      </c>
      <c r="O1530" s="146"/>
      <c r="P1530" s="146"/>
      <c r="Q1530" s="146"/>
      <c r="R1530" s="146"/>
      <c r="S1530" s="146"/>
      <c r="T1530" s="146"/>
      <c r="U1530" s="146"/>
      <c r="V1530" s="146"/>
      <c r="W1530" s="146"/>
      <c r="X1530" s="146"/>
      <c r="Y1530" s="146"/>
      <c r="Z1530" s="146">
        <v>0.17457295017508248</v>
      </c>
      <c r="AA1530" s="146"/>
      <c r="AB1530" s="146"/>
      <c r="AC1530" s="146"/>
      <c r="AD1530" s="146"/>
      <c r="AE1530" s="146"/>
      <c r="AF1530" s="146"/>
      <c r="AG1530" s="146"/>
      <c r="AH1530" s="146"/>
      <c r="AI1530" s="146"/>
      <c r="AJ1530" s="146"/>
      <c r="AK1530" s="146"/>
      <c r="AL1530" s="146">
        <v>1417.0323470596034</v>
      </c>
      <c r="AM1530" s="146">
        <v>0.2145259745141182</v>
      </c>
      <c r="AN1530" s="146">
        <v>0.2776242323647134</v>
      </c>
      <c r="AO1530" s="146">
        <v>326.46346222640386</v>
      </c>
      <c r="AP1530" s="146">
        <v>275.66235613268236</v>
      </c>
      <c r="AQ1530" t="s">
        <v>384</v>
      </c>
      <c r="AR1530">
        <f t="shared" si="90"/>
        <v>9.762677251918257</v>
      </c>
      <c r="AS1530">
        <f t="shared" si="91"/>
        <v>2.6643645582431001</v>
      </c>
      <c r="AT1530">
        <v>0.2</v>
      </c>
      <c r="AU1530">
        <v>0</v>
      </c>
      <c r="AV1530">
        <v>0.3</v>
      </c>
      <c r="AW1530" s="146">
        <v>3</v>
      </c>
      <c r="AX1530" s="146">
        <v>0.23444895870935778</v>
      </c>
      <c r="AY1530">
        <v>0.18</v>
      </c>
      <c r="AZ1530" s="209">
        <v>275.66235613268236</v>
      </c>
      <c r="BA1530">
        <v>0.23444895870935778</v>
      </c>
      <c r="BB1530" s="249">
        <v>57.441004617062895</v>
      </c>
      <c r="BC1530" s="243">
        <v>221.43482913532404</v>
      </c>
      <c r="BD1530" s="209">
        <v>116378.94734011457</v>
      </c>
      <c r="BE1530" s="243">
        <v>71.290925393801274</v>
      </c>
      <c r="BF1530">
        <v>411220.98215701315</v>
      </c>
      <c r="BG1530" t="s">
        <v>387</v>
      </c>
      <c r="BH1530">
        <v>7.0877641540557919E-6</v>
      </c>
      <c r="BI1530">
        <v>2363789.4734011455</v>
      </c>
      <c r="BJ1530">
        <f t="shared" si="87"/>
        <v>0.17396683874952984</v>
      </c>
    </row>
    <row r="1531" spans="1:62" x14ac:dyDescent="0.3">
      <c r="A1531">
        <v>-0.1</v>
      </c>
      <c r="B1531" s="227">
        <v>1600</v>
      </c>
      <c r="C1531" s="146">
        <v>25</v>
      </c>
      <c r="D1531" s="146">
        <v>400</v>
      </c>
      <c r="E1531" s="252">
        <v>21.987016537286312</v>
      </c>
      <c r="F1531" s="146">
        <v>5.5550046290523172</v>
      </c>
      <c r="G1531" s="146">
        <v>25.53203160952695</v>
      </c>
      <c r="H1531" s="146">
        <v>14.296765193627399</v>
      </c>
      <c r="I1531" s="146"/>
      <c r="J1531" s="146">
        <v>0.31734405277046318</v>
      </c>
      <c r="K1531" s="146">
        <v>0.18</v>
      </c>
      <c r="L1531" s="146">
        <v>145.62469660506821</v>
      </c>
      <c r="M1531" s="146">
        <v>72.510222375967572</v>
      </c>
      <c r="N1531" s="146">
        <v>2.3563155494624688</v>
      </c>
      <c r="O1531" s="146"/>
      <c r="P1531" s="146"/>
      <c r="Q1531" s="146"/>
      <c r="R1531" s="146"/>
      <c r="S1531" s="146"/>
      <c r="T1531" s="146"/>
      <c r="U1531" s="146"/>
      <c r="V1531" s="146"/>
      <c r="W1531" s="146"/>
      <c r="X1531" s="146"/>
      <c r="Y1531" s="146"/>
      <c r="Z1531" s="146">
        <v>0.16481459389937847</v>
      </c>
      <c r="AA1531" s="146"/>
      <c r="AB1531" s="146"/>
      <c r="AC1531" s="146"/>
      <c r="AD1531" s="146"/>
      <c r="AE1531" s="146"/>
      <c r="AF1531" s="146"/>
      <c r="AG1531" s="146"/>
      <c r="AH1531" s="146"/>
      <c r="AI1531" s="146"/>
      <c r="AJ1531" s="146"/>
      <c r="AK1531" s="146"/>
      <c r="AL1531" s="146">
        <v>1445.3962465330303</v>
      </c>
      <c r="AM1531" s="146">
        <v>0.21757002004413697</v>
      </c>
      <c r="AN1531" s="146">
        <v>0.28170458630449141</v>
      </c>
      <c r="AO1531" s="146">
        <v>321.95009379960612</v>
      </c>
      <c r="AP1531" s="146">
        <v>267.23847180179627</v>
      </c>
      <c r="AQ1531" t="s">
        <v>384</v>
      </c>
      <c r="AR1531">
        <f t="shared" si="90"/>
        <v>9.762677251918257</v>
      </c>
      <c r="AS1531">
        <f t="shared" si="91"/>
        <v>2.6643645582431001</v>
      </c>
      <c r="AT1531">
        <v>0.2</v>
      </c>
      <c r="AU1531">
        <v>0</v>
      </c>
      <c r="AV1531">
        <v>0.3</v>
      </c>
      <c r="AW1531" s="146">
        <v>3</v>
      </c>
      <c r="AX1531" s="146">
        <v>0.23987086997634438</v>
      </c>
      <c r="AY1531">
        <v>0.18</v>
      </c>
      <c r="AZ1531" s="209">
        <v>267.23847180179627</v>
      </c>
      <c r="BA1531">
        <v>0.23987086997634438</v>
      </c>
      <c r="BB1531" s="249">
        <v>62.255192831242844</v>
      </c>
      <c r="BC1531" s="243">
        <v>231.29760342889239</v>
      </c>
      <c r="BD1531" s="209">
        <v>123560.33515530512</v>
      </c>
      <c r="BE1531" s="243">
        <v>75.707499656899103</v>
      </c>
      <c r="BF1531">
        <v>469314.61551263067</v>
      </c>
      <c r="BG1531" t="s">
        <v>387</v>
      </c>
      <c r="BH1531">
        <v>7.2935000908254216E-6</v>
      </c>
      <c r="BI1531">
        <v>2435603.3515530513</v>
      </c>
      <c r="BJ1531">
        <f t="shared" si="87"/>
        <v>0.19268926330445979</v>
      </c>
    </row>
    <row r="1532" spans="1:62" s="140" customFormat="1" x14ac:dyDescent="0.3">
      <c r="A1532" s="140">
        <v>-0.1</v>
      </c>
      <c r="B1532" s="140">
        <v>1900</v>
      </c>
      <c r="C1532" s="140">
        <v>25</v>
      </c>
      <c r="D1532" s="140">
        <v>400</v>
      </c>
      <c r="E1532" s="253">
        <v>23.153776617445835</v>
      </c>
      <c r="F1532" s="140">
        <v>5.946960011877759</v>
      </c>
      <c r="G1532" s="140">
        <v>26.919519708291389</v>
      </c>
      <c r="H1532" s="140">
        <v>15.141118341021308</v>
      </c>
      <c r="J1532" s="140">
        <v>0.3158823111173274</v>
      </c>
      <c r="K1532" s="140">
        <v>0.18</v>
      </c>
      <c r="L1532" s="140">
        <v>154.38947030978611</v>
      </c>
      <c r="M1532" s="140">
        <v>76.87442505051591</v>
      </c>
      <c r="N1532" s="140">
        <v>2.4439777400576936</v>
      </c>
      <c r="Z1532" s="140">
        <v>0.16141329094802129</v>
      </c>
      <c r="AL1532" s="140">
        <v>1482.3813765511295</v>
      </c>
      <c r="AM1532" s="140">
        <v>0.22091627474490402</v>
      </c>
      <c r="AN1532" s="140">
        <v>0.2823884951739164</v>
      </c>
      <c r="AO1532" s="140">
        <v>318.00736569247988</v>
      </c>
      <c r="AP1532" s="140">
        <v>260.39250652228208</v>
      </c>
      <c r="AQ1532" t="s">
        <v>384</v>
      </c>
      <c r="AR1532">
        <f t="shared" si="90"/>
        <v>9.762677251918257</v>
      </c>
      <c r="AS1532">
        <f t="shared" si="91"/>
        <v>2.6643645582431001</v>
      </c>
      <c r="AT1532" s="140">
        <v>0.2</v>
      </c>
      <c r="AU1532">
        <v>0</v>
      </c>
      <c r="AV1532">
        <v>0.3</v>
      </c>
      <c r="AW1532" s="140">
        <v>3</v>
      </c>
      <c r="AX1532" s="140">
        <v>0.23960711055557421</v>
      </c>
      <c r="AY1532">
        <v>0.18</v>
      </c>
      <c r="AZ1532" s="209">
        <v>260.39250652228208</v>
      </c>
      <c r="BA1532" s="140">
        <v>0.23960711055557421</v>
      </c>
      <c r="BB1532" s="253">
        <v>66.172848887078501</v>
      </c>
      <c r="BC1532" s="245">
        <v>236.52917191127796</v>
      </c>
      <c r="BD1532" s="210">
        <v>129137.22475842734</v>
      </c>
      <c r="BE1532" s="245">
        <v>80.376062051392395</v>
      </c>
      <c r="BF1532" s="140">
        <v>516134.14052388782</v>
      </c>
      <c r="BG1532" t="s">
        <v>387</v>
      </c>
      <c r="BH1532" s="140">
        <v>7.4185753450544806E-6</v>
      </c>
      <c r="BI1532" s="140">
        <v>2491372.2475842731</v>
      </c>
      <c r="BJ1532">
        <f t="shared" si="87"/>
        <v>0.20716861602048856</v>
      </c>
    </row>
    <row r="1533" spans="1:62" x14ac:dyDescent="0.3">
      <c r="A1533">
        <v>-0.1</v>
      </c>
      <c r="B1533" s="146">
        <v>1000</v>
      </c>
      <c r="C1533" s="146">
        <v>25</v>
      </c>
      <c r="D1533" s="146">
        <v>200</v>
      </c>
      <c r="E1533" s="252">
        <v>14.061607877456478</v>
      </c>
      <c r="F1533" s="146">
        <v>7.5377774880953723</v>
      </c>
      <c r="G1533" s="146">
        <v>18.590129450084717</v>
      </c>
      <c r="H1533" s="146">
        <v>11.89806167052858</v>
      </c>
      <c r="I1533" s="146"/>
      <c r="J1533" s="146">
        <v>0.36920770981025652</v>
      </c>
      <c r="K1533" s="146">
        <v>0.18</v>
      </c>
      <c r="L1533" s="146">
        <v>121.63203295204227</v>
      </c>
      <c r="M1533" s="146">
        <v>60.563667859938064</v>
      </c>
      <c r="N1533" s="146">
        <v>1.2093921966557364</v>
      </c>
      <c r="O1533" s="146"/>
      <c r="P1533" s="146"/>
      <c r="Q1533" s="146"/>
      <c r="R1533" s="146"/>
      <c r="S1533" s="146"/>
      <c r="T1533" s="146"/>
      <c r="U1533" s="146"/>
      <c r="V1533" s="146"/>
      <c r="W1533" s="146"/>
      <c r="X1533" s="146"/>
      <c r="Y1533" s="146"/>
      <c r="Z1533" s="146">
        <v>0.10164615297392456</v>
      </c>
      <c r="AA1533" s="146"/>
      <c r="AB1533" s="146"/>
      <c r="AC1533" s="146"/>
      <c r="AD1533" s="146"/>
      <c r="AE1533" s="146"/>
      <c r="AF1533" s="146"/>
      <c r="AG1533" s="146"/>
      <c r="AH1533" s="146"/>
      <c r="AI1533" s="146"/>
      <c r="AJ1533" s="146"/>
      <c r="AK1533" s="146"/>
      <c r="AL1533" s="146">
        <v>717.03022638652976</v>
      </c>
      <c r="AM1533" s="146">
        <v>0.40547202795626697</v>
      </c>
      <c r="AN1533" s="146">
        <v>0.26694739658694994</v>
      </c>
      <c r="AO1533" s="146">
        <v>147.3244239979829</v>
      </c>
      <c r="AP1533" s="146">
        <v>112.33412805866222</v>
      </c>
      <c r="AQ1533" t="s">
        <v>384</v>
      </c>
      <c r="AR1533">
        <f t="shared" si="90"/>
        <v>9.762677251918257</v>
      </c>
      <c r="AS1533">
        <f t="shared" si="91"/>
        <v>2.6643645582431001</v>
      </c>
      <c r="AT1533">
        <v>0.2</v>
      </c>
      <c r="AU1533">
        <v>0</v>
      </c>
      <c r="AV1533">
        <v>0.3</v>
      </c>
      <c r="AW1533" s="146">
        <v>3</v>
      </c>
      <c r="AX1533" s="146">
        <v>0.23373765039566213</v>
      </c>
      <c r="AY1533">
        <v>0.18</v>
      </c>
      <c r="AZ1533" s="209">
        <v>112.33412805866222</v>
      </c>
      <c r="BA1533">
        <v>0.23373765039566213</v>
      </c>
      <c r="BB1533" s="249">
        <v>67.748026703603742</v>
      </c>
      <c r="BC1533" s="243">
        <v>222.94656715859406</v>
      </c>
      <c r="BD1533" s="209">
        <v>123769.56184100975</v>
      </c>
      <c r="BE1533" s="243">
        <v>80.906564273627609</v>
      </c>
      <c r="BF1533">
        <v>272168.14913717844</v>
      </c>
      <c r="BG1533" t="s">
        <v>388</v>
      </c>
      <c r="BH1533">
        <v>4.9421758692829542E-6</v>
      </c>
      <c r="BI1533">
        <v>2437695.6184100974</v>
      </c>
      <c r="BJ1533">
        <f t="shared" si="87"/>
        <v>0.11164976754345184</v>
      </c>
    </row>
    <row r="1534" spans="1:62" x14ac:dyDescent="0.3">
      <c r="A1534">
        <v>-0.1</v>
      </c>
      <c r="B1534" s="146">
        <v>1000</v>
      </c>
      <c r="C1534" s="146">
        <v>25</v>
      </c>
      <c r="D1534" s="146">
        <v>300</v>
      </c>
      <c r="E1534" s="252">
        <v>16.452145120040299</v>
      </c>
      <c r="F1534" s="146">
        <v>5.4659720303320256</v>
      </c>
      <c r="G1534" s="146">
        <v>19.886783811097743</v>
      </c>
      <c r="H1534" s="146">
        <v>11.6210052738305</v>
      </c>
      <c r="I1534" s="146"/>
      <c r="J1534" s="146">
        <v>0.32935166955136741</v>
      </c>
      <c r="K1534" s="146">
        <v>0.18</v>
      </c>
      <c r="L1534" s="146">
        <v>118.23312303223801</v>
      </c>
      <c r="M1534" s="146">
        <v>58.87126458036748</v>
      </c>
      <c r="N1534" s="146">
        <v>1.7263653358408249</v>
      </c>
      <c r="O1534" s="146"/>
      <c r="P1534" s="146"/>
      <c r="Q1534" s="146"/>
      <c r="R1534" s="146"/>
      <c r="S1534" s="146"/>
      <c r="T1534" s="146"/>
      <c r="U1534" s="146"/>
      <c r="V1534" s="146"/>
      <c r="W1534" s="146"/>
      <c r="X1534" s="146"/>
      <c r="Y1534" s="146"/>
      <c r="Z1534" s="146">
        <v>0.14855559352756259</v>
      </c>
      <c r="AA1534" s="146"/>
      <c r="AB1534" s="146"/>
      <c r="AC1534" s="146"/>
      <c r="AD1534" s="146"/>
      <c r="AE1534" s="146"/>
      <c r="AF1534" s="146"/>
      <c r="AG1534" s="146"/>
      <c r="AH1534" s="146"/>
      <c r="AI1534" s="146"/>
      <c r="AJ1534" s="146"/>
      <c r="AK1534" s="146"/>
      <c r="AL1534" s="146">
        <v>1062.6924389423532</v>
      </c>
      <c r="AM1534" s="146">
        <v>0.27485450046888732</v>
      </c>
      <c r="AN1534" s="146">
        <v>0.276268086573914</v>
      </c>
      <c r="AO1534" s="146">
        <v>240.44862248090817</v>
      </c>
      <c r="AP1534" s="146">
        <v>199.50977102194119</v>
      </c>
      <c r="AQ1534" t="s">
        <v>384</v>
      </c>
      <c r="AR1534">
        <f t="shared" si="90"/>
        <v>9.762677251918257</v>
      </c>
      <c r="AS1534">
        <f t="shared" si="91"/>
        <v>2.6643645582431001</v>
      </c>
      <c r="AT1534">
        <v>0.2</v>
      </c>
      <c r="AU1534">
        <v>0</v>
      </c>
      <c r="AV1534">
        <v>0.3</v>
      </c>
      <c r="AW1534" s="146">
        <v>3</v>
      </c>
      <c r="AX1534" s="146">
        <v>0.23204794966811707</v>
      </c>
      <c r="AY1534">
        <v>0.18</v>
      </c>
      <c r="AZ1534" s="209">
        <v>199.50977102194119</v>
      </c>
      <c r="BA1534">
        <v>0.23204794966811707</v>
      </c>
      <c r="BB1534" s="249">
        <v>56.088808144724425</v>
      </c>
      <c r="BC1534" s="243">
        <v>212.69744122165994</v>
      </c>
      <c r="BD1534" s="209">
        <v>110460.93192825282</v>
      </c>
      <c r="BE1534" s="243">
        <v>67.963629134912154</v>
      </c>
      <c r="BF1534">
        <v>305960.92055576964</v>
      </c>
      <c r="BG1534" t="s">
        <v>388</v>
      </c>
      <c r="BH1534">
        <v>6.0474332650495935E-6</v>
      </c>
      <c r="BI1534">
        <v>2304609.319282528</v>
      </c>
      <c r="BJ1534">
        <f t="shared" si="87"/>
        <v>0.13276042841440108</v>
      </c>
    </row>
    <row r="1535" spans="1:62" x14ac:dyDescent="0.3">
      <c r="A1535">
        <v>-0.1</v>
      </c>
      <c r="B1535" s="146">
        <v>1000</v>
      </c>
      <c r="C1535" s="146">
        <v>25</v>
      </c>
      <c r="D1535" s="146">
        <v>400</v>
      </c>
      <c r="E1535" s="252">
        <v>18.162967028897302</v>
      </c>
      <c r="F1535" s="146">
        <v>4.4299831607136211</v>
      </c>
      <c r="G1535" s="146">
        <v>21.054781113774553</v>
      </c>
      <c r="H1535" s="146">
        <v>11.419096463647888</v>
      </c>
      <c r="I1535" s="146"/>
      <c r="J1535" s="146">
        <v>0.30635327539917817</v>
      </c>
      <c r="K1535" s="146">
        <v>0.18</v>
      </c>
      <c r="L1535" s="146">
        <v>115.98196566723362</v>
      </c>
      <c r="M1535" s="146">
        <v>57.750356348830017</v>
      </c>
      <c r="N1535" s="146">
        <v>2.1276635147280381</v>
      </c>
      <c r="O1535" s="146"/>
      <c r="P1535" s="146"/>
      <c r="Q1535" s="146"/>
      <c r="R1535" s="146"/>
      <c r="S1535" s="146"/>
      <c r="T1535" s="146"/>
      <c r="U1535" s="146"/>
      <c r="V1535" s="146"/>
      <c r="W1535" s="146"/>
      <c r="X1535" s="146"/>
      <c r="Y1535" s="146"/>
      <c r="Z1535" s="146">
        <v>0.18632503206373172</v>
      </c>
      <c r="AA1535" s="146"/>
      <c r="AB1535" s="146"/>
      <c r="AC1535" s="146"/>
      <c r="AD1535" s="146"/>
      <c r="AE1535" s="146"/>
      <c r="AF1535" s="146"/>
      <c r="AG1535" s="146"/>
      <c r="AH1535" s="146"/>
      <c r="AI1535" s="146"/>
      <c r="AJ1535" s="146"/>
      <c r="AK1535" s="146"/>
      <c r="AL1535" s="146">
        <v>1351.818059036224</v>
      </c>
      <c r="AM1535" s="146">
        <v>0.21040271740537914</v>
      </c>
      <c r="AN1535" s="146">
        <v>0.27182842832873422</v>
      </c>
      <c r="AO1535" s="146">
        <v>333.18223873578074</v>
      </c>
      <c r="AP1535" s="146">
        <v>287.98630167220529</v>
      </c>
      <c r="AQ1535" t="s">
        <v>384</v>
      </c>
      <c r="AR1535">
        <f t="shared" si="90"/>
        <v>9.762677251918257</v>
      </c>
      <c r="AS1535">
        <f t="shared" si="91"/>
        <v>2.6643645582431001</v>
      </c>
      <c r="AT1535">
        <v>0.2</v>
      </c>
      <c r="AU1535">
        <v>0</v>
      </c>
      <c r="AV1535">
        <v>0.3</v>
      </c>
      <c r="AW1535" s="146">
        <v>3</v>
      </c>
      <c r="AX1535" s="146">
        <v>0.22932471341526092</v>
      </c>
      <c r="AY1535">
        <v>0.18</v>
      </c>
      <c r="AZ1535" s="209">
        <v>287.98630167220529</v>
      </c>
      <c r="BA1535">
        <v>0.22932471341526092</v>
      </c>
      <c r="BB1535" s="249">
        <v>50.631273102485146</v>
      </c>
      <c r="BC1535" s="243">
        <v>206.17007085808189</v>
      </c>
      <c r="BD1535" s="209">
        <v>105444.52663537081</v>
      </c>
      <c r="BE1535" s="243">
        <v>64.558930950094577</v>
      </c>
      <c r="BF1535">
        <v>334298.61435881222</v>
      </c>
      <c r="BG1535" t="s">
        <v>388</v>
      </c>
      <c r="BH1535">
        <v>6.7558681115672936E-6</v>
      </c>
      <c r="BI1535">
        <v>2254445.2663537082</v>
      </c>
      <c r="BJ1535">
        <f t="shared" si="87"/>
        <v>0.14828420070694362</v>
      </c>
    </row>
    <row r="1536" spans="1:62" x14ac:dyDescent="0.3">
      <c r="A1536">
        <v>-0.1</v>
      </c>
      <c r="B1536" s="146">
        <v>1000</v>
      </c>
      <c r="C1536" s="146">
        <v>25</v>
      </c>
      <c r="D1536" s="146">
        <v>500</v>
      </c>
      <c r="E1536" s="252">
        <v>19.244222733914345</v>
      </c>
      <c r="F1536" s="146">
        <v>3.6820237787274364</v>
      </c>
      <c r="G1536" s="146">
        <v>21.742217253862925</v>
      </c>
      <c r="H1536" s="146">
        <v>11.290138882114384</v>
      </c>
      <c r="I1536" s="146"/>
      <c r="J1536" s="146">
        <v>0.30441778900875871</v>
      </c>
      <c r="K1536" s="146">
        <v>0.18</v>
      </c>
      <c r="L1536" s="146">
        <v>114.5687910097148</v>
      </c>
      <c r="M1536" s="146">
        <v>57.046700917700313</v>
      </c>
      <c r="N1536" s="146">
        <v>2.3455970270113937</v>
      </c>
      <c r="O1536" s="146"/>
      <c r="P1536" s="146"/>
      <c r="Q1536" s="146"/>
      <c r="R1536" s="146"/>
      <c r="S1536" s="146"/>
      <c r="T1536" s="146"/>
      <c r="U1536" s="146"/>
      <c r="V1536" s="146"/>
      <c r="W1536" s="146"/>
      <c r="X1536" s="146"/>
      <c r="Y1536" s="146"/>
      <c r="Z1536" s="146">
        <v>0.20775625982132448</v>
      </c>
      <c r="AA1536" s="146"/>
      <c r="AB1536" s="146"/>
      <c r="AC1536" s="146"/>
      <c r="AD1536" s="146"/>
      <c r="AE1536" s="146"/>
      <c r="AF1536" s="146"/>
      <c r="AG1536" s="146"/>
      <c r="AH1536" s="146"/>
      <c r="AI1536" s="146"/>
      <c r="AJ1536" s="146"/>
      <c r="AK1536" s="146"/>
      <c r="AL1536" s="146">
        <v>1553.3690849990576</v>
      </c>
      <c r="AM1536" s="146">
        <v>0.16934904732741798</v>
      </c>
      <c r="AN1536" s="146">
        <v>0.26898843543614365</v>
      </c>
      <c r="AO1536" s="146">
        <v>428.45706283725042</v>
      </c>
      <c r="AP1536" s="146">
        <v>380.57057149335901</v>
      </c>
      <c r="AQ1536" t="s">
        <v>384</v>
      </c>
      <c r="AR1536">
        <f t="shared" si="90"/>
        <v>9.762677251918257</v>
      </c>
      <c r="AS1536">
        <f t="shared" si="91"/>
        <v>2.6643645582431001</v>
      </c>
      <c r="AT1536">
        <v>0.2</v>
      </c>
      <c r="AU1536">
        <v>0</v>
      </c>
      <c r="AV1536">
        <v>0.3</v>
      </c>
      <c r="AW1536" s="146">
        <v>3</v>
      </c>
      <c r="AX1536" s="146">
        <v>0.235953238302021</v>
      </c>
      <c r="AY1536">
        <v>0.18</v>
      </c>
      <c r="AZ1536" s="209">
        <v>380.57057149335901</v>
      </c>
      <c r="BA1536">
        <v>0.235953238302021</v>
      </c>
      <c r="BB1536" s="249">
        <v>46.363306284909257</v>
      </c>
      <c r="BC1536" s="243">
        <v>202.17195865360301</v>
      </c>
      <c r="BD1536" s="209">
        <v>101140.63490501</v>
      </c>
      <c r="BE1536" s="243">
        <v>60.621093580342112</v>
      </c>
      <c r="BF1536">
        <v>348674.62978161621</v>
      </c>
      <c r="BG1536" t="s">
        <v>388</v>
      </c>
      <c r="BH1536">
        <v>7.2534782549693786E-6</v>
      </c>
      <c r="BI1536">
        <v>2211406.3490501</v>
      </c>
      <c r="BJ1536">
        <f t="shared" si="87"/>
        <v>0.15767099064872808</v>
      </c>
    </row>
    <row r="1537" spans="1:62" s="146" customFormat="1" x14ac:dyDescent="0.3">
      <c r="A1537">
        <v>-0.1</v>
      </c>
      <c r="B1537" s="146">
        <v>1000</v>
      </c>
      <c r="C1537" s="146">
        <v>25</v>
      </c>
      <c r="D1537" s="146">
        <v>600</v>
      </c>
      <c r="E1537" s="252">
        <v>20.012272253393533</v>
      </c>
      <c r="F1537" s="146">
        <v>3.1455161190977887</v>
      </c>
      <c r="G1537" s="146">
        <v>22.228121727075454</v>
      </c>
      <c r="H1537" s="146">
        <v>11.203225278025695</v>
      </c>
      <c r="J1537" s="146">
        <v>0.30305540316539498</v>
      </c>
      <c r="K1537" s="146">
        <v>0.18</v>
      </c>
      <c r="L1537" s="146">
        <v>113.62436339600679</v>
      </c>
      <c r="M1537" s="146">
        <v>56.576446504235747</v>
      </c>
      <c r="N1537" s="146">
        <v>2.5334106479155523</v>
      </c>
      <c r="Z1537" s="146">
        <v>0.2261322596881678</v>
      </c>
      <c r="AL1537" s="146">
        <v>1741.9143130290352</v>
      </c>
      <c r="AM1537" s="146">
        <v>0.14151065743293656</v>
      </c>
      <c r="AN1537" s="146">
        <v>0.26685481282088658</v>
      </c>
      <c r="AO1537" s="146">
        <v>525.00689029421471</v>
      </c>
      <c r="AP1537" s="146">
        <v>475.20898907125968</v>
      </c>
      <c r="AQ1537" t="s">
        <v>384</v>
      </c>
      <c r="AR1537">
        <f t="shared" si="90"/>
        <v>9.762677251918257</v>
      </c>
      <c r="AS1537">
        <f t="shared" si="91"/>
        <v>2.6643645582431001</v>
      </c>
      <c r="AT1537">
        <v>0.2</v>
      </c>
      <c r="AU1537">
        <v>0</v>
      </c>
      <c r="AV1537">
        <v>0.3</v>
      </c>
      <c r="AW1537" s="146">
        <v>3</v>
      </c>
      <c r="AX1537" s="146">
        <v>0.24116782817649882</v>
      </c>
      <c r="AY1537">
        <v>0.18</v>
      </c>
      <c r="AZ1537" s="209">
        <v>475.20898907125968</v>
      </c>
      <c r="BA1537" s="146">
        <v>0.24116782817649882</v>
      </c>
      <c r="BB1537" s="252">
        <v>43.282484664874687</v>
      </c>
      <c r="BC1537" s="244">
        <v>199.54103648304854</v>
      </c>
      <c r="BD1537" s="229">
        <v>98098.885482040772</v>
      </c>
      <c r="BE1537" s="244">
        <v>57.695529170161294</v>
      </c>
      <c r="BF1537" s="146">
        <v>358106.11259085388</v>
      </c>
      <c r="BG1537" t="s">
        <v>388</v>
      </c>
      <c r="BH1537" s="146">
        <v>7.6158384472523136E-6</v>
      </c>
      <c r="BI1537" s="146">
        <v>2180988.8548204079</v>
      </c>
      <c r="BJ1537">
        <f t="shared" si="87"/>
        <v>0.16419437990220354</v>
      </c>
    </row>
    <row r="1538" spans="1:62" s="140" customFormat="1" x14ac:dyDescent="0.3">
      <c r="A1538">
        <v>-0.1</v>
      </c>
      <c r="B1538" s="146">
        <v>1000</v>
      </c>
      <c r="C1538" s="146">
        <v>25</v>
      </c>
      <c r="D1538" s="146">
        <v>700</v>
      </c>
      <c r="E1538" s="252">
        <v>20.578116967936253</v>
      </c>
      <c r="F1538" s="146">
        <v>2.7452014828393931</v>
      </c>
      <c r="G1538" s="146">
        <v>22.583394891555052</v>
      </c>
      <c r="H1538" s="146">
        <v>11.139819941555363</v>
      </c>
      <c r="I1538" s="146"/>
      <c r="J1538" s="146">
        <v>0.30266965199482349</v>
      </c>
      <c r="K1538" s="146">
        <v>0.18</v>
      </c>
      <c r="L1538" s="146">
        <v>112.93990968212601</v>
      </c>
      <c r="M1538" s="146">
        <v>56.235639675747393</v>
      </c>
      <c r="N1538" s="146">
        <v>2.6822001105652955</v>
      </c>
      <c r="O1538" s="146"/>
      <c r="P1538" s="146"/>
      <c r="Q1538" s="146"/>
      <c r="R1538" s="146"/>
      <c r="S1538" s="146"/>
      <c r="T1538" s="146"/>
      <c r="U1538" s="146"/>
      <c r="V1538" s="146"/>
      <c r="W1538" s="146"/>
      <c r="X1538" s="146"/>
      <c r="Y1538" s="146"/>
      <c r="Z1538" s="146">
        <v>0.240775894461253</v>
      </c>
      <c r="AA1538" s="146"/>
      <c r="AB1538" s="146"/>
      <c r="AC1538" s="146"/>
      <c r="AD1538" s="146"/>
      <c r="AE1538" s="146"/>
      <c r="AF1538" s="146"/>
      <c r="AG1538" s="146"/>
      <c r="AH1538" s="146"/>
      <c r="AI1538" s="146"/>
      <c r="AJ1538" s="146"/>
      <c r="AK1538" s="146"/>
      <c r="AL1538" s="146">
        <v>1912.3071659645857</v>
      </c>
      <c r="AM1538" s="146">
        <v>0.12155840590052062</v>
      </c>
      <c r="AN1538" s="146">
        <v>0.26522566834903621</v>
      </c>
      <c r="AO1538" s="146">
        <v>622.41280002787846</v>
      </c>
      <c r="AP1538" s="146">
        <v>571.20711068193759</v>
      </c>
      <c r="AQ1538" t="s">
        <v>384</v>
      </c>
      <c r="AR1538">
        <f t="shared" si="90"/>
        <v>9.762677251918257</v>
      </c>
      <c r="AS1538">
        <f t="shared" si="91"/>
        <v>2.6643645582431001</v>
      </c>
      <c r="AT1538">
        <v>0.2</v>
      </c>
      <c r="AU1538">
        <v>0</v>
      </c>
      <c r="AV1538">
        <v>0.3</v>
      </c>
      <c r="AW1538" s="146">
        <v>3</v>
      </c>
      <c r="AX1538" s="146">
        <v>0.24573149933755722</v>
      </c>
      <c r="AY1538">
        <v>0.18</v>
      </c>
      <c r="AZ1538" s="209">
        <v>571.20711068193759</v>
      </c>
      <c r="BA1538" s="140">
        <v>0.24573149933755722</v>
      </c>
      <c r="BB1538" s="253">
        <v>40.965793648054692</v>
      </c>
      <c r="BC1538" s="245">
        <v>197.65432305745455</v>
      </c>
      <c r="BD1538" s="210">
        <v>95805.391411083459</v>
      </c>
      <c r="BE1538" s="245">
        <v>55.416549822186553</v>
      </c>
      <c r="BF1538" s="140">
        <v>364455.57802407164</v>
      </c>
      <c r="BG1538" t="s">
        <v>388</v>
      </c>
      <c r="BH1538" s="140">
        <v>7.8903710221203185E-6</v>
      </c>
      <c r="BI1538" s="140">
        <v>2158053.9141108347</v>
      </c>
      <c r="BJ1538">
        <f t="shared" si="87"/>
        <v>0.16888159078928075</v>
      </c>
    </row>
    <row r="1539" spans="1:62" x14ac:dyDescent="0.3">
      <c r="A1539">
        <v>-0.1</v>
      </c>
      <c r="B1539" s="146">
        <v>1000</v>
      </c>
      <c r="C1539" s="146">
        <v>25</v>
      </c>
      <c r="D1539" s="146">
        <v>800</v>
      </c>
      <c r="E1539" s="252">
        <v>21.011954816034816</v>
      </c>
      <c r="F1539" s="146">
        <v>2.4362118204306351</v>
      </c>
      <c r="G1539" s="146">
        <v>22.854707050868996</v>
      </c>
      <c r="H1539" s="146">
        <v>11.091688401187158</v>
      </c>
      <c r="I1539" s="146"/>
      <c r="J1539" s="146">
        <v>0.30245676435904301</v>
      </c>
      <c r="K1539" s="146">
        <v>0.18</v>
      </c>
      <c r="L1539" s="146">
        <v>112.42263687842492</v>
      </c>
      <c r="M1539" s="146">
        <v>55.978076453987519</v>
      </c>
      <c r="N1539" s="146">
        <v>2.8055326361297279</v>
      </c>
      <c r="O1539" s="146"/>
      <c r="P1539" s="146"/>
      <c r="Q1539" s="146"/>
      <c r="R1539" s="146"/>
      <c r="S1539" s="146"/>
      <c r="T1539" s="146"/>
      <c r="U1539" s="146"/>
      <c r="V1539" s="146"/>
      <c r="W1539" s="146"/>
      <c r="X1539" s="146"/>
      <c r="Y1539" s="146"/>
      <c r="Z1539" s="146">
        <v>0.25294008762718651</v>
      </c>
      <c r="AA1539" s="146"/>
      <c r="AB1539" s="146"/>
      <c r="AC1539" s="146"/>
      <c r="AD1539" s="146"/>
      <c r="AE1539" s="146"/>
      <c r="AF1539" s="146"/>
      <c r="AG1539" s="146"/>
      <c r="AH1539" s="146"/>
      <c r="AI1539" s="146"/>
      <c r="AJ1539" s="146"/>
      <c r="AK1539" s="146"/>
      <c r="AL1539" s="146">
        <v>2070.8704243558145</v>
      </c>
      <c r="AM1539" s="146">
        <v>0.10659562666929935</v>
      </c>
      <c r="AN1539" s="146">
        <v>0.26393410477524759</v>
      </c>
      <c r="AO1539" s="146">
        <v>720.38939100376024</v>
      </c>
      <c r="AP1539" s="146">
        <v>668.10410629095065</v>
      </c>
      <c r="AQ1539" t="s">
        <v>384</v>
      </c>
      <c r="AR1539">
        <f t="shared" si="90"/>
        <v>9.762677251918257</v>
      </c>
      <c r="AS1539">
        <f t="shared" si="91"/>
        <v>2.6643645582431001</v>
      </c>
      <c r="AT1539">
        <v>0.2</v>
      </c>
      <c r="AU1539">
        <v>0</v>
      </c>
      <c r="AV1539">
        <v>0.3</v>
      </c>
      <c r="AW1539" s="146">
        <v>3</v>
      </c>
      <c r="AX1539" s="146">
        <v>0.2495130610457727</v>
      </c>
      <c r="AY1539">
        <v>0.18</v>
      </c>
      <c r="AZ1539" s="209">
        <v>668.10410629095065</v>
      </c>
      <c r="BA1539">
        <v>0.2495130610457727</v>
      </c>
      <c r="BB1539" s="249">
        <v>39.170563929635321</v>
      </c>
      <c r="BC1539" s="243">
        <v>196.23938431755511</v>
      </c>
      <c r="BD1539" s="209">
        <v>94032.114784157675</v>
      </c>
      <c r="BE1539" s="243">
        <v>53.619145529989886</v>
      </c>
      <c r="BF1539">
        <v>368995.58444189682</v>
      </c>
      <c r="BG1539" t="s">
        <v>388</v>
      </c>
      <c r="BH1539">
        <v>8.1049527421213419E-6</v>
      </c>
      <c r="BI1539">
        <v>2140321.1478415765</v>
      </c>
      <c r="BJ1539">
        <f t="shared" si="87"/>
        <v>0.17240197099113527</v>
      </c>
    </row>
    <row r="1540" spans="1:62" x14ac:dyDescent="0.3">
      <c r="A1540">
        <v>-0.1</v>
      </c>
      <c r="B1540" s="146">
        <v>1000</v>
      </c>
      <c r="C1540" s="146">
        <v>25</v>
      </c>
      <c r="D1540" s="146">
        <v>900</v>
      </c>
      <c r="E1540" s="252">
        <v>21.355878101207125</v>
      </c>
      <c r="F1540" s="146">
        <v>2.1909262327164143</v>
      </c>
      <c r="G1540" s="146">
        <v>23.069656246300909</v>
      </c>
      <c r="H1540" s="146">
        <v>11.054141651339776</v>
      </c>
      <c r="I1540" s="146"/>
      <c r="J1540" s="146">
        <v>0.30215958373035573</v>
      </c>
      <c r="K1540" s="146">
        <v>0.18</v>
      </c>
      <c r="L1540" s="146">
        <v>112.02029703003467</v>
      </c>
      <c r="M1540" s="146">
        <v>55.777741259768312</v>
      </c>
      <c r="N1540" s="146">
        <v>2.9111329951803135</v>
      </c>
      <c r="O1540" s="146"/>
      <c r="P1540" s="146"/>
      <c r="Q1540" s="146"/>
      <c r="R1540" s="146"/>
      <c r="S1540" s="146"/>
      <c r="T1540" s="146"/>
      <c r="U1540" s="146"/>
      <c r="V1540" s="146"/>
      <c r="W1540" s="146"/>
      <c r="X1540" s="146"/>
      <c r="Y1540" s="146"/>
      <c r="Z1540" s="146">
        <v>0.26335224271596702</v>
      </c>
      <c r="AA1540" s="146"/>
      <c r="AB1540" s="146"/>
      <c r="AC1540" s="146"/>
      <c r="AD1540" s="146"/>
      <c r="AE1540" s="146"/>
      <c r="AF1540" s="146"/>
      <c r="AG1540" s="146"/>
      <c r="AH1540" s="146"/>
      <c r="AI1540" s="146"/>
      <c r="AJ1540" s="146"/>
      <c r="AK1540" s="146"/>
      <c r="AL1540" s="146">
        <v>2221.1841243298377</v>
      </c>
      <c r="AM1540" s="146">
        <v>9.4970042436922614E-2</v>
      </c>
      <c r="AN1540" s="146">
        <v>0.26286978905774239</v>
      </c>
      <c r="AO1540" s="146">
        <v>818.75872013380717</v>
      </c>
      <c r="AP1540" s="146">
        <v>765.6176267396811</v>
      </c>
      <c r="AQ1540" t="s">
        <v>384</v>
      </c>
      <c r="AR1540">
        <f t="shared" si="90"/>
        <v>9.762677251918257</v>
      </c>
      <c r="AS1540">
        <f t="shared" si="91"/>
        <v>2.6643645582431001</v>
      </c>
      <c r="AT1540">
        <v>0.2</v>
      </c>
      <c r="AU1540">
        <v>0</v>
      </c>
      <c r="AV1540">
        <v>0.3</v>
      </c>
      <c r="AW1540" s="146">
        <v>3</v>
      </c>
      <c r="AX1540" s="146">
        <v>0.25257679495703206</v>
      </c>
      <c r="AY1540">
        <v>0.18</v>
      </c>
      <c r="AZ1540" s="209">
        <v>765.6176267396811</v>
      </c>
      <c r="BA1540">
        <v>0.25257679495703206</v>
      </c>
      <c r="BB1540" s="249">
        <v>37.743326652074124</v>
      </c>
      <c r="BC1540" s="243">
        <v>195.14524934010564</v>
      </c>
      <c r="BD1540" s="209">
        <v>92632.239340469459</v>
      </c>
      <c r="BE1540" s="243">
        <v>52.180762154124878</v>
      </c>
      <c r="BF1540">
        <v>372425.12724268867</v>
      </c>
      <c r="BG1540" t="s">
        <v>388</v>
      </c>
      <c r="BH1540">
        <v>8.2770788298795193E-6</v>
      </c>
      <c r="BI1540">
        <v>2126322.3934046947</v>
      </c>
      <c r="BJ1540">
        <f t="shared" ref="BJ1540:BJ1602" si="92">BF1540/BI1540</f>
        <v>0.17514988714686711</v>
      </c>
    </row>
    <row r="1541" spans="1:62" x14ac:dyDescent="0.3">
      <c r="A1541">
        <v>-0.1</v>
      </c>
      <c r="B1541" s="146">
        <v>1000</v>
      </c>
      <c r="C1541" s="146">
        <v>25</v>
      </c>
      <c r="D1541" s="146">
        <v>1000</v>
      </c>
      <c r="E1541" s="252">
        <v>21.633544239294757</v>
      </c>
      <c r="F1541" s="146">
        <v>1.9913337558748916</v>
      </c>
      <c r="G1541" s="146">
        <v>23.242354596554982</v>
      </c>
      <c r="H1541" s="146">
        <v>11.023673305796159</v>
      </c>
      <c r="I1541" s="146"/>
      <c r="J1541" s="146">
        <v>0.30176498306863608</v>
      </c>
      <c r="K1541" s="146">
        <v>0.18</v>
      </c>
      <c r="L1541" s="146">
        <v>111.69477975825826</v>
      </c>
      <c r="M1541" s="146">
        <v>55.615657970916985</v>
      </c>
      <c r="N1541" s="146">
        <v>3.0030216938614362</v>
      </c>
      <c r="O1541" s="146"/>
      <c r="P1541" s="146"/>
      <c r="Q1541" s="146"/>
      <c r="R1541" s="146"/>
      <c r="S1541" s="146"/>
      <c r="T1541" s="146"/>
      <c r="U1541" s="146"/>
      <c r="V1541" s="146"/>
      <c r="W1541" s="146"/>
      <c r="X1541" s="146"/>
      <c r="Y1541" s="146"/>
      <c r="Z1541" s="146">
        <v>0.27241570124202352</v>
      </c>
      <c r="AA1541" s="146"/>
      <c r="AB1541" s="146"/>
      <c r="AC1541" s="146"/>
      <c r="AD1541" s="146"/>
      <c r="AE1541" s="146"/>
      <c r="AF1541" s="146"/>
      <c r="AG1541" s="146"/>
      <c r="AH1541" s="146"/>
      <c r="AI1541" s="146"/>
      <c r="AJ1541" s="146"/>
      <c r="AK1541" s="146"/>
      <c r="AL1541" s="146">
        <v>2365.1107894205397</v>
      </c>
      <c r="AM1541" s="146">
        <v>8.5676937231223993E-2</v>
      </c>
      <c r="AN1541" s="146">
        <v>0.26200853887656245</v>
      </c>
      <c r="AO1541" s="146">
        <v>917.4319114481732</v>
      </c>
      <c r="AP1541" s="146">
        <v>863.59994248982377</v>
      </c>
      <c r="AQ1541" t="s">
        <v>384</v>
      </c>
      <c r="AR1541">
        <f t="shared" si="90"/>
        <v>9.762677251918257</v>
      </c>
      <c r="AS1541">
        <f t="shared" si="91"/>
        <v>2.6643645582431001</v>
      </c>
      <c r="AT1541">
        <v>0.2</v>
      </c>
      <c r="AU1541">
        <v>0</v>
      </c>
      <c r="AV1541">
        <v>0.3</v>
      </c>
      <c r="AW1541" s="146">
        <v>3</v>
      </c>
      <c r="AX1541" s="146">
        <v>0.2550742237028375</v>
      </c>
      <c r="AY1541">
        <v>0.18</v>
      </c>
      <c r="AZ1541" s="209">
        <v>863.59994248982377</v>
      </c>
      <c r="BA1541">
        <v>0.2550742237028375</v>
      </c>
      <c r="BB1541" s="249">
        <v>36.578892785587797</v>
      </c>
      <c r="BC1541" s="243">
        <v>194.26409331136267</v>
      </c>
      <c r="BD1541" s="209">
        <v>91488.011290026392</v>
      </c>
      <c r="BE1541" s="243">
        <v>50.993298417748719</v>
      </c>
      <c r="BF1541">
        <v>375031.07848616771</v>
      </c>
      <c r="BG1541" t="s">
        <v>388</v>
      </c>
      <c r="BH1541">
        <v>8.4181908054530582E-6</v>
      </c>
      <c r="BI1541">
        <v>2114880.1129002636</v>
      </c>
      <c r="BJ1541">
        <f t="shared" si="92"/>
        <v>0.17732971065289596</v>
      </c>
    </row>
    <row r="1542" spans="1:62" s="140" customFormat="1" x14ac:dyDescent="0.3">
      <c r="A1542" s="140">
        <v>-0.1</v>
      </c>
      <c r="B1542" s="140">
        <v>1000</v>
      </c>
      <c r="C1542" s="140">
        <v>25</v>
      </c>
      <c r="D1542" s="140">
        <v>1100</v>
      </c>
      <c r="E1542" s="253">
        <v>21.863962673416815</v>
      </c>
      <c r="F1542" s="140">
        <v>1.825941402327578</v>
      </c>
      <c r="G1542" s="140">
        <v>23.38582898828836</v>
      </c>
      <c r="H1542" s="140">
        <v>10.998784791155312</v>
      </c>
      <c r="J1542" s="140">
        <v>0.30122579852725223</v>
      </c>
      <c r="K1542" s="140">
        <v>0.18</v>
      </c>
      <c r="L1542" s="140">
        <v>111.42930160891072</v>
      </c>
      <c r="M1542" s="140">
        <v>55.483469680785433</v>
      </c>
      <c r="N1542" s="140">
        <v>3.0847569090978286</v>
      </c>
      <c r="Z1542" s="140">
        <v>0.28046343006715069</v>
      </c>
      <c r="AL1542" s="140">
        <v>2504.2895396383205</v>
      </c>
      <c r="AM1542" s="140">
        <v>7.8078968389019301E-2</v>
      </c>
      <c r="AN1542" s="140">
        <v>0.26127003440177188</v>
      </c>
      <c r="AO1542" s="140">
        <v>1016.3166081273783</v>
      </c>
      <c r="AP1542" s="140">
        <v>961.91108508940567</v>
      </c>
      <c r="AQ1542" t="s">
        <v>384</v>
      </c>
      <c r="AR1542">
        <f t="shared" si="90"/>
        <v>9.762677251918257</v>
      </c>
      <c r="AS1542">
        <f t="shared" si="91"/>
        <v>2.6643645582431001</v>
      </c>
      <c r="AT1542" s="140">
        <v>0.2</v>
      </c>
      <c r="AU1542">
        <v>0</v>
      </c>
      <c r="AV1542">
        <v>0.3</v>
      </c>
      <c r="AW1542" s="140">
        <v>3</v>
      </c>
      <c r="AX1542" s="140">
        <v>0.25707665869716556</v>
      </c>
      <c r="AY1542">
        <v>0.18</v>
      </c>
      <c r="AZ1542" s="209">
        <v>961.91108508940567</v>
      </c>
      <c r="BA1542" s="140">
        <v>0.25707665869716556</v>
      </c>
      <c r="BB1542" s="253">
        <v>35.614066178374799</v>
      </c>
      <c r="BC1542" s="245">
        <v>193.54812847686532</v>
      </c>
      <c r="BD1542" s="210">
        <v>90547.839249836994</v>
      </c>
      <c r="BE1542" s="245">
        <v>50.010117006237259</v>
      </c>
      <c r="BF1542" s="140">
        <v>377134.69146585988</v>
      </c>
      <c r="BG1542" t="s">
        <v>388</v>
      </c>
      <c r="BH1542" s="140">
        <v>8.5359430368564703E-6</v>
      </c>
      <c r="BI1542" s="140">
        <v>2105478.3924983698</v>
      </c>
      <c r="BJ1542">
        <f t="shared" si="92"/>
        <v>0.17912066578766939</v>
      </c>
    </row>
    <row r="1543" spans="1:62" x14ac:dyDescent="0.3">
      <c r="A1543">
        <v>-0.1</v>
      </c>
      <c r="B1543" s="146">
        <v>1000</v>
      </c>
      <c r="C1543" s="146">
        <v>25</v>
      </c>
      <c r="D1543" s="146">
        <v>400</v>
      </c>
      <c r="E1543" s="252">
        <v>18.163631207410376</v>
      </c>
      <c r="F1543" s="146">
        <v>4.4302679192462513</v>
      </c>
      <c r="G1543" s="146">
        <v>21.055624613944772</v>
      </c>
      <c r="H1543" s="146">
        <v>11.419383840871596</v>
      </c>
      <c r="I1543" s="146"/>
      <c r="J1543" s="146">
        <v>0.30634676687599144</v>
      </c>
      <c r="K1543" s="146">
        <v>0.18</v>
      </c>
      <c r="L1543" s="146">
        <v>115.98486083007874</v>
      </c>
      <c r="M1543" s="146">
        <v>57.75179792369066</v>
      </c>
      <c r="N1543" s="146">
        <v>2.1276736553942008</v>
      </c>
      <c r="O1543" s="146"/>
      <c r="P1543" s="146"/>
      <c r="Q1543" s="146"/>
      <c r="R1543" s="146"/>
      <c r="S1543" s="146"/>
      <c r="T1543" s="146"/>
      <c r="U1543" s="146"/>
      <c r="V1543" s="146"/>
      <c r="W1543" s="146"/>
      <c r="X1543" s="146"/>
      <c r="Y1543" s="146"/>
      <c r="Z1543" s="146">
        <v>0.18632123107894444</v>
      </c>
      <c r="AA1543" s="146"/>
      <c r="AB1543" s="146"/>
      <c r="AC1543" s="146"/>
      <c r="AD1543" s="146"/>
      <c r="AE1543" s="146"/>
      <c r="AF1543" s="146"/>
      <c r="AG1543" s="146"/>
      <c r="AH1543" s="146"/>
      <c r="AI1543" s="146"/>
      <c r="AJ1543" s="146"/>
      <c r="AK1543" s="146"/>
      <c r="AL1543" s="146">
        <v>1351.8166771340263</v>
      </c>
      <c r="AM1543" s="146">
        <v>0.21040781266171332</v>
      </c>
      <c r="AN1543" s="146">
        <v>0.27181906258768479</v>
      </c>
      <c r="AO1543" s="146">
        <v>333.17749301872067</v>
      </c>
      <c r="AP1543" s="146">
        <v>287.97984943692677</v>
      </c>
      <c r="AQ1543" t="s">
        <v>384</v>
      </c>
      <c r="AR1543">
        <f t="shared" si="90"/>
        <v>9.762677251918257</v>
      </c>
      <c r="AS1543">
        <f t="shared" si="91"/>
        <v>2.6643645582431001</v>
      </c>
      <c r="AT1543">
        <v>0.2</v>
      </c>
      <c r="AU1543">
        <v>0</v>
      </c>
      <c r="AV1543">
        <v>0.3</v>
      </c>
      <c r="AW1543" s="146">
        <v>3</v>
      </c>
      <c r="AX1543" s="146">
        <v>0.22931892097573039</v>
      </c>
      <c r="AY1543">
        <v>0.18</v>
      </c>
      <c r="AZ1543" s="209">
        <v>287.97984943692677</v>
      </c>
      <c r="BA1543">
        <v>0.22931892097573039</v>
      </c>
      <c r="BB1543" s="249">
        <v>50.634020944771265</v>
      </c>
      <c r="BC1543" s="243">
        <v>206.17833892006075</v>
      </c>
      <c r="BD1543" s="209">
        <v>105452.3469280108</v>
      </c>
      <c r="BE1543" s="243">
        <v>64.565439844447809</v>
      </c>
      <c r="BF1543">
        <v>334329.49757467798</v>
      </c>
      <c r="BG1543" t="s">
        <v>389</v>
      </c>
      <c r="BH1543">
        <v>6.7558259992982222E-6</v>
      </c>
      <c r="BI1543">
        <v>2254523.4692801079</v>
      </c>
      <c r="BJ1543">
        <f t="shared" si="92"/>
        <v>0.14829275548922663</v>
      </c>
    </row>
    <row r="1544" spans="1:62" x14ac:dyDescent="0.3">
      <c r="A1544">
        <v>-0.1</v>
      </c>
      <c r="B1544" s="146">
        <v>1000</v>
      </c>
      <c r="C1544" s="146">
        <v>25</v>
      </c>
      <c r="D1544" s="146">
        <v>400</v>
      </c>
      <c r="E1544" s="252">
        <v>17.559682313938573</v>
      </c>
      <c r="F1544" s="146">
        <v>4.2386404832895295</v>
      </c>
      <c r="G1544" s="146">
        <v>20.320946156280804</v>
      </c>
      <c r="H1544" s="146">
        <v>11.031289467550142</v>
      </c>
      <c r="I1544" s="146"/>
      <c r="J1544" s="146">
        <v>0.30981777534090132</v>
      </c>
      <c r="K1544" s="146">
        <v>0.18</v>
      </c>
      <c r="L1544" s="146">
        <v>112.08118566270659</v>
      </c>
      <c r="M1544" s="146">
        <v>55.808059251140222</v>
      </c>
      <c r="N1544" s="146">
        <v>2.0609918909354086</v>
      </c>
      <c r="O1544" s="146"/>
      <c r="P1544" s="146"/>
      <c r="Q1544" s="146"/>
      <c r="R1544" s="146"/>
      <c r="S1544" s="146"/>
      <c r="T1544" s="146"/>
      <c r="U1544" s="146"/>
      <c r="V1544" s="146"/>
      <c r="W1544" s="146"/>
      <c r="X1544" s="146"/>
      <c r="Y1544" s="146"/>
      <c r="Z1544" s="146">
        <v>0.18683145764582307</v>
      </c>
      <c r="AA1544" s="146"/>
      <c r="AB1544" s="146"/>
      <c r="AC1544" s="146"/>
      <c r="AD1544" s="146"/>
      <c r="AE1544" s="146"/>
      <c r="AF1544" s="146"/>
      <c r="AG1544" s="146"/>
      <c r="AH1544" s="146"/>
      <c r="AI1544" s="146"/>
      <c r="AJ1544" s="146"/>
      <c r="AK1544" s="146"/>
      <c r="AL1544" s="146">
        <v>1322.5273125560254</v>
      </c>
      <c r="AM1544" s="146">
        <v>0.20858479967870242</v>
      </c>
      <c r="AN1544" s="146">
        <v>0.27320187813061558</v>
      </c>
      <c r="AO1544" s="146">
        <v>335.72634846403423</v>
      </c>
      <c r="AP1544" s="146">
        <v>292.0313670883217</v>
      </c>
      <c r="AQ1544" t="s">
        <v>384</v>
      </c>
      <c r="AR1544">
        <f t="shared" si="90"/>
        <v>9.762677251918257</v>
      </c>
      <c r="AS1544">
        <f t="shared" si="91"/>
        <v>2.6643645582431001</v>
      </c>
      <c r="AT1544">
        <v>0.2</v>
      </c>
      <c r="AU1544">
        <v>0</v>
      </c>
      <c r="AV1544">
        <v>0.3</v>
      </c>
      <c r="AW1544" s="146">
        <v>2.5</v>
      </c>
      <c r="AX1544" s="146">
        <v>0.23153908276162308</v>
      </c>
      <c r="AY1544">
        <v>0.18</v>
      </c>
      <c r="AZ1544" s="209">
        <v>292.0313670883217</v>
      </c>
      <c r="BA1544">
        <v>0.23153908276162308</v>
      </c>
      <c r="BB1544" s="249">
        <v>48.62490853871082</v>
      </c>
      <c r="BC1544" s="243">
        <v>195.31047376530469</v>
      </c>
      <c r="BD1544" s="209">
        <v>98896.191901370039</v>
      </c>
      <c r="BE1544" s="243">
        <v>61.466966513682344</v>
      </c>
      <c r="BF1544">
        <v>381474.13624321605</v>
      </c>
      <c r="BG1544" t="s">
        <v>389</v>
      </c>
      <c r="BH1544">
        <v>6.5621448955364498E-6</v>
      </c>
      <c r="BI1544">
        <v>2188961.9190137004</v>
      </c>
      <c r="BJ1544">
        <f t="shared" si="92"/>
        <v>0.1742717097678429</v>
      </c>
    </row>
    <row r="1545" spans="1:62" x14ac:dyDescent="0.3">
      <c r="A1545">
        <v>-0.1</v>
      </c>
      <c r="B1545" s="146">
        <v>1000</v>
      </c>
      <c r="C1545" s="146">
        <v>25</v>
      </c>
      <c r="D1545" s="146">
        <v>400</v>
      </c>
      <c r="E1545" s="252">
        <v>15.328921171167485</v>
      </c>
      <c r="F1545" s="146">
        <v>3.5802446988488899</v>
      </c>
      <c r="G1545" s="146">
        <v>17.645873230875637</v>
      </c>
      <c r="H1545" s="146">
        <v>9.6249075775659954</v>
      </c>
      <c r="I1545" s="146"/>
      <c r="J1545" s="146">
        <v>0.32663301806906625</v>
      </c>
      <c r="K1545" s="146">
        <v>0.18</v>
      </c>
      <c r="L1545" s="146">
        <v>97.905521833095506</v>
      </c>
      <c r="M1545" s="146">
        <v>48.749637427267473</v>
      </c>
      <c r="N1545" s="146">
        <v>1.7850883895842902</v>
      </c>
      <c r="O1545" s="146"/>
      <c r="P1545" s="146"/>
      <c r="Q1545" s="146"/>
      <c r="R1545" s="146"/>
      <c r="S1545" s="146"/>
      <c r="T1545" s="146"/>
      <c r="U1545" s="146"/>
      <c r="V1545" s="146"/>
      <c r="W1545" s="146"/>
      <c r="X1545" s="146"/>
      <c r="Y1545" s="146"/>
      <c r="Z1545" s="146">
        <v>0.18546550968915529</v>
      </c>
      <c r="AA1545" s="146"/>
      <c r="AB1545" s="146"/>
      <c r="AC1545" s="146"/>
      <c r="AD1545" s="146"/>
      <c r="AE1545" s="146"/>
      <c r="AF1545" s="146"/>
      <c r="AG1545" s="146"/>
      <c r="AH1545" s="146"/>
      <c r="AI1545" s="146"/>
      <c r="AJ1545" s="146"/>
      <c r="AK1545" s="146"/>
      <c r="AL1545" s="146">
        <v>1199.241653678348</v>
      </c>
      <c r="AM1545" s="146">
        <v>0.20289416409182875</v>
      </c>
      <c r="AN1545" s="146">
        <v>0.27790577968574948</v>
      </c>
      <c r="AO1545" s="146">
        <v>344.84130129103062</v>
      </c>
      <c r="AP1545" s="146">
        <v>306.69745888620298</v>
      </c>
      <c r="AQ1545" t="s">
        <v>384</v>
      </c>
      <c r="AR1545">
        <f t="shared" si="90"/>
        <v>9.762677251918257</v>
      </c>
      <c r="AS1545">
        <f t="shared" si="91"/>
        <v>2.6643645582431001</v>
      </c>
      <c r="AT1545">
        <v>0.2</v>
      </c>
      <c r="AU1545">
        <v>0</v>
      </c>
      <c r="AV1545">
        <v>0.3</v>
      </c>
      <c r="AW1545" s="146">
        <v>1.5</v>
      </c>
      <c r="AX1545" s="146">
        <v>0.24190636966279397</v>
      </c>
      <c r="AY1545">
        <v>0.18</v>
      </c>
      <c r="AZ1545" s="209">
        <v>306.69745888620298</v>
      </c>
      <c r="BA1545">
        <v>0.24190636966279397</v>
      </c>
      <c r="BB1545" s="249">
        <v>41.554276426213903</v>
      </c>
      <c r="BC1545" s="243">
        <v>159.89970517375011</v>
      </c>
      <c r="BD1545" s="209">
        <v>77670.297975587004</v>
      </c>
      <c r="BE1545" s="243">
        <v>50.832178939732444</v>
      </c>
      <c r="BF1545">
        <v>501431.93640582787</v>
      </c>
      <c r="BG1545" t="s">
        <v>389</v>
      </c>
      <c r="BH1545">
        <v>5.8912420475576011E-6</v>
      </c>
      <c r="BI1545">
        <v>1976702.9797558701</v>
      </c>
      <c r="BJ1545">
        <f t="shared" si="92"/>
        <v>0.25367085573359965</v>
      </c>
    </row>
    <row r="1546" spans="1:62" x14ac:dyDescent="0.3">
      <c r="A1546">
        <v>-0.1</v>
      </c>
      <c r="B1546" s="146">
        <v>1000</v>
      </c>
      <c r="C1546" s="146">
        <v>25</v>
      </c>
      <c r="D1546" s="146">
        <v>400</v>
      </c>
      <c r="E1546" s="252">
        <v>13.29047161591199</v>
      </c>
      <c r="F1546" s="146">
        <v>3.0323526494862194</v>
      </c>
      <c r="G1546" s="146">
        <v>15.242045598637855</v>
      </c>
      <c r="H1546" s="146">
        <v>8.328444565748029</v>
      </c>
      <c r="I1546" s="146"/>
      <c r="J1546" s="146">
        <v>0.33806022533423458</v>
      </c>
      <c r="K1546" s="146">
        <v>0.18</v>
      </c>
      <c r="L1546" s="146">
        <v>84.801476454095763</v>
      </c>
      <c r="M1546" s="146">
        <v>42.224801553906616</v>
      </c>
      <c r="N1546" s="146">
        <v>1.5683973068775892</v>
      </c>
      <c r="O1546" s="146"/>
      <c r="P1546" s="146"/>
      <c r="Q1546" s="146"/>
      <c r="R1546" s="146"/>
      <c r="S1546" s="146"/>
      <c r="T1546" s="146"/>
      <c r="U1546" s="146"/>
      <c r="V1546" s="146"/>
      <c r="W1546" s="146"/>
      <c r="X1546" s="146"/>
      <c r="Y1546" s="146"/>
      <c r="Z1546" s="146">
        <v>0.1883181540677904</v>
      </c>
      <c r="AA1546" s="146"/>
      <c r="AB1546" s="146"/>
      <c r="AC1546" s="146"/>
      <c r="AD1546" s="146"/>
      <c r="AE1546" s="146"/>
      <c r="AF1546" s="146"/>
      <c r="AG1546" s="146"/>
      <c r="AH1546" s="146"/>
      <c r="AI1546" s="146"/>
      <c r="AJ1546" s="146"/>
      <c r="AK1546" s="146"/>
      <c r="AL1546" s="146">
        <v>1103.774447946246</v>
      </c>
      <c r="AM1546" s="146">
        <v>0.19894656723486076</v>
      </c>
      <c r="AN1546" s="146">
        <v>0.28067064376981959</v>
      </c>
      <c r="AO1546" s="146">
        <v>352.64744671048811</v>
      </c>
      <c r="AP1546" s="146">
        <v>319.57579450745186</v>
      </c>
      <c r="AQ1546" t="s">
        <v>384</v>
      </c>
      <c r="AR1546">
        <f t="shared" si="90"/>
        <v>9.762677251918257</v>
      </c>
      <c r="AS1546">
        <f t="shared" si="91"/>
        <v>2.6643645582431001</v>
      </c>
      <c r="AT1546">
        <v>0.2</v>
      </c>
      <c r="AU1546">
        <v>0</v>
      </c>
      <c r="AV1546">
        <v>0.3</v>
      </c>
      <c r="AW1546" s="146">
        <v>1</v>
      </c>
      <c r="AX1546" s="146">
        <v>0.24872614890442155</v>
      </c>
      <c r="AY1546">
        <v>0.18</v>
      </c>
      <c r="AZ1546" s="209">
        <v>319.57579450745186</v>
      </c>
      <c r="BA1546">
        <v>0.24872614890442155</v>
      </c>
      <c r="BB1546" s="249">
        <v>35.53016491647022</v>
      </c>
      <c r="BC1546" s="243">
        <v>131.57572061877323</v>
      </c>
      <c r="BD1546" s="209">
        <v>61574.294854841552</v>
      </c>
      <c r="BE1546" s="243">
        <v>42.583342574328242</v>
      </c>
      <c r="BF1546">
        <v>573211.72433280048</v>
      </c>
      <c r="BG1546" t="s">
        <v>389</v>
      </c>
      <c r="BH1546">
        <v>5.251326874911736E-6</v>
      </c>
      <c r="BI1546">
        <v>1815742.9485484157</v>
      </c>
      <c r="BJ1546">
        <f t="shared" si="92"/>
        <v>0.31568990797461227</v>
      </c>
    </row>
    <row r="1547" spans="1:62" x14ac:dyDescent="0.3">
      <c r="A1547">
        <v>-0.1</v>
      </c>
      <c r="B1547" s="146">
        <v>1000</v>
      </c>
      <c r="C1547" s="146">
        <v>25</v>
      </c>
      <c r="D1547" s="146">
        <v>400</v>
      </c>
      <c r="E1547" s="252">
        <v>12.158327924129013</v>
      </c>
      <c r="F1547" s="146">
        <v>2.7474925848845868</v>
      </c>
      <c r="G1547" s="146">
        <v>13.920687721764498</v>
      </c>
      <c r="H1547" s="146">
        <v>7.5819358721270023</v>
      </c>
      <c r="I1547" s="146"/>
      <c r="J1547" s="146">
        <v>0.33943375968369677</v>
      </c>
      <c r="K1547" s="146">
        <v>0.18</v>
      </c>
      <c r="L1547" s="146">
        <v>77.24218091265719</v>
      </c>
      <c r="M1547" s="146">
        <v>38.460836968957942</v>
      </c>
      <c r="N1547" s="146">
        <v>1.4707079008859862</v>
      </c>
      <c r="O1547" s="146"/>
      <c r="P1547" s="146"/>
      <c r="Q1547" s="146"/>
      <c r="R1547" s="146"/>
      <c r="S1547" s="146"/>
      <c r="T1547" s="146"/>
      <c r="U1547" s="146"/>
      <c r="V1547" s="146"/>
      <c r="W1547" s="146"/>
      <c r="X1547" s="146"/>
      <c r="Y1547" s="146"/>
      <c r="Z1547" s="146">
        <v>0.19397524928859633</v>
      </c>
      <c r="AA1547" s="146"/>
      <c r="AB1547" s="146"/>
      <c r="AC1547" s="146"/>
      <c r="AD1547" s="146"/>
      <c r="AE1547" s="146"/>
      <c r="AF1547" s="146"/>
      <c r="AG1547" s="146"/>
      <c r="AH1547" s="146"/>
      <c r="AI1547" s="146"/>
      <c r="AJ1547" s="146"/>
      <c r="AK1547" s="146"/>
      <c r="AL1547" s="146">
        <v>1061.7637870633623</v>
      </c>
      <c r="AM1547" s="146">
        <v>0.1973675898633212</v>
      </c>
      <c r="AN1547" s="146">
        <v>0.2805602916994091</v>
      </c>
      <c r="AO1547" s="146">
        <v>356.66411718321353</v>
      </c>
      <c r="AP1547" s="146">
        <v>326.40983662036911</v>
      </c>
      <c r="AQ1547" t="s">
        <v>384</v>
      </c>
      <c r="AR1547">
        <f t="shared" si="90"/>
        <v>9.762677251918257</v>
      </c>
      <c r="AS1547">
        <f t="shared" si="91"/>
        <v>2.6643645582431001</v>
      </c>
      <c r="AT1547">
        <v>0.2</v>
      </c>
      <c r="AU1547">
        <v>0</v>
      </c>
      <c r="AV1547">
        <v>0.3</v>
      </c>
      <c r="AW1547" s="146">
        <v>0.8</v>
      </c>
      <c r="AX1547" s="146">
        <v>0.24917059477905831</v>
      </c>
      <c r="AY1547">
        <v>0.18</v>
      </c>
      <c r="AZ1547" s="209">
        <v>326.40983662036911</v>
      </c>
      <c r="BA1547">
        <v>0.24917059477905831</v>
      </c>
      <c r="BB1547" s="249">
        <v>32.348969669273878</v>
      </c>
      <c r="BC1547" s="243">
        <v>116.71342660052991</v>
      </c>
      <c r="BD1547" s="209">
        <v>53696.014940396206</v>
      </c>
      <c r="BE1547" s="243">
        <v>38.731975476746747</v>
      </c>
      <c r="BF1547">
        <v>601750.7488424402</v>
      </c>
      <c r="BG1547" t="s">
        <v>389</v>
      </c>
      <c r="BH1547">
        <v>4.8786571854214484E-6</v>
      </c>
      <c r="BI1547">
        <v>1736960.1494039621</v>
      </c>
      <c r="BJ1547">
        <f t="shared" si="92"/>
        <v>0.34643900670313649</v>
      </c>
    </row>
    <row r="1548" spans="1:62" x14ac:dyDescent="0.3">
      <c r="A1548">
        <v>-0.1</v>
      </c>
      <c r="B1548" s="146">
        <v>1000</v>
      </c>
      <c r="C1548" s="146">
        <v>25</v>
      </c>
      <c r="D1548" s="146">
        <v>400</v>
      </c>
      <c r="E1548" s="252">
        <v>10.759180270087713</v>
      </c>
      <c r="F1548" s="146">
        <v>2.4084057190067516</v>
      </c>
      <c r="G1548" s="146">
        <v>12.298056316320004</v>
      </c>
      <c r="H1548" s="146">
        <v>6.6781758989486661</v>
      </c>
      <c r="I1548" s="146"/>
      <c r="J1548" s="146">
        <v>0.34346611764280832</v>
      </c>
      <c r="K1548" s="146">
        <v>0.18</v>
      </c>
      <c r="L1548" s="146">
        <v>68.077118088651815</v>
      </c>
      <c r="M1548" s="146">
        <v>33.897320210117094</v>
      </c>
      <c r="N1548" s="146">
        <v>1.3336541125467436</v>
      </c>
      <c r="O1548" s="146"/>
      <c r="P1548" s="146"/>
      <c r="Q1548" s="146"/>
      <c r="R1548" s="146"/>
      <c r="S1548" s="146"/>
      <c r="T1548" s="146"/>
      <c r="U1548" s="146"/>
      <c r="V1548" s="146"/>
      <c r="W1548" s="146"/>
      <c r="X1548" s="146"/>
      <c r="Y1548" s="146"/>
      <c r="Z1548" s="146">
        <v>0.19970335204208958</v>
      </c>
      <c r="AA1548" s="146"/>
      <c r="AB1548" s="146"/>
      <c r="AC1548" s="146"/>
      <c r="AD1548" s="146"/>
      <c r="AE1548" s="146"/>
      <c r="AF1548" s="146"/>
      <c r="AG1548" s="146"/>
      <c r="AH1548" s="146"/>
      <c r="AI1548" s="146"/>
      <c r="AJ1548" s="146"/>
      <c r="AK1548" s="146"/>
      <c r="AL1548" s="146">
        <v>1001.7046422589713</v>
      </c>
      <c r="AM1548" s="146">
        <v>0.19583628965909861</v>
      </c>
      <c r="AN1548" s="146">
        <v>0.28055463796206798</v>
      </c>
      <c r="AO1548" s="146">
        <v>361.65032113444374</v>
      </c>
      <c r="AP1548" s="146">
        <v>334.87758598559941</v>
      </c>
      <c r="AQ1548" t="s">
        <v>384</v>
      </c>
      <c r="AR1548">
        <f t="shared" si="90"/>
        <v>9.762677251918257</v>
      </c>
      <c r="AS1548">
        <f t="shared" si="91"/>
        <v>2.6643645582431001</v>
      </c>
      <c r="AT1548">
        <v>0.2</v>
      </c>
      <c r="AU1548">
        <v>0</v>
      </c>
      <c r="AV1548">
        <v>0.3</v>
      </c>
      <c r="AW1548" s="146">
        <v>0.6</v>
      </c>
      <c r="AX1548" s="146">
        <v>0.25107336338310715</v>
      </c>
      <c r="AY1548">
        <v>0.18</v>
      </c>
      <c r="AZ1548" s="209">
        <v>334.87758598559941</v>
      </c>
      <c r="BA1548">
        <v>0.25107336338310715</v>
      </c>
      <c r="BB1548" s="249">
        <v>28.497260929318585</v>
      </c>
      <c r="BC1548" s="243">
        <v>99.870290961838535</v>
      </c>
      <c r="BD1548" s="209">
        <v>44861.545991157873</v>
      </c>
      <c r="BE1548" s="243">
        <v>33.998983729727783</v>
      </c>
      <c r="BF1548">
        <v>630188.7666562337</v>
      </c>
      <c r="BG1548" t="s">
        <v>389</v>
      </c>
      <c r="BH1548">
        <v>4.3923612291799711E-6</v>
      </c>
      <c r="BI1548">
        <v>1648615.4599115788</v>
      </c>
      <c r="BJ1548">
        <f t="shared" si="92"/>
        <v>0.38225334044242981</v>
      </c>
    </row>
    <row r="1549" spans="1:62" x14ac:dyDescent="0.3">
      <c r="A1549">
        <v>-0.1</v>
      </c>
      <c r="B1549" s="146">
        <v>1000</v>
      </c>
      <c r="C1549" s="146">
        <v>25</v>
      </c>
      <c r="D1549" s="146">
        <v>400</v>
      </c>
      <c r="E1549" s="252">
        <v>8.917179465155332</v>
      </c>
      <c r="F1549" s="146">
        <v>1.9783772027990758</v>
      </c>
      <c r="G1549" s="146">
        <v>10.175217897996927</v>
      </c>
      <c r="H1549" s="146">
        <v>5.5052656871055161</v>
      </c>
      <c r="I1549" s="146"/>
      <c r="J1549" s="146">
        <v>0.34843883966237826</v>
      </c>
      <c r="K1549" s="146">
        <v>0.18</v>
      </c>
      <c r="L1549" s="146">
        <v>56.162704000431127</v>
      </c>
      <c r="M1549" s="146">
        <v>27.964831867434583</v>
      </c>
      <c r="N1549" s="146">
        <v>1.1533733992779656</v>
      </c>
      <c r="O1549" s="146"/>
      <c r="P1549" s="146"/>
      <c r="Q1549" s="146"/>
      <c r="R1549" s="146"/>
      <c r="S1549" s="146"/>
      <c r="T1549" s="146"/>
      <c r="U1549" s="146"/>
      <c r="V1549" s="146"/>
      <c r="W1549" s="146"/>
      <c r="X1549" s="146"/>
      <c r="Y1549" s="146"/>
      <c r="Z1549" s="146">
        <v>0.20950367608586218</v>
      </c>
      <c r="AA1549" s="146"/>
      <c r="AB1549" s="146"/>
      <c r="AC1549" s="146"/>
      <c r="AD1549" s="146"/>
      <c r="AE1549" s="146"/>
      <c r="AF1549" s="146"/>
      <c r="AG1549" s="146"/>
      <c r="AH1549" s="146"/>
      <c r="AI1549" s="146"/>
      <c r="AJ1549" s="146"/>
      <c r="AK1549" s="146"/>
      <c r="AL1549" s="146">
        <v>922.70796570164975</v>
      </c>
      <c r="AM1549" s="146">
        <v>0.19443094218046528</v>
      </c>
      <c r="AN1549" s="146">
        <v>0.28050695680860954</v>
      </c>
      <c r="AO1549" s="146">
        <v>368.21048730267484</v>
      </c>
      <c r="AP1549" s="146">
        <v>346.02126606266711</v>
      </c>
      <c r="AQ1549" t="s">
        <v>384</v>
      </c>
      <c r="AR1549">
        <f t="shared" si="90"/>
        <v>9.762677251918257</v>
      </c>
      <c r="AS1549">
        <f t="shared" si="91"/>
        <v>2.6643645582431001</v>
      </c>
      <c r="AT1549">
        <v>0.2</v>
      </c>
      <c r="AU1549">
        <v>0</v>
      </c>
      <c r="AV1549">
        <v>0.3</v>
      </c>
      <c r="AW1549" s="146">
        <v>0.4</v>
      </c>
      <c r="AX1549" s="146">
        <v>0.25337666548704529</v>
      </c>
      <c r="AY1549">
        <v>0.18</v>
      </c>
      <c r="AZ1549" s="209">
        <v>346.02126606266711</v>
      </c>
      <c r="BA1549">
        <v>0.25337666548704529</v>
      </c>
      <c r="BB1549" s="249">
        <v>23.538731026103108</v>
      </c>
      <c r="BC1549" s="243">
        <v>79.577612563378139</v>
      </c>
      <c r="BD1549" s="209">
        <v>34525.07797999966</v>
      </c>
      <c r="BE1549" s="243">
        <v>27.962320013444529</v>
      </c>
      <c r="BF1549">
        <v>650006.43401496683</v>
      </c>
      <c r="BG1549" t="s">
        <v>389</v>
      </c>
      <c r="BH1549">
        <v>3.7238423065297049E-6</v>
      </c>
      <c r="BI1549">
        <v>1545250.7797999966</v>
      </c>
      <c r="BJ1549">
        <f t="shared" si="92"/>
        <v>0.42064786021275963</v>
      </c>
    </row>
    <row r="1550" spans="1:62" x14ac:dyDescent="0.3">
      <c r="A1550">
        <v>-0.1</v>
      </c>
      <c r="B1550" s="146">
        <v>1000</v>
      </c>
      <c r="C1550" s="146">
        <v>25</v>
      </c>
      <c r="D1550" s="146">
        <v>400</v>
      </c>
      <c r="E1550" s="252">
        <v>7.7366254825853051</v>
      </c>
      <c r="F1550" s="146">
        <v>1.7128404040447205</v>
      </c>
      <c r="G1550" s="146">
        <v>8.8222787390288282</v>
      </c>
      <c r="H1550" s="146">
        <v>4.7630669585021153</v>
      </c>
      <c r="I1550" s="146"/>
      <c r="J1550" s="146">
        <v>0.3532197053187357</v>
      </c>
      <c r="K1550" s="146">
        <v>0.18</v>
      </c>
      <c r="L1550" s="146">
        <v>48.612822568415922</v>
      </c>
      <c r="M1550" s="146">
        <v>24.205554805850255</v>
      </c>
      <c r="N1550" s="146">
        <v>1.0266746554916004</v>
      </c>
      <c r="O1550" s="146"/>
      <c r="P1550" s="146"/>
      <c r="Q1550" s="146"/>
      <c r="R1550" s="146"/>
      <c r="S1550" s="146"/>
      <c r="T1550" s="146"/>
      <c r="U1550" s="146"/>
      <c r="V1550" s="146"/>
      <c r="W1550" s="146"/>
      <c r="X1550" s="146"/>
      <c r="Y1550" s="146"/>
      <c r="Z1550" s="146">
        <v>0.21554907047002086</v>
      </c>
      <c r="AA1550" s="146"/>
      <c r="AB1550" s="146"/>
      <c r="AC1550" s="146"/>
      <c r="AD1550" s="146"/>
      <c r="AE1550" s="146"/>
      <c r="AF1550" s="146"/>
      <c r="AG1550" s="146"/>
      <c r="AH1550" s="146"/>
      <c r="AI1550" s="146"/>
      <c r="AJ1550" s="146"/>
      <c r="AK1550" s="146"/>
      <c r="AL1550" s="146">
        <v>866.48402792833906</v>
      </c>
      <c r="AM1550" s="146">
        <v>0.19414943176384755</v>
      </c>
      <c r="AN1550" s="146">
        <v>0.28029476164269612</v>
      </c>
      <c r="AO1550" s="146">
        <v>372.39825162181404</v>
      </c>
      <c r="AP1550" s="146">
        <v>353.14670018253867</v>
      </c>
      <c r="AQ1550" t="s">
        <v>384</v>
      </c>
      <c r="AR1550">
        <f t="shared" si="90"/>
        <v>9.762677251918257</v>
      </c>
      <c r="AS1550">
        <f t="shared" si="91"/>
        <v>2.6643645582431001</v>
      </c>
      <c r="AT1550">
        <v>0.2</v>
      </c>
      <c r="AU1550">
        <v>0</v>
      </c>
      <c r="AV1550">
        <v>0.3</v>
      </c>
      <c r="AW1550" s="146">
        <v>0.3</v>
      </c>
      <c r="AX1550" s="146">
        <v>0.25585148596956453</v>
      </c>
      <c r="AY1550">
        <v>0.18</v>
      </c>
      <c r="AZ1550" s="209">
        <v>353.14670018253867</v>
      </c>
      <c r="BA1550">
        <v>0.25585148596956453</v>
      </c>
      <c r="BB1550" s="249">
        <v>20.424508967274299</v>
      </c>
      <c r="BC1550" s="243">
        <v>67.505589856376773</v>
      </c>
      <c r="BD1550" s="209">
        <v>28582.228825365157</v>
      </c>
      <c r="BE1550" s="243">
        <v>24.187631912088069</v>
      </c>
      <c r="BF1550">
        <v>652666.50238938478</v>
      </c>
      <c r="BG1550" t="s">
        <v>389</v>
      </c>
      <c r="BH1550">
        <v>3.2753737377484535E-6</v>
      </c>
      <c r="BI1550">
        <v>1485822.2882536515</v>
      </c>
      <c r="BJ1550">
        <f t="shared" si="92"/>
        <v>0.43926282944408568</v>
      </c>
    </row>
    <row r="1551" spans="1:62" x14ac:dyDescent="0.3">
      <c r="A1551">
        <v>-0.1</v>
      </c>
      <c r="B1551" s="146">
        <v>1000</v>
      </c>
      <c r="C1551" s="146">
        <v>25</v>
      </c>
      <c r="D1551" s="146">
        <v>400</v>
      </c>
      <c r="E1551" s="252">
        <v>6.2831537458190114</v>
      </c>
      <c r="F1551" s="146">
        <v>1.393101864036459</v>
      </c>
      <c r="G1551" s="146">
        <v>7.1624521475729921</v>
      </c>
      <c r="H1551" s="146">
        <v>3.8588723335124744</v>
      </c>
      <c r="I1551" s="146"/>
      <c r="J1551" s="146">
        <v>0.36003228419780625</v>
      </c>
      <c r="K1551" s="146">
        <v>0.18</v>
      </c>
      <c r="L1551" s="146">
        <v>39.404831184696747</v>
      </c>
      <c r="M1551" s="146">
        <v>19.620662830554402</v>
      </c>
      <c r="N1551" s="146">
        <v>0.8656303095500566</v>
      </c>
      <c r="O1551" s="146"/>
      <c r="P1551" s="146"/>
      <c r="Q1551" s="146"/>
      <c r="R1551" s="146"/>
      <c r="S1551" s="146"/>
      <c r="T1551" s="146"/>
      <c r="U1551" s="146"/>
      <c r="V1551" s="146"/>
      <c r="W1551" s="146"/>
      <c r="X1551" s="146"/>
      <c r="Y1551" s="146"/>
      <c r="Z1551" s="146">
        <v>0.22432209068760017</v>
      </c>
      <c r="AA1551" s="146"/>
      <c r="AB1551" s="146"/>
      <c r="AC1551" s="146"/>
      <c r="AD1551" s="146"/>
      <c r="AE1551" s="146"/>
      <c r="AF1551" s="146"/>
      <c r="AG1551" s="146"/>
      <c r="AH1551" s="146"/>
      <c r="AI1551" s="146"/>
      <c r="AJ1551" s="146"/>
      <c r="AK1551" s="146"/>
      <c r="AL1551" s="146">
        <v>794.74405201328545</v>
      </c>
      <c r="AM1551" s="146">
        <v>0.19450068710176496</v>
      </c>
      <c r="AN1551" s="146">
        <v>0.28004317585310134</v>
      </c>
      <c r="AO1551" s="146">
        <v>377.56362487077746</v>
      </c>
      <c r="AP1551" s="146">
        <v>361.92889723825698</v>
      </c>
      <c r="AQ1551" t="s">
        <v>384</v>
      </c>
      <c r="AR1551">
        <f t="shared" si="90"/>
        <v>9.762677251918257</v>
      </c>
      <c r="AS1551">
        <f t="shared" si="91"/>
        <v>2.6643645582431001</v>
      </c>
      <c r="AT1551">
        <v>0.2</v>
      </c>
      <c r="AU1551">
        <v>0</v>
      </c>
      <c r="AV1551">
        <v>0.3</v>
      </c>
      <c r="AW1551" s="146">
        <v>0.2</v>
      </c>
      <c r="AX1551" s="146">
        <v>0.25976738545765993</v>
      </c>
      <c r="AY1551">
        <v>0.18</v>
      </c>
      <c r="AZ1551" s="209">
        <v>361.92889723825698</v>
      </c>
      <c r="BA1551">
        <v>0.25976738545765993</v>
      </c>
      <c r="BB1551" s="249">
        <v>16.634669810192577</v>
      </c>
      <c r="BC1551" s="243">
        <v>53.481949803748435</v>
      </c>
      <c r="BD1551" s="209">
        <v>21919.813723630454</v>
      </c>
      <c r="BE1551" s="243">
        <v>19.617038090552018</v>
      </c>
      <c r="BF1551">
        <v>647990.85435477982</v>
      </c>
      <c r="BG1551" t="s">
        <v>389</v>
      </c>
      <c r="BH1551">
        <v>2.6931839508217786E-6</v>
      </c>
      <c r="BI1551">
        <v>1419198.1372363046</v>
      </c>
      <c r="BJ1551">
        <f t="shared" si="92"/>
        <v>0.45658942000632408</v>
      </c>
    </row>
    <row r="1552" spans="1:62" s="140" customFormat="1" x14ac:dyDescent="0.3">
      <c r="A1552" s="140">
        <v>-0.1</v>
      </c>
      <c r="B1552" s="140">
        <v>1000</v>
      </c>
      <c r="C1552" s="140">
        <v>25</v>
      </c>
      <c r="D1552" s="140">
        <v>400</v>
      </c>
      <c r="E1552" s="253">
        <v>4.29916830563959</v>
      </c>
      <c r="F1552" s="140">
        <v>0.96629260395139327</v>
      </c>
      <c r="G1552" s="140">
        <v>4.9049633943538868</v>
      </c>
      <c r="H1552" s="140">
        <v>2.6389218941311312</v>
      </c>
      <c r="J1552" s="140">
        <v>0.37441727048410289</v>
      </c>
      <c r="K1552" s="140">
        <v>0.18</v>
      </c>
      <c r="L1552" s="140">
        <v>26.964966372634226</v>
      </c>
      <c r="M1552" s="140">
        <v>13.426539272680943</v>
      </c>
      <c r="N1552" s="140">
        <v>0.6248573371549262</v>
      </c>
      <c r="Z1552" s="140">
        <v>0.23678508202330156</v>
      </c>
      <c r="AL1552" s="140">
        <v>686.35547254171468</v>
      </c>
      <c r="AM1552" s="140">
        <v>0.19700302046365822</v>
      </c>
      <c r="AN1552" s="140">
        <v>0.27961521250633747</v>
      </c>
      <c r="AO1552" s="140">
        <v>384.62469810886222</v>
      </c>
      <c r="AP1552" s="140">
        <v>373.92680396425169</v>
      </c>
      <c r="AQ1552" t="s">
        <v>384</v>
      </c>
      <c r="AR1552">
        <f t="shared" si="90"/>
        <v>9.762677251918257</v>
      </c>
      <c r="AS1552">
        <f t="shared" si="91"/>
        <v>2.6643645582431001</v>
      </c>
      <c r="AT1552" s="140">
        <v>0.2</v>
      </c>
      <c r="AU1552">
        <v>0</v>
      </c>
      <c r="AV1552">
        <v>0.3</v>
      </c>
      <c r="AW1552" s="140">
        <v>0.1</v>
      </c>
      <c r="AX1552" s="140">
        <v>0.26988581173411436</v>
      </c>
      <c r="AY1552">
        <v>0.18</v>
      </c>
      <c r="AZ1552" s="209">
        <v>373.92680396425169</v>
      </c>
      <c r="BA1552" s="140">
        <v>0.26988581173411436</v>
      </c>
      <c r="BB1552" s="253">
        <v>11.512564951913934</v>
      </c>
      <c r="BC1552" s="245">
        <v>35.578493138841779</v>
      </c>
      <c r="BD1552" s="210">
        <v>13883.524124346235</v>
      </c>
      <c r="BE1552" s="245">
        <v>13.48102155659854</v>
      </c>
      <c r="BF1552" s="140">
        <v>615443.22504725703</v>
      </c>
      <c r="BG1552" t="s">
        <v>389</v>
      </c>
      <c r="BH1552" s="140">
        <v>1.852911873351923E-6</v>
      </c>
      <c r="BI1552" s="140">
        <v>1338835.2412434623</v>
      </c>
      <c r="BJ1552">
        <f t="shared" si="92"/>
        <v>0.45968555807931627</v>
      </c>
    </row>
    <row r="1553" spans="1:62" x14ac:dyDescent="0.3">
      <c r="A1553">
        <v>-0.1</v>
      </c>
      <c r="B1553" s="146">
        <v>1000</v>
      </c>
      <c r="C1553" s="146">
        <v>25</v>
      </c>
      <c r="D1553" s="146">
        <v>400</v>
      </c>
      <c r="E1553" s="252">
        <v>18.161806533361453</v>
      </c>
      <c r="F1553" s="146">
        <v>4.4294882136334159</v>
      </c>
      <c r="G1553" s="146">
        <v>21.053308774144213</v>
      </c>
      <c r="H1553" s="146">
        <v>11.418596953460995</v>
      </c>
      <c r="I1553" s="146"/>
      <c r="J1553" s="146">
        <v>0.30636534224049583</v>
      </c>
      <c r="K1553" s="146">
        <v>0.18</v>
      </c>
      <c r="L1553" s="146">
        <v>115.97693349939671</v>
      </c>
      <c r="M1553" s="146">
        <v>57.747850705093803</v>
      </c>
      <c r="N1553" s="146">
        <v>2.1276375930611486</v>
      </c>
      <c r="O1553" s="146"/>
      <c r="P1553" s="146"/>
      <c r="Q1553" s="146"/>
      <c r="R1553" s="146"/>
      <c r="S1553" s="146"/>
      <c r="T1553" s="146"/>
      <c r="U1553" s="146"/>
      <c r="V1553" s="146"/>
      <c r="W1553" s="146"/>
      <c r="X1553" s="146"/>
      <c r="Y1553" s="146"/>
      <c r="Z1553" s="146">
        <v>0.18633091278488978</v>
      </c>
      <c r="AA1553" s="146"/>
      <c r="AB1553" s="146"/>
      <c r="AC1553" s="146"/>
      <c r="AD1553" s="146"/>
      <c r="AE1553" s="146"/>
      <c r="AF1553" s="146"/>
      <c r="AG1553" s="146"/>
      <c r="AH1553" s="146"/>
      <c r="AI1553" s="146"/>
      <c r="AJ1553" s="146"/>
      <c r="AK1553" s="146"/>
      <c r="AL1553" s="146">
        <v>1351.8162444150437</v>
      </c>
      <c r="AM1553" s="146">
        <v>0.21039392245428501</v>
      </c>
      <c r="AN1553" s="146">
        <v>0.27184475844067596</v>
      </c>
      <c r="AO1553" s="146">
        <v>333.19052154053264</v>
      </c>
      <c r="AP1553" s="146">
        <v>287.99744788446941</v>
      </c>
      <c r="AQ1553" t="s">
        <v>384</v>
      </c>
      <c r="AR1553">
        <f t="shared" si="90"/>
        <v>9.762677251918257</v>
      </c>
      <c r="AS1553">
        <f t="shared" si="91"/>
        <v>2.6643645582431001</v>
      </c>
      <c r="AT1553">
        <v>0.2</v>
      </c>
      <c r="AU1553">
        <v>0</v>
      </c>
      <c r="AV1553">
        <v>0.3</v>
      </c>
      <c r="AW1553" s="146">
        <v>3</v>
      </c>
      <c r="AX1553" s="146">
        <v>0.22933520773592037</v>
      </c>
      <c r="AY1553">
        <v>0.18</v>
      </c>
      <c r="AZ1553" s="209">
        <v>287.99744788446941</v>
      </c>
      <c r="BA1553">
        <v>0.22933520773592037</v>
      </c>
      <c r="BB1553" s="249">
        <v>50.626484378196977</v>
      </c>
      <c r="BC1553" s="243">
        <v>206.15570065625158</v>
      </c>
      <c r="BD1553" s="209">
        <v>105430.89065913028</v>
      </c>
      <c r="BE1553" s="243">
        <v>64.547552930167811</v>
      </c>
      <c r="BF1553">
        <v>334244.71415733721</v>
      </c>
      <c r="BG1553" t="s">
        <v>390</v>
      </c>
      <c r="BH1553">
        <v>6.7559407703315036E-6</v>
      </c>
      <c r="BI1553">
        <v>2254308.9065913027</v>
      </c>
      <c r="BJ1553">
        <f t="shared" si="92"/>
        <v>0.14826926033963209</v>
      </c>
    </row>
    <row r="1554" spans="1:62" s="140" customFormat="1" x14ac:dyDescent="0.3">
      <c r="A1554">
        <v>-0.2</v>
      </c>
      <c r="B1554" s="146">
        <v>1000</v>
      </c>
      <c r="C1554" s="146">
        <v>25</v>
      </c>
      <c r="D1554" s="146">
        <v>400</v>
      </c>
      <c r="E1554" s="252">
        <v>18.046751725349061</v>
      </c>
      <c r="F1554" s="146">
        <v>4.5023427276754138</v>
      </c>
      <c r="G1554" s="146">
        <v>20.976566495094978</v>
      </c>
      <c r="H1554" s="146">
        <v>11.432062724013008</v>
      </c>
      <c r="I1554" s="146"/>
      <c r="J1554" s="146">
        <v>0.30711307362001433</v>
      </c>
      <c r="K1554" s="146">
        <v>0.18</v>
      </c>
      <c r="L1554" s="146">
        <v>116.12535812873116</v>
      </c>
      <c r="M1554" s="146">
        <v>57.8217550848454</v>
      </c>
      <c r="N1554" s="146">
        <v>2.1034423616346967</v>
      </c>
      <c r="O1554" s="146"/>
      <c r="P1554" s="146"/>
      <c r="Q1554" s="146"/>
      <c r="R1554" s="146"/>
      <c r="S1554" s="146"/>
      <c r="T1554" s="146"/>
      <c r="U1554" s="146"/>
      <c r="V1554" s="146"/>
      <c r="W1554" s="146"/>
      <c r="X1554" s="146"/>
      <c r="Y1554" s="146"/>
      <c r="Z1554" s="146">
        <v>0.18399499831438323</v>
      </c>
      <c r="AA1554" s="146"/>
      <c r="AB1554" s="146"/>
      <c r="AC1554" s="146"/>
      <c r="AD1554" s="146"/>
      <c r="AE1554" s="146"/>
      <c r="AF1554" s="146"/>
      <c r="AG1554" s="146"/>
      <c r="AH1554" s="146"/>
      <c r="AI1554" s="146"/>
      <c r="AJ1554" s="146"/>
      <c r="AK1554" s="146"/>
      <c r="AL1554" s="146">
        <v>1332.2067739880627</v>
      </c>
      <c r="AM1554" s="146">
        <v>0.21463678189317645</v>
      </c>
      <c r="AN1554" s="146">
        <v>0.24188874664497956</v>
      </c>
      <c r="AO1554" s="146">
        <v>325.39234678892979</v>
      </c>
      <c r="AP1554" s="146">
        <v>280.48559317071505</v>
      </c>
      <c r="AQ1554" t="s">
        <v>384</v>
      </c>
      <c r="AR1554">
        <f t="shared" si="90"/>
        <v>9.762677251918257</v>
      </c>
      <c r="AS1554">
        <f t="shared" si="91"/>
        <v>2.6643645582431001</v>
      </c>
      <c r="AT1554">
        <v>0.2</v>
      </c>
      <c r="AU1554">
        <v>0</v>
      </c>
      <c r="AV1554">
        <v>0.3</v>
      </c>
      <c r="AW1554" s="146">
        <v>3</v>
      </c>
      <c r="AX1554" s="146">
        <v>0.22905180119631244</v>
      </c>
      <c r="AY1554">
        <v>0.18</v>
      </c>
      <c r="AZ1554" s="209">
        <v>280.48559317071505</v>
      </c>
      <c r="BA1554" s="140">
        <v>0.22905180119631244</v>
      </c>
      <c r="BB1554" s="253">
        <v>51.026885649794821</v>
      </c>
      <c r="BC1554" s="245">
        <v>206.57995829837989</v>
      </c>
      <c r="BD1554" s="210">
        <v>105829.46639443193</v>
      </c>
      <c r="BE1554" s="245">
        <v>64.877404064904113</v>
      </c>
      <c r="BF1554" s="140">
        <v>332518.8806218906</v>
      </c>
      <c r="BG1554" t="s">
        <v>390</v>
      </c>
      <c r="BH1554" s="140">
        <v>6.7057753249939763E-6</v>
      </c>
      <c r="BI1554" s="140">
        <v>2258294.6639443194</v>
      </c>
      <c r="BJ1554">
        <f t="shared" si="92"/>
        <v>0.14724335399221808</v>
      </c>
    </row>
    <row r="1555" spans="1:62" x14ac:dyDescent="0.3">
      <c r="A1555">
        <v>-0.3</v>
      </c>
      <c r="B1555" s="146">
        <v>1000</v>
      </c>
      <c r="C1555" s="146">
        <v>25</v>
      </c>
      <c r="D1555" s="146">
        <v>400</v>
      </c>
      <c r="E1555" s="252">
        <v>17.896199415049306</v>
      </c>
      <c r="F1555" s="146">
        <v>4.5977423183854738</v>
      </c>
      <c r="G1555" s="146">
        <v>20.876200869342473</v>
      </c>
      <c r="H1555" s="146">
        <v>11.450093841843566</v>
      </c>
      <c r="I1555" s="146"/>
      <c r="J1555" s="146">
        <v>0.30819312925856618</v>
      </c>
      <c r="K1555" s="146">
        <v>0.18</v>
      </c>
      <c r="L1555" s="146">
        <v>116.32415275600013</v>
      </c>
      <c r="M1555" s="146">
        <v>57.920739961493844</v>
      </c>
      <c r="N1555" s="146">
        <v>2.0715381623796318</v>
      </c>
      <c r="O1555" s="146"/>
      <c r="P1555" s="146"/>
      <c r="Q1555" s="146"/>
      <c r="R1555" s="146"/>
      <c r="S1555" s="146"/>
      <c r="T1555" s="146"/>
      <c r="U1555" s="146"/>
      <c r="V1555" s="146"/>
      <c r="W1555" s="146"/>
      <c r="X1555" s="146"/>
      <c r="Y1555" s="146"/>
      <c r="Z1555" s="146">
        <v>0.18091888075269225</v>
      </c>
      <c r="AA1555" s="146"/>
      <c r="AB1555" s="146"/>
      <c r="AC1555" s="146"/>
      <c r="AD1555" s="146"/>
      <c r="AE1555" s="146"/>
      <c r="AF1555" s="146"/>
      <c r="AG1555" s="146"/>
      <c r="AH1555" s="146"/>
      <c r="AI1555" s="146"/>
      <c r="AJ1555" s="146"/>
      <c r="AK1555" s="146"/>
      <c r="AL1555" s="146">
        <v>1306.793645297882</v>
      </c>
      <c r="AM1555" s="146">
        <v>0.22023845943815573</v>
      </c>
      <c r="AN1555" s="146">
        <v>0.21193158110794894</v>
      </c>
      <c r="AO1555" s="146">
        <v>315.55671258860781</v>
      </c>
      <c r="AP1555" s="146">
        <v>271.02456410806593</v>
      </c>
      <c r="AQ1555" t="s">
        <v>384</v>
      </c>
      <c r="AR1555">
        <f t="shared" si="90"/>
        <v>9.762677251918257</v>
      </c>
      <c r="AS1555">
        <f t="shared" si="91"/>
        <v>2.6643645582431001</v>
      </c>
      <c r="AT1555">
        <v>0.2</v>
      </c>
      <c r="AU1555">
        <v>0</v>
      </c>
      <c r="AV1555">
        <v>0.3</v>
      </c>
      <c r="AW1555" s="146">
        <v>3</v>
      </c>
      <c r="AX1555" s="146">
        <v>0.22874235881017707</v>
      </c>
      <c r="AY1555">
        <v>0.18</v>
      </c>
      <c r="AZ1555" s="209">
        <v>271.02456410806593</v>
      </c>
      <c r="BA1555">
        <v>0.22874235881017707</v>
      </c>
      <c r="BB1555" s="249">
        <v>51.549917284910833</v>
      </c>
      <c r="BC1555" s="243">
        <v>207.14951507941848</v>
      </c>
      <c r="BD1555" s="209">
        <v>106352.93426316718</v>
      </c>
      <c r="BE1555" s="243">
        <v>65.302602960754498</v>
      </c>
      <c r="BF1555">
        <v>330247.80463584792</v>
      </c>
      <c r="BG1555" t="s">
        <v>390</v>
      </c>
      <c r="BH1555">
        <v>6.640249861703332E-6</v>
      </c>
      <c r="BI1555">
        <v>2263529.3426316716</v>
      </c>
      <c r="BJ1555">
        <f t="shared" si="92"/>
        <v>0.14589950234614071</v>
      </c>
    </row>
    <row r="1556" spans="1:62" x14ac:dyDescent="0.3">
      <c r="A1556">
        <v>-0.4</v>
      </c>
      <c r="B1556" s="146">
        <v>1000</v>
      </c>
      <c r="C1556" s="146">
        <v>25</v>
      </c>
      <c r="D1556" s="146">
        <v>400</v>
      </c>
      <c r="E1556" s="252">
        <v>17.697429700672345</v>
      </c>
      <c r="F1556" s="146">
        <v>4.7339059023421086</v>
      </c>
      <c r="G1556" s="146">
        <v>20.749355899861936</v>
      </c>
      <c r="H1556" s="146">
        <v>11.480791190044679</v>
      </c>
      <c r="I1556" s="146"/>
      <c r="J1556" s="146">
        <v>0.31129885662928591</v>
      </c>
      <c r="K1556" s="146">
        <v>0.18</v>
      </c>
      <c r="L1556" s="146">
        <v>116.65760828391768</v>
      </c>
      <c r="M1556" s="146">
        <v>58.086775909004665</v>
      </c>
      <c r="N1556" s="146">
        <v>2.0109650396503653</v>
      </c>
      <c r="O1556" s="146"/>
      <c r="P1556" s="146"/>
      <c r="Q1556" s="146"/>
      <c r="R1556" s="146"/>
      <c r="S1556" s="146"/>
      <c r="T1556" s="146"/>
      <c r="U1556" s="146"/>
      <c r="V1556" s="146"/>
      <c r="W1556" s="146"/>
      <c r="X1556" s="146"/>
      <c r="Y1556" s="146"/>
      <c r="Z1556" s="146">
        <v>0.17515909891246262</v>
      </c>
      <c r="AA1556" s="146"/>
      <c r="AB1556" s="146"/>
      <c r="AC1556" s="146"/>
      <c r="AD1556" s="146"/>
      <c r="AE1556" s="146"/>
      <c r="AF1556" s="146"/>
      <c r="AG1556" s="146"/>
      <c r="AH1556" s="146"/>
      <c r="AI1556" s="146"/>
      <c r="AJ1556" s="146"/>
      <c r="AK1556" s="146"/>
      <c r="AL1556" s="146">
        <v>1264.1436849363624</v>
      </c>
      <c r="AM1556" s="146">
        <v>0.22814712539455778</v>
      </c>
      <c r="AN1556" s="146">
        <v>0.18188273537230432</v>
      </c>
      <c r="AO1556" s="146">
        <v>302.69868294840273</v>
      </c>
      <c r="AP1556" s="146">
        <v>258.66116511118014</v>
      </c>
      <c r="AQ1556" t="s">
        <v>384</v>
      </c>
      <c r="AR1556">
        <f t="shared" si="90"/>
        <v>9.762677251918257</v>
      </c>
      <c r="AS1556">
        <f t="shared" si="91"/>
        <v>2.6643645582431001</v>
      </c>
      <c r="AT1556">
        <v>0.2</v>
      </c>
      <c r="AU1556">
        <v>0</v>
      </c>
      <c r="AV1556">
        <v>0.3</v>
      </c>
      <c r="AW1556" s="146">
        <v>3</v>
      </c>
      <c r="AX1556" s="146">
        <v>0.22917103029960742</v>
      </c>
      <c r="AY1556">
        <v>0.18</v>
      </c>
      <c r="AZ1556" s="209">
        <v>258.66116511118014</v>
      </c>
      <c r="BA1556">
        <v>0.22917103029960742</v>
      </c>
      <c r="BB1556" s="249">
        <v>52.296336673222555</v>
      </c>
      <c r="BC1556" s="243">
        <v>208.10830071666746</v>
      </c>
      <c r="BD1556" s="209">
        <v>107141.74603520153</v>
      </c>
      <c r="BE1556" s="243">
        <v>65.880998490746563</v>
      </c>
      <c r="BF1556">
        <v>327413.74222818401</v>
      </c>
      <c r="BG1556" t="s">
        <v>390</v>
      </c>
      <c r="BH1556">
        <v>6.5509719767667135E-6</v>
      </c>
      <c r="BI1556">
        <v>2271417.4603520152</v>
      </c>
      <c r="BJ1556">
        <f t="shared" si="92"/>
        <v>0.14414511992764323</v>
      </c>
    </row>
    <row r="1557" spans="1:62" x14ac:dyDescent="0.3">
      <c r="A1557">
        <v>-0.5</v>
      </c>
      <c r="B1557" s="146">
        <v>1000</v>
      </c>
      <c r="C1557" s="146">
        <v>25</v>
      </c>
      <c r="D1557" s="146">
        <v>400</v>
      </c>
      <c r="E1557" s="252">
        <v>17.387718484681788</v>
      </c>
      <c r="F1557" s="146">
        <v>4.9135060445832313</v>
      </c>
      <c r="G1557" s="146">
        <v>20.533344785325689</v>
      </c>
      <c r="H1557" s="146">
        <v>11.510584218329535</v>
      </c>
      <c r="I1557" s="146"/>
      <c r="J1557" s="146">
        <v>0.31458727947063392</v>
      </c>
      <c r="K1557" s="146">
        <v>0.18</v>
      </c>
      <c r="L1557" s="146">
        <v>116.99420268597065</v>
      </c>
      <c r="M1557" s="146">
        <v>58.25437478139618</v>
      </c>
      <c r="N1557" s="146">
        <v>1.943888291420901</v>
      </c>
      <c r="O1557" s="146"/>
      <c r="P1557" s="146"/>
      <c r="Q1557" s="146"/>
      <c r="R1557" s="146"/>
      <c r="S1557" s="146"/>
      <c r="T1557" s="146"/>
      <c r="U1557" s="146"/>
      <c r="V1557" s="146"/>
      <c r="W1557" s="146"/>
      <c r="X1557" s="146"/>
      <c r="Y1557" s="146"/>
      <c r="Z1557" s="146">
        <v>0.16887833445720676</v>
      </c>
      <c r="AA1557" s="146"/>
      <c r="AB1557" s="146"/>
      <c r="AC1557" s="146"/>
      <c r="AD1557" s="146"/>
      <c r="AE1557" s="146"/>
      <c r="AF1557" s="146"/>
      <c r="AG1557" s="146"/>
      <c r="AH1557" s="146"/>
      <c r="AI1557" s="146"/>
      <c r="AJ1557" s="146"/>
      <c r="AK1557" s="146"/>
      <c r="AL1557" s="146">
        <v>1214.3421949667725</v>
      </c>
      <c r="AM1557" s="146">
        <v>0.23929399208718816</v>
      </c>
      <c r="AN1557" s="146">
        <v>0.15207721765589396</v>
      </c>
      <c r="AO1557" s="146">
        <v>285.66519855705747</v>
      </c>
      <c r="AP1557" s="146">
        <v>242.398049256322</v>
      </c>
      <c r="AQ1557" t="s">
        <v>384</v>
      </c>
      <c r="AR1557">
        <f t="shared" si="90"/>
        <v>9.762677251918257</v>
      </c>
      <c r="AS1557">
        <f t="shared" si="91"/>
        <v>2.6643645582431001</v>
      </c>
      <c r="AT1557">
        <v>0.2</v>
      </c>
      <c r="AU1557">
        <v>0</v>
      </c>
      <c r="AV1557">
        <v>0.3</v>
      </c>
      <c r="AW1557" s="146">
        <v>3</v>
      </c>
      <c r="AX1557" s="146">
        <v>0.22925940049435459</v>
      </c>
      <c r="AY1557">
        <v>0.18</v>
      </c>
      <c r="AZ1557" s="209">
        <v>242.398049256322</v>
      </c>
      <c r="BA1557">
        <v>0.22925940049435459</v>
      </c>
      <c r="BB1557" s="249">
        <v>53.239132390281469</v>
      </c>
      <c r="BC1557" s="243">
        <v>209.08049010267524</v>
      </c>
      <c r="BD1557" s="209">
        <v>107943.309097046</v>
      </c>
      <c r="BE1557" s="243">
        <v>66.468821238239826</v>
      </c>
      <c r="BF1557">
        <v>322100.06763378094</v>
      </c>
      <c r="BG1557" t="s">
        <v>390</v>
      </c>
      <c r="BH1557">
        <v>6.4258640843286915E-6</v>
      </c>
      <c r="BI1557">
        <v>2279433.0909704603</v>
      </c>
      <c r="BJ1557">
        <f t="shared" si="92"/>
        <v>0.14130709469372843</v>
      </c>
    </row>
    <row r="1558" spans="1:62" x14ac:dyDescent="0.3">
      <c r="A1558">
        <v>-0.6</v>
      </c>
      <c r="B1558" s="146">
        <v>1000</v>
      </c>
      <c r="C1558" s="146">
        <v>25</v>
      </c>
      <c r="D1558" s="146">
        <v>400</v>
      </c>
      <c r="E1558" s="252">
        <v>16.913987672017164</v>
      </c>
      <c r="F1558" s="146">
        <v>5.1926241914893918</v>
      </c>
      <c r="G1558" s="146">
        <v>20.205533400951698</v>
      </c>
      <c r="H1558" s="146">
        <v>11.562521889021456</v>
      </c>
      <c r="I1558" s="146"/>
      <c r="J1558" s="146">
        <v>0.32090507674112562</v>
      </c>
      <c r="K1558" s="146">
        <v>0.18</v>
      </c>
      <c r="L1558" s="146">
        <v>117.57832962074849</v>
      </c>
      <c r="M1558" s="146">
        <v>58.545226367177669</v>
      </c>
      <c r="N1558" s="146">
        <v>1.8374688408077056</v>
      </c>
      <c r="O1558" s="146"/>
      <c r="P1558" s="146"/>
      <c r="Q1558" s="146"/>
      <c r="R1558" s="146"/>
      <c r="S1558" s="146"/>
      <c r="T1558" s="146"/>
      <c r="U1558" s="146"/>
      <c r="V1558" s="146"/>
      <c r="W1558" s="146"/>
      <c r="X1558" s="146"/>
      <c r="Y1558" s="146"/>
      <c r="Z1558" s="146">
        <v>0.15891592322539697</v>
      </c>
      <c r="AA1558" s="146"/>
      <c r="AB1558" s="146"/>
      <c r="AC1558" s="146"/>
      <c r="AD1558" s="146"/>
      <c r="AE1558" s="146"/>
      <c r="AF1558" s="146"/>
      <c r="AG1558" s="146"/>
      <c r="AH1558" s="146"/>
      <c r="AI1558" s="146"/>
      <c r="AJ1558" s="146"/>
      <c r="AK1558" s="146"/>
      <c r="AL1558" s="146">
        <v>1138.2802039775668</v>
      </c>
      <c r="AM1558" s="146">
        <v>0.25699020602172346</v>
      </c>
      <c r="AN1558" s="146">
        <v>0.12224076448549917</v>
      </c>
      <c r="AO1558" s="146">
        <v>261.63381959196113</v>
      </c>
      <c r="AP1558" s="146">
        <v>219.54578357371375</v>
      </c>
      <c r="AQ1558" t="s">
        <v>384</v>
      </c>
      <c r="AR1558">
        <f t="shared" si="90"/>
        <v>9.762677251918257</v>
      </c>
      <c r="AS1558">
        <f t="shared" si="91"/>
        <v>2.6643645582431001</v>
      </c>
      <c r="AT1558">
        <v>0.2</v>
      </c>
      <c r="AU1558">
        <v>0</v>
      </c>
      <c r="AV1558">
        <v>0.3</v>
      </c>
      <c r="AW1558" s="146">
        <v>3</v>
      </c>
      <c r="AX1558" s="146">
        <v>0.23005961720189455</v>
      </c>
      <c r="AY1558">
        <v>0.18</v>
      </c>
      <c r="AZ1558" s="209">
        <v>219.54578357371375</v>
      </c>
      <c r="BA1558">
        <v>0.23005961720189455</v>
      </c>
      <c r="BB1558" s="249">
        <v>54.693986160668196</v>
      </c>
      <c r="BC1558" s="243">
        <v>210.77819199463593</v>
      </c>
      <c r="BD1558" s="209">
        <v>109222.52580917218</v>
      </c>
      <c r="BE1558" s="243">
        <v>67.315261281298149</v>
      </c>
      <c r="BF1558">
        <v>313986.64188599039</v>
      </c>
      <c r="BG1558" t="s">
        <v>390</v>
      </c>
      <c r="BH1558">
        <v>6.2336520651347513E-6</v>
      </c>
      <c r="BI1558">
        <v>2292225.2580917217</v>
      </c>
      <c r="BJ1558">
        <f t="shared" si="92"/>
        <v>0.136978964339388</v>
      </c>
    </row>
    <row r="1559" spans="1:62" x14ac:dyDescent="0.3">
      <c r="A1559">
        <v>-0.7</v>
      </c>
      <c r="B1559" s="146">
        <v>1000</v>
      </c>
      <c r="C1559" s="146">
        <v>25</v>
      </c>
      <c r="D1559" s="146">
        <v>400</v>
      </c>
      <c r="E1559" s="252">
        <v>16.093868854881002</v>
      </c>
      <c r="F1559" s="146">
        <v>5.6746307882666702</v>
      </c>
      <c r="G1559" s="146">
        <v>19.636881800922176</v>
      </c>
      <c r="H1559" s="146">
        <v>11.645893983509396</v>
      </c>
      <c r="I1559" s="146"/>
      <c r="J1559" s="146">
        <v>0.33379984306782085</v>
      </c>
      <c r="K1559" s="146">
        <v>0.18</v>
      </c>
      <c r="L1559" s="146">
        <v>118.53987069531283</v>
      </c>
      <c r="M1559" s="146">
        <v>59.024002005964903</v>
      </c>
      <c r="N1559" s="146">
        <v>1.6597769149907862</v>
      </c>
      <c r="O1559" s="146"/>
      <c r="P1559" s="146"/>
      <c r="Q1559" s="146"/>
      <c r="R1559" s="146"/>
      <c r="S1559" s="146"/>
      <c r="T1559" s="146"/>
      <c r="U1559" s="146"/>
      <c r="V1559" s="146"/>
      <c r="W1559" s="146"/>
      <c r="X1559" s="146"/>
      <c r="Y1559" s="146"/>
      <c r="Z1559" s="146">
        <v>0.14252035243846739</v>
      </c>
      <c r="AA1559" s="146"/>
      <c r="AB1559" s="146"/>
      <c r="AC1559" s="146"/>
      <c r="AD1559" s="146"/>
      <c r="AE1559" s="146"/>
      <c r="AF1559" s="146"/>
      <c r="AG1559" s="146"/>
      <c r="AH1559" s="146"/>
      <c r="AI1559" s="146"/>
      <c r="AJ1559" s="146"/>
      <c r="AK1559" s="146"/>
      <c r="AL1559" s="146">
        <v>1015.397673217574</v>
      </c>
      <c r="AM1559" s="146">
        <v>0.28897820162059445</v>
      </c>
      <c r="AN1559" s="146">
        <v>9.2258351006477751E-2</v>
      </c>
      <c r="AO1559" s="146">
        <v>225.55650865956838</v>
      </c>
      <c r="AP1559" s="146">
        <v>185.50921572218047</v>
      </c>
      <c r="AQ1559" t="s">
        <v>384</v>
      </c>
      <c r="AR1559">
        <f t="shared" si="90"/>
        <v>9.762677251918257</v>
      </c>
      <c r="AS1559">
        <f t="shared" si="91"/>
        <v>2.6643645582431001</v>
      </c>
      <c r="AT1559">
        <v>0.2</v>
      </c>
      <c r="AU1559">
        <v>0</v>
      </c>
      <c r="AV1559">
        <v>0.3</v>
      </c>
      <c r="AW1559" s="146">
        <v>3</v>
      </c>
      <c r="AX1559" s="146">
        <v>0.23239113944684658</v>
      </c>
      <c r="AY1559">
        <v>0.18</v>
      </c>
      <c r="AZ1559" s="209">
        <v>185.50921572218047</v>
      </c>
      <c r="BA1559">
        <v>0.23239113944684658</v>
      </c>
      <c r="BB1559" s="249">
        <v>57.162817745582871</v>
      </c>
      <c r="BC1559" s="243">
        <v>213.60250263190153</v>
      </c>
      <c r="BD1559" s="209">
        <v>111805.21149668736</v>
      </c>
      <c r="BE1559" s="243">
        <v>68.676518131233451</v>
      </c>
      <c r="BF1559">
        <v>300316.44273009762</v>
      </c>
      <c r="BG1559" t="s">
        <v>390</v>
      </c>
      <c r="BH1559">
        <v>5.8930005956225327E-6</v>
      </c>
      <c r="BI1559">
        <v>2318052.1149668735</v>
      </c>
      <c r="BJ1559">
        <f t="shared" si="92"/>
        <v>0.12955551809687824</v>
      </c>
    </row>
    <row r="1560" spans="1:62" x14ac:dyDescent="0.3">
      <c r="A1560">
        <v>-0.8</v>
      </c>
      <c r="B1560" s="146">
        <v>1000</v>
      </c>
      <c r="C1560" s="146">
        <v>25</v>
      </c>
      <c r="D1560" s="146">
        <v>400</v>
      </c>
      <c r="E1560" s="252">
        <v>14.414870551720998</v>
      </c>
      <c r="F1560" s="146">
        <v>7.0731384140983291</v>
      </c>
      <c r="G1560" s="146">
        <v>18.694640225108294</v>
      </c>
      <c r="H1560" s="146">
        <v>11.806947865746576</v>
      </c>
      <c r="I1560" s="146"/>
      <c r="J1560" s="146">
        <v>0.35565325068370363</v>
      </c>
      <c r="K1560" s="146">
        <v>0.18</v>
      </c>
      <c r="L1560" s="146">
        <v>120.57259654237068</v>
      </c>
      <c r="M1560" s="146">
        <v>60.036147655952213</v>
      </c>
      <c r="N1560" s="146">
        <v>1.3237437913611707</v>
      </c>
      <c r="O1560" s="146"/>
      <c r="P1560" s="146"/>
      <c r="Q1560" s="146"/>
      <c r="R1560" s="146"/>
      <c r="S1560" s="146"/>
      <c r="T1560" s="146"/>
      <c r="U1560" s="146"/>
      <c r="V1560" s="146"/>
      <c r="W1560" s="146"/>
      <c r="X1560" s="146"/>
      <c r="Y1560" s="146"/>
      <c r="Z1560" s="146">
        <v>0.11211566328682759</v>
      </c>
      <c r="AA1560" s="146"/>
      <c r="AB1560" s="146"/>
      <c r="AC1560" s="146"/>
      <c r="AD1560" s="146"/>
      <c r="AE1560" s="146"/>
      <c r="AF1560" s="146"/>
      <c r="AG1560" s="146"/>
      <c r="AH1560" s="146"/>
      <c r="AI1560" s="146"/>
      <c r="AJ1560" s="146"/>
      <c r="AK1560" s="146"/>
      <c r="AL1560" s="146">
        <v>786.45196378230662</v>
      </c>
      <c r="AM1560" s="146">
        <v>0.37835113855780855</v>
      </c>
      <c r="AN1560" s="146">
        <v>6.0174692657100577E-2</v>
      </c>
      <c r="AO1560" s="146">
        <v>160.44961901404821</v>
      </c>
      <c r="AP1560" s="146">
        <v>124.5800681017201</v>
      </c>
      <c r="AQ1560" t="s">
        <v>384</v>
      </c>
      <c r="AR1560">
        <f t="shared" si="90"/>
        <v>9.762677251918257</v>
      </c>
      <c r="AS1560">
        <f t="shared" si="91"/>
        <v>2.6643645582431001</v>
      </c>
      <c r="AT1560">
        <v>0.2</v>
      </c>
      <c r="AU1560">
        <v>0</v>
      </c>
      <c r="AV1560">
        <v>0.3</v>
      </c>
      <c r="AW1560" s="146">
        <v>3</v>
      </c>
      <c r="AX1560" s="146">
        <v>0.23072188839858848</v>
      </c>
      <c r="AY1560">
        <v>0.18</v>
      </c>
      <c r="AZ1560" s="209">
        <v>124.5800681017201</v>
      </c>
      <c r="BA1560">
        <v>0.23072188839858848</v>
      </c>
      <c r="BB1560" s="249">
        <v>65.055160044365721</v>
      </c>
      <c r="BC1560" s="243">
        <v>219.69890014686197</v>
      </c>
      <c r="BD1560" s="209">
        <v>120608.42922038259</v>
      </c>
      <c r="BE1560" s="243">
        <v>77.581286388390339</v>
      </c>
      <c r="BF1560">
        <v>281939.76169086836</v>
      </c>
      <c r="BG1560" t="s">
        <v>390</v>
      </c>
      <c r="BH1560">
        <v>5.1136796310422773E-6</v>
      </c>
      <c r="BI1560">
        <v>2406084.2922038259</v>
      </c>
      <c r="BJ1560">
        <f t="shared" si="92"/>
        <v>0.1171778406119882</v>
      </c>
    </row>
    <row r="1561" spans="1:62" x14ac:dyDescent="0.3">
      <c r="A1561">
        <v>-0.85</v>
      </c>
      <c r="B1561" s="146">
        <v>1000</v>
      </c>
      <c r="C1561" s="146">
        <v>25</v>
      </c>
      <c r="D1561" s="146">
        <v>400</v>
      </c>
      <c r="E1561" s="252">
        <v>10.066790951333171</v>
      </c>
      <c r="F1561" s="146">
        <v>4.4470276572504615</v>
      </c>
      <c r="G1561" s="146">
        <v>12.718700393608362</v>
      </c>
      <c r="H1561" s="146">
        <v>7.7324479430350834</v>
      </c>
      <c r="I1561" s="146"/>
      <c r="J1561" s="146">
        <v>0.35864422203330171</v>
      </c>
      <c r="K1561" s="146">
        <v>0.18</v>
      </c>
      <c r="L1561" s="146">
        <v>79.239292354291891</v>
      </c>
      <c r="M1561" s="146">
        <v>39.455249305041612</v>
      </c>
      <c r="N1561" s="146">
        <v>1.0703325049116295</v>
      </c>
      <c r="O1561" s="146"/>
      <c r="P1561" s="146"/>
      <c r="Q1561" s="146"/>
      <c r="R1561" s="146"/>
      <c r="S1561" s="146"/>
      <c r="T1561" s="146"/>
      <c r="U1561" s="146"/>
      <c r="V1561" s="146"/>
      <c r="W1561" s="146"/>
      <c r="X1561" s="146"/>
      <c r="Y1561" s="146"/>
      <c r="Z1561" s="146">
        <v>0.13842091311791108</v>
      </c>
      <c r="AA1561" s="146"/>
      <c r="AB1561" s="146"/>
      <c r="AC1561" s="146"/>
      <c r="AD1561" s="146"/>
      <c r="AE1561" s="146"/>
      <c r="AF1561" s="146"/>
      <c r="AG1561" s="146"/>
      <c r="AH1561" s="146"/>
      <c r="AI1561" s="146"/>
      <c r="AJ1561" s="146"/>
      <c r="AK1561" s="146"/>
      <c r="AL1561" s="146">
        <v>685.97311480358553</v>
      </c>
      <c r="AM1561" s="146">
        <v>0.34964481587169588</v>
      </c>
      <c r="AN1561" s="146">
        <v>4.4912288601053764E-2</v>
      </c>
      <c r="AO1561" s="146">
        <v>175.8566471471913</v>
      </c>
      <c r="AP1561" s="146">
        <v>150.80686234777042</v>
      </c>
      <c r="AQ1561" t="s">
        <v>384</v>
      </c>
      <c r="AR1561">
        <f t="shared" si="90"/>
        <v>9.762677251918257</v>
      </c>
      <c r="AS1561">
        <f t="shared" si="91"/>
        <v>2.6643645582431001</v>
      </c>
      <c r="AT1561">
        <v>0.2</v>
      </c>
      <c r="AU1561">
        <v>0</v>
      </c>
      <c r="AV1561">
        <v>0.3</v>
      </c>
      <c r="AW1561" s="146">
        <v>3</v>
      </c>
      <c r="AX1561" s="146">
        <v>0.23412240006380031</v>
      </c>
      <c r="AY1561">
        <v>0.18</v>
      </c>
      <c r="AZ1561" s="209">
        <v>150.80686234777042</v>
      </c>
      <c r="BA1561">
        <v>0.23412240006380031</v>
      </c>
      <c r="BB1561" s="249">
        <v>42.346254525898459</v>
      </c>
      <c r="BC1561" s="243">
        <v>120.54822878131777</v>
      </c>
      <c r="BD1561" s="209">
        <v>62479.743519597068</v>
      </c>
      <c r="BE1561" s="243">
        <v>50.810016678665981</v>
      </c>
      <c r="BF1561">
        <v>662200.14994678763</v>
      </c>
      <c r="BG1561" t="s">
        <v>390</v>
      </c>
      <c r="BH1561">
        <v>3.7235117367961663E-6</v>
      </c>
      <c r="BI1561">
        <v>1824797.4351959708</v>
      </c>
      <c r="BJ1561">
        <f t="shared" si="92"/>
        <v>0.36288967595774368</v>
      </c>
    </row>
    <row r="1562" spans="1:62" s="160" customFormat="1" ht="15" thickBot="1" x14ac:dyDescent="0.35">
      <c r="A1562" s="160">
        <v>-0.87</v>
      </c>
      <c r="B1562" s="160">
        <v>1000</v>
      </c>
      <c r="C1562" s="160">
        <v>25</v>
      </c>
      <c r="D1562" s="160">
        <v>400</v>
      </c>
      <c r="E1562" s="250">
        <v>3.5607082474964917</v>
      </c>
      <c r="F1562" s="160">
        <v>0.98508143472020371</v>
      </c>
      <c r="G1562" s="160">
        <v>4.162364196030949</v>
      </c>
      <c r="H1562" s="160">
        <v>2.3093319522893645</v>
      </c>
      <c r="J1562" s="160">
        <v>0.37736044320764811</v>
      </c>
      <c r="K1562" s="160">
        <v>0.18</v>
      </c>
      <c r="L1562" s="160">
        <v>23.632210457034304</v>
      </c>
      <c r="M1562" s="160">
        <v>11.767075746241145</v>
      </c>
      <c r="N1562" s="160">
        <v>0.55858619095885964</v>
      </c>
      <c r="Z1562" s="160">
        <v>0.24188215574859354</v>
      </c>
      <c r="AL1562" s="160">
        <v>581.86606579513352</v>
      </c>
      <c r="AM1562" s="160">
        <v>0.23666392183065935</v>
      </c>
      <c r="AN1562" s="160">
        <v>4.0203702204236157E-2</v>
      </c>
      <c r="AO1562" s="160">
        <v>311.43332448817836</v>
      </c>
      <c r="AP1562" s="160">
        <v>302.5729703157034</v>
      </c>
      <c r="AQ1562" t="s">
        <v>384</v>
      </c>
      <c r="AR1562" s="160">
        <f t="shared" si="90"/>
        <v>9.762677251918257</v>
      </c>
      <c r="AS1562" s="160">
        <f t="shared" si="91"/>
        <v>2.6643645582431001</v>
      </c>
      <c r="AT1562" s="160">
        <v>0.2</v>
      </c>
      <c r="AU1562">
        <v>0</v>
      </c>
      <c r="AV1562" s="160">
        <v>0.3</v>
      </c>
      <c r="AW1562" s="160">
        <v>3</v>
      </c>
      <c r="AX1562" s="160">
        <v>0.26380385419634039</v>
      </c>
      <c r="AY1562" s="160">
        <v>0.18</v>
      </c>
      <c r="AZ1562" s="248">
        <v>302.5729703157034</v>
      </c>
      <c r="BA1562" s="160">
        <v>0.26380385419634039</v>
      </c>
      <c r="BB1562" s="250">
        <v>10.912324183191647</v>
      </c>
      <c r="BC1562" s="246">
        <v>30.960378494940965</v>
      </c>
      <c r="BD1562" s="248">
        <v>12311.230358155963</v>
      </c>
      <c r="BE1562" s="246">
        <v>12.685713974801139</v>
      </c>
      <c r="BF1562" s="160">
        <v>848802.57072133094</v>
      </c>
      <c r="BG1562" s="254" t="s">
        <v>390</v>
      </c>
      <c r="BH1562" s="160">
        <v>1.2570554392356643E-6</v>
      </c>
      <c r="BI1562" s="160">
        <v>1323112.3035815596</v>
      </c>
      <c r="BJ1562">
        <f t="shared" si="92"/>
        <v>0.64151967177970459</v>
      </c>
    </row>
    <row r="1563" spans="1:62" x14ac:dyDescent="0.3">
      <c r="A1563">
        <v>-0.1</v>
      </c>
      <c r="B1563" s="146">
        <v>100</v>
      </c>
      <c r="C1563" s="146">
        <v>25</v>
      </c>
      <c r="D1563" s="146">
        <v>400</v>
      </c>
      <c r="E1563" s="249">
        <v>3.124017773067274</v>
      </c>
      <c r="F1563">
        <v>0.59359093743142322</v>
      </c>
      <c r="G1563">
        <v>3.6309194605951078</v>
      </c>
      <c r="H1563">
        <v>2.9827574366135363</v>
      </c>
      <c r="J1563">
        <v>0.53405057818399826</v>
      </c>
      <c r="K1563">
        <v>0.27</v>
      </c>
      <c r="L1563">
        <v>20.015495241928647</v>
      </c>
      <c r="M1563">
        <v>8.720443985072647</v>
      </c>
      <c r="N1563">
        <v>0.91206505719230924</v>
      </c>
      <c r="Z1563">
        <v>0.30577915790156213</v>
      </c>
      <c r="AL1563">
        <v>831.90963900409167</v>
      </c>
      <c r="AM1563">
        <v>0.16348226499470017</v>
      </c>
      <c r="AN1563">
        <v>0.19108249621068787</v>
      </c>
      <c r="AO1563">
        <v>383.6509474440677</v>
      </c>
      <c r="AP1563">
        <v>375.87711040793681</v>
      </c>
      <c r="AQ1563" t="s">
        <v>385</v>
      </c>
      <c r="AR1563">
        <f t="shared" ref="AR1563:AR1602" si="93">0.45*Jsat_t</f>
        <v>14.644015877877388</v>
      </c>
      <c r="AS1563">
        <f t="shared" ref="AS1563:AS1602" si="94">0.15*Jatp</f>
        <v>3.9965468373646496</v>
      </c>
      <c r="AT1563">
        <v>0.3</v>
      </c>
      <c r="AU1563">
        <v>0</v>
      </c>
      <c r="AV1563">
        <v>0.4</v>
      </c>
      <c r="AW1563">
        <v>3</v>
      </c>
      <c r="AX1563">
        <v>0.40618982641765106</v>
      </c>
      <c r="AY1563">
        <v>0.27</v>
      </c>
      <c r="AZ1563" s="209">
        <v>375.87711040793681</v>
      </c>
      <c r="BA1563">
        <v>0.40618982641765106</v>
      </c>
      <c r="BB1563" s="249">
        <v>7.6582791255176001</v>
      </c>
      <c r="BC1563" s="243">
        <v>70.15711779746826</v>
      </c>
      <c r="BD1563" s="209">
        <v>24888.319661715239</v>
      </c>
      <c r="BE1563" s="243">
        <v>13.885369727380597</v>
      </c>
      <c r="BF1563">
        <v>17208.811732734073</v>
      </c>
      <c r="BG1563" t="s">
        <v>387</v>
      </c>
      <c r="BH1563">
        <v>1.925369333242438E-6</v>
      </c>
      <c r="BI1563">
        <v>1448883.1966171523</v>
      </c>
      <c r="BJ1563">
        <f t="shared" si="92"/>
        <v>1.187729402405463E-2</v>
      </c>
    </row>
    <row r="1564" spans="1:62" x14ac:dyDescent="0.3">
      <c r="A1564">
        <v>-0.1</v>
      </c>
      <c r="B1564" s="146">
        <v>200</v>
      </c>
      <c r="C1564" s="146">
        <v>25</v>
      </c>
      <c r="D1564" s="146">
        <v>400</v>
      </c>
      <c r="E1564" s="252">
        <v>5.8608109848345</v>
      </c>
      <c r="F1564" s="146">
        <v>1.0120037295786806</v>
      </c>
      <c r="G1564" s="146">
        <v>6.6749223571800762</v>
      </c>
      <c r="H1564" s="146">
        <v>5.5124732779548156</v>
      </c>
      <c r="I1564" s="146"/>
      <c r="J1564" s="146">
        <v>0.54548429309296798</v>
      </c>
      <c r="K1564" s="146">
        <v>0.27</v>
      </c>
      <c r="L1564" s="146">
        <v>37.070183956032224</v>
      </c>
      <c r="M1564" s="146">
        <v>16.15091002233769</v>
      </c>
      <c r="N1564" s="146">
        <v>1.406853600819205</v>
      </c>
      <c r="O1564" s="146"/>
      <c r="P1564" s="146"/>
      <c r="Q1564" s="146"/>
      <c r="R1564" s="146"/>
      <c r="S1564" s="146"/>
      <c r="T1564" s="146"/>
      <c r="U1564" s="146"/>
      <c r="V1564" s="146"/>
      <c r="W1564" s="146"/>
      <c r="X1564" s="146"/>
      <c r="Y1564" s="146"/>
      <c r="Z1564" s="146">
        <v>0.25521277471682585</v>
      </c>
      <c r="AA1564" s="146"/>
      <c r="AB1564" s="146"/>
      <c r="AC1564" s="146"/>
      <c r="AD1564" s="146"/>
      <c r="AE1564" s="146"/>
      <c r="AF1564" s="146"/>
      <c r="AG1564" s="146"/>
      <c r="AH1564" s="146"/>
      <c r="AI1564" s="146"/>
      <c r="AJ1564" s="146"/>
      <c r="AK1564" s="146"/>
      <c r="AL1564" s="146">
        <v>1061.615124684804</v>
      </c>
      <c r="AM1564" s="146">
        <v>0.15161280917224287</v>
      </c>
      <c r="AN1564" s="146">
        <v>0.21525040544545504</v>
      </c>
      <c r="AO1564" s="146">
        <v>372.77212568912142</v>
      </c>
      <c r="AP1564" s="146">
        <v>358.18832427520221</v>
      </c>
      <c r="AQ1564" t="s">
        <v>385</v>
      </c>
      <c r="AR1564">
        <f t="shared" si="93"/>
        <v>14.644015877877388</v>
      </c>
      <c r="AS1564">
        <f t="shared" si="94"/>
        <v>3.9965468373646496</v>
      </c>
      <c r="AT1564">
        <v>0.3</v>
      </c>
      <c r="AU1564">
        <v>0</v>
      </c>
      <c r="AV1564">
        <v>0.4</v>
      </c>
      <c r="AW1564" s="146">
        <v>3</v>
      </c>
      <c r="AX1564" s="146">
        <v>0.43455041527878929</v>
      </c>
      <c r="AY1564">
        <v>0.27</v>
      </c>
      <c r="AZ1564" s="209">
        <v>358.18832427520221</v>
      </c>
      <c r="BA1564">
        <v>0.43455041527878929</v>
      </c>
      <c r="BB1564" s="249">
        <v>13.402733417926811</v>
      </c>
      <c r="BC1564" s="243">
        <v>102.16971888188843</v>
      </c>
      <c r="BD1564" s="209">
        <v>39547.231301493608</v>
      </c>
      <c r="BE1564" s="243">
        <v>21.074084140605866</v>
      </c>
      <c r="BF1564">
        <v>48315.123474419321</v>
      </c>
      <c r="BG1564" t="s">
        <v>387</v>
      </c>
      <c r="BH1564">
        <v>3.3517146545917834E-6</v>
      </c>
      <c r="BI1564">
        <v>1595472.3130149362</v>
      </c>
      <c r="BJ1564">
        <f t="shared" si="92"/>
        <v>3.0282646135750907E-2</v>
      </c>
    </row>
    <row r="1565" spans="1:62" x14ac:dyDescent="0.3">
      <c r="A1565">
        <v>-0.1</v>
      </c>
      <c r="B1565" s="146">
        <v>300</v>
      </c>
      <c r="C1565" s="146">
        <v>25</v>
      </c>
      <c r="D1565" s="146">
        <v>400</v>
      </c>
      <c r="E1565" s="252">
        <v>8.2412255652715523</v>
      </c>
      <c r="F1565" s="146">
        <v>1.3649446855223393</v>
      </c>
      <c r="G1565" s="146">
        <v>9.3032239697256482</v>
      </c>
      <c r="H1565" s="146">
        <v>7.7399885725544619</v>
      </c>
      <c r="I1565" s="146"/>
      <c r="J1565" s="146">
        <v>0.55626222860153929</v>
      </c>
      <c r="K1565" s="146">
        <v>0.27</v>
      </c>
      <c r="L1565" s="146">
        <v>52.133767829191271</v>
      </c>
      <c r="M1565" s="146">
        <v>22.713882249232711</v>
      </c>
      <c r="N1565" s="146">
        <v>1.7630526370311079</v>
      </c>
      <c r="O1565" s="146"/>
      <c r="P1565" s="146"/>
      <c r="Q1565" s="146"/>
      <c r="R1565" s="146"/>
      <c r="S1565" s="146"/>
      <c r="T1565" s="146"/>
      <c r="U1565" s="146"/>
      <c r="V1565" s="146"/>
      <c r="W1565" s="146"/>
      <c r="X1565" s="146"/>
      <c r="Y1565" s="146"/>
      <c r="Z1565" s="146">
        <v>0.22778491473266349</v>
      </c>
      <c r="AA1565" s="146"/>
      <c r="AB1565" s="146"/>
      <c r="AC1565" s="146"/>
      <c r="AD1565" s="146"/>
      <c r="AE1565" s="146"/>
      <c r="AF1565" s="146"/>
      <c r="AG1565" s="146"/>
      <c r="AH1565" s="146"/>
      <c r="AI1565" s="146"/>
      <c r="AJ1565" s="146"/>
      <c r="AK1565" s="146"/>
      <c r="AL1565" s="146">
        <v>1224.9807922903863</v>
      </c>
      <c r="AM1565" s="146">
        <v>0.1467173842061755</v>
      </c>
      <c r="AN1565" s="146">
        <v>0.22867892672118825</v>
      </c>
      <c r="AO1565" s="146">
        <v>363.96158717624434</v>
      </c>
      <c r="AP1565" s="146">
        <v>343.45447377483356</v>
      </c>
      <c r="AQ1565" t="s">
        <v>385</v>
      </c>
      <c r="AR1565">
        <f t="shared" si="93"/>
        <v>14.644015877877388</v>
      </c>
      <c r="AS1565">
        <f t="shared" si="94"/>
        <v>3.9965468373646496</v>
      </c>
      <c r="AT1565">
        <v>0.3</v>
      </c>
      <c r="AU1565">
        <v>0</v>
      </c>
      <c r="AV1565">
        <v>0.4</v>
      </c>
      <c r="AW1565" s="146">
        <v>3</v>
      </c>
      <c r="AX1565" s="146">
        <v>0.45403089029188898</v>
      </c>
      <c r="AY1565">
        <v>0.27</v>
      </c>
      <c r="AZ1565" s="209">
        <v>343.45447377483356</v>
      </c>
      <c r="BA1565">
        <v>0.45403089029188898</v>
      </c>
      <c r="BB1565" s="249">
        <v>18.227120492171217</v>
      </c>
      <c r="BC1565" s="243">
        <v>125.20030264375914</v>
      </c>
      <c r="BD1565" s="209">
        <v>51151.300957584805</v>
      </c>
      <c r="BE1565" s="243">
        <v>26.610122033411766</v>
      </c>
      <c r="BF1565">
        <v>84077.418932581742</v>
      </c>
      <c r="BG1565" t="s">
        <v>387</v>
      </c>
      <c r="BH1565">
        <v>4.3678509454127672E-6</v>
      </c>
      <c r="BI1565">
        <v>1711513.009575848</v>
      </c>
      <c r="BJ1565">
        <f t="shared" si="92"/>
        <v>4.9124615741844721E-2</v>
      </c>
    </row>
    <row r="1566" spans="1:62" x14ac:dyDescent="0.3">
      <c r="A1566">
        <v>-0.1</v>
      </c>
      <c r="B1566" s="146">
        <v>400</v>
      </c>
      <c r="C1566" s="146">
        <v>25</v>
      </c>
      <c r="D1566" s="146">
        <v>400</v>
      </c>
      <c r="E1566" s="252">
        <v>10.334545389698581</v>
      </c>
      <c r="F1566" s="146">
        <v>1.6755059227493003</v>
      </c>
      <c r="G1566" s="146">
        <v>11.609078117760717</v>
      </c>
      <c r="H1566" s="146">
        <v>9.731706140610056</v>
      </c>
      <c r="I1566" s="146"/>
      <c r="J1566" s="146">
        <v>0.56666692751639292</v>
      </c>
      <c r="K1566" s="146">
        <v>0.27</v>
      </c>
      <c r="L1566" s="146">
        <v>65.635829149464101</v>
      </c>
      <c r="M1566" s="146">
        <v>28.596523073417966</v>
      </c>
      <c r="N1566" s="146">
        <v>2.0377798187807912</v>
      </c>
      <c r="O1566" s="146"/>
      <c r="P1566" s="146"/>
      <c r="Q1566" s="146"/>
      <c r="R1566" s="146"/>
      <c r="S1566" s="146"/>
      <c r="T1566" s="146"/>
      <c r="U1566" s="146"/>
      <c r="V1566" s="146"/>
      <c r="W1566" s="146"/>
      <c r="X1566" s="146"/>
      <c r="Y1566" s="146"/>
      <c r="Z1566" s="146">
        <v>0.20939594654191315</v>
      </c>
      <c r="AA1566" s="146"/>
      <c r="AB1566" s="146"/>
      <c r="AC1566" s="146"/>
      <c r="AD1566" s="146"/>
      <c r="AE1566" s="146"/>
      <c r="AF1566" s="146"/>
      <c r="AG1566" s="146"/>
      <c r="AH1566" s="146"/>
      <c r="AI1566" s="146"/>
      <c r="AJ1566" s="146"/>
      <c r="AK1566" s="146"/>
      <c r="AL1566" s="146">
        <v>1349.6793173878668</v>
      </c>
      <c r="AM1566" s="146">
        <v>0.14432721580070562</v>
      </c>
      <c r="AN1566" s="146">
        <v>0.23760547161845427</v>
      </c>
      <c r="AO1566" s="146">
        <v>356.50544021859167</v>
      </c>
      <c r="AP1566" s="146">
        <v>330.78940799747193</v>
      </c>
      <c r="AQ1566" t="s">
        <v>385</v>
      </c>
      <c r="AR1566">
        <f t="shared" si="93"/>
        <v>14.644015877877388</v>
      </c>
      <c r="AS1566">
        <f t="shared" si="94"/>
        <v>3.9965468373646496</v>
      </c>
      <c r="AT1566">
        <v>0.3</v>
      </c>
      <c r="AU1566">
        <v>0</v>
      </c>
      <c r="AV1566">
        <v>0.4</v>
      </c>
      <c r="AW1566" s="146">
        <v>3</v>
      </c>
      <c r="AX1566" s="146">
        <v>0.46967160933242935</v>
      </c>
      <c r="AY1566">
        <v>0.27</v>
      </c>
      <c r="AZ1566" s="209">
        <v>330.78940799747193</v>
      </c>
      <c r="BA1566">
        <v>0.46967160933242935</v>
      </c>
      <c r="BB1566" s="249">
        <v>22.407145903202704</v>
      </c>
      <c r="BC1566" s="243">
        <v>143.5482225292065</v>
      </c>
      <c r="BD1566" s="209">
        <v>60912.084847829792</v>
      </c>
      <c r="BE1566" s="243">
        <v>31.163684145787588</v>
      </c>
      <c r="BF1566">
        <v>121646.50773068886</v>
      </c>
      <c r="BG1566" t="s">
        <v>387</v>
      </c>
      <c r="BH1566">
        <v>5.1231566125110057E-6</v>
      </c>
      <c r="BI1566">
        <v>1809120.8484782979</v>
      </c>
      <c r="BJ1566">
        <f t="shared" si="92"/>
        <v>6.7240675399329528E-2</v>
      </c>
    </row>
    <row r="1567" spans="1:62" x14ac:dyDescent="0.3">
      <c r="A1567">
        <v>-0.1</v>
      </c>
      <c r="B1567" s="146">
        <v>600</v>
      </c>
      <c r="C1567" s="146">
        <v>25</v>
      </c>
      <c r="D1567" s="146">
        <v>400</v>
      </c>
      <c r="E1567" s="252">
        <v>13.830643598098277</v>
      </c>
      <c r="F1567" s="146">
        <v>2.20193621319107</v>
      </c>
      <c r="G1567" s="146">
        <v>15.456100881301328</v>
      </c>
      <c r="H1567" s="146">
        <v>13.145421048424637</v>
      </c>
      <c r="I1567" s="146"/>
      <c r="J1567" s="146">
        <v>0.58678319760848008</v>
      </c>
      <c r="K1567" s="146">
        <v>0.27</v>
      </c>
      <c r="L1567" s="146">
        <v>88.849035023029415</v>
      </c>
      <c r="M1567" s="146">
        <v>38.710160487211986</v>
      </c>
      <c r="N1567" s="146">
        <v>2.4324844935728933</v>
      </c>
      <c r="O1567" s="146"/>
      <c r="P1567" s="146"/>
      <c r="Q1567" s="146"/>
      <c r="R1567" s="146"/>
      <c r="S1567" s="146"/>
      <c r="T1567" s="146"/>
      <c r="U1567" s="146"/>
      <c r="V1567" s="146"/>
      <c r="W1567" s="146"/>
      <c r="X1567" s="146"/>
      <c r="Y1567" s="146"/>
      <c r="Z1567" s="146">
        <v>0.18504424351355447</v>
      </c>
      <c r="AA1567" s="146"/>
      <c r="AB1567" s="146"/>
      <c r="AC1567" s="146"/>
      <c r="AD1567" s="146"/>
      <c r="AE1567" s="146"/>
      <c r="AF1567" s="146"/>
      <c r="AG1567" s="146"/>
      <c r="AH1567" s="146"/>
      <c r="AI1567" s="146"/>
      <c r="AJ1567" s="146"/>
      <c r="AK1567" s="146"/>
      <c r="AL1567" s="146">
        <v>1526.3415325269791</v>
      </c>
      <c r="AM1567" s="146">
        <v>0.14246388724435383</v>
      </c>
      <c r="AN1567" s="146">
        <v>0.24926768380441805</v>
      </c>
      <c r="AO1567" s="146">
        <v>344.51489504371466</v>
      </c>
      <c r="AP1567" s="146">
        <v>310.09928574053339</v>
      </c>
      <c r="AQ1567" t="s">
        <v>385</v>
      </c>
      <c r="AR1567">
        <f t="shared" si="93"/>
        <v>14.644015877877388</v>
      </c>
      <c r="AS1567">
        <f t="shared" si="94"/>
        <v>3.9965468373646496</v>
      </c>
      <c r="AT1567">
        <v>0.3</v>
      </c>
      <c r="AU1567">
        <v>0</v>
      </c>
      <c r="AV1567">
        <v>0.4</v>
      </c>
      <c r="AW1567" s="146">
        <v>3</v>
      </c>
      <c r="AX1567" s="146">
        <v>0.49559699311426675</v>
      </c>
      <c r="AY1567">
        <v>0.27</v>
      </c>
      <c r="AZ1567" s="209">
        <v>310.09928574053339</v>
      </c>
      <c r="BA1567">
        <v>0.49559699311426675</v>
      </c>
      <c r="BB1567" s="249">
        <v>29.306005678024775</v>
      </c>
      <c r="BC1567" s="243">
        <v>171.57274302859844</v>
      </c>
      <c r="BD1567" s="209">
        <v>76500.556921858821</v>
      </c>
      <c r="BE1567" s="243">
        <v>38.222927614408079</v>
      </c>
      <c r="BF1567">
        <v>196693.75514785369</v>
      </c>
      <c r="BG1567" t="s">
        <v>387</v>
      </c>
      <c r="BH1567">
        <v>6.1555800865395125E-6</v>
      </c>
      <c r="BI1567">
        <v>1965005.5692185881</v>
      </c>
      <c r="BJ1567">
        <f t="shared" si="92"/>
        <v>0.10009831942922773</v>
      </c>
    </row>
    <row r="1568" spans="1:62" x14ac:dyDescent="0.3">
      <c r="A1568">
        <v>-0.1</v>
      </c>
      <c r="B1568" s="146">
        <v>800</v>
      </c>
      <c r="C1568" s="146">
        <v>25</v>
      </c>
      <c r="D1568" s="146">
        <v>400</v>
      </c>
      <c r="E1568" s="252">
        <v>16.588774897846477</v>
      </c>
      <c r="F1568" s="146">
        <v>2.627056892778544</v>
      </c>
      <c r="G1568" s="146">
        <v>18.490108860131855</v>
      </c>
      <c r="H1568" s="146">
        <v>15.937081267670161</v>
      </c>
      <c r="I1568" s="146"/>
      <c r="J1568" s="146">
        <v>0.60737040570645628</v>
      </c>
      <c r="K1568" s="146">
        <v>0.27</v>
      </c>
      <c r="L1568" s="146">
        <v>107.90313193035847</v>
      </c>
      <c r="M1568" s="146">
        <v>47.011737977957011</v>
      </c>
      <c r="N1568" s="146">
        <v>2.6846088978929785</v>
      </c>
      <c r="O1568" s="146"/>
      <c r="P1568" s="146"/>
      <c r="Q1568" s="146"/>
      <c r="R1568" s="146"/>
      <c r="S1568" s="146"/>
      <c r="T1568" s="146"/>
      <c r="U1568" s="146"/>
      <c r="V1568" s="146"/>
      <c r="W1568" s="146"/>
      <c r="X1568" s="146"/>
      <c r="Y1568" s="146"/>
      <c r="Z1568" s="146">
        <v>0.16845047426211945</v>
      </c>
      <c r="AA1568" s="146"/>
      <c r="AB1568" s="146"/>
      <c r="AC1568" s="146"/>
      <c r="AD1568" s="146"/>
      <c r="AE1568" s="146"/>
      <c r="AF1568" s="146"/>
      <c r="AG1568" s="146"/>
      <c r="AH1568" s="146"/>
      <c r="AI1568" s="146"/>
      <c r="AJ1568" s="146"/>
      <c r="AK1568" s="146"/>
      <c r="AL1568" s="146">
        <v>1636.4362808667113</v>
      </c>
      <c r="AM1568" s="146">
        <v>0.14207903872556271</v>
      </c>
      <c r="AN1568" s="146">
        <v>0.2568345423298185</v>
      </c>
      <c r="AO1568" s="146">
        <v>335.41065486221197</v>
      </c>
      <c r="AP1568" s="146">
        <v>294.1318319202212</v>
      </c>
      <c r="AQ1568" t="s">
        <v>385</v>
      </c>
      <c r="AR1568">
        <f t="shared" si="93"/>
        <v>14.644015877877388</v>
      </c>
      <c r="AS1568">
        <f t="shared" si="94"/>
        <v>3.9965468373646496</v>
      </c>
      <c r="AT1568">
        <v>0.3</v>
      </c>
      <c r="AU1568">
        <v>0</v>
      </c>
      <c r="AV1568">
        <v>0.4</v>
      </c>
      <c r="AW1568" s="146">
        <v>3</v>
      </c>
      <c r="AX1568" s="146">
        <v>0.5190270696214816</v>
      </c>
      <c r="AY1568">
        <v>0.27</v>
      </c>
      <c r="AZ1568" s="209">
        <v>294.1318319202212</v>
      </c>
      <c r="BA1568">
        <v>0.5190270696214816</v>
      </c>
      <c r="BB1568" s="249">
        <v>34.670135007466797</v>
      </c>
      <c r="BC1568" s="243">
        <v>191.87684020878652</v>
      </c>
      <c r="BD1568" s="209">
        <v>88117.240978231159</v>
      </c>
      <c r="BE1568" s="243">
        <v>43.245366149656135</v>
      </c>
      <c r="BF1568">
        <v>266607.3032738925</v>
      </c>
      <c r="BG1568" t="s">
        <v>387</v>
      </c>
      <c r="BH1568">
        <v>6.8127355069808962E-6</v>
      </c>
      <c r="BI1568">
        <v>2081172.4097823116</v>
      </c>
      <c r="BJ1568">
        <f t="shared" si="92"/>
        <v>0.12810438098291882</v>
      </c>
    </row>
    <row r="1569" spans="1:62" x14ac:dyDescent="0.3">
      <c r="A1569">
        <v>-0.1</v>
      </c>
      <c r="B1569" s="146">
        <v>1000</v>
      </c>
      <c r="C1569" s="146">
        <v>25</v>
      </c>
      <c r="D1569" s="146">
        <v>400</v>
      </c>
      <c r="E1569" s="252">
        <v>18.763927249473777</v>
      </c>
      <c r="F1569" s="146">
        <v>2.9684970355340079</v>
      </c>
      <c r="G1569" s="146">
        <v>20.882216447103609</v>
      </c>
      <c r="H1569" s="146">
        <v>18.221422282804756</v>
      </c>
      <c r="I1569" s="146"/>
      <c r="J1569" s="146">
        <v>0.62869700783124383</v>
      </c>
      <c r="K1569" s="146">
        <v>0.27</v>
      </c>
      <c r="L1569" s="146">
        <v>123.54800922514386</v>
      </c>
      <c r="M1569" s="146">
        <v>53.827970824232807</v>
      </c>
      <c r="N1569" s="146">
        <v>2.8396380464655557</v>
      </c>
      <c r="O1569" s="146"/>
      <c r="P1569" s="146"/>
      <c r="Q1569" s="146"/>
      <c r="R1569" s="146"/>
      <c r="S1569" s="146"/>
      <c r="T1569" s="146"/>
      <c r="U1569" s="146"/>
      <c r="V1569" s="146"/>
      <c r="W1569" s="146"/>
      <c r="X1569" s="146"/>
      <c r="Y1569" s="146"/>
      <c r="Z1569" s="146">
        <v>0.15584063649879151</v>
      </c>
      <c r="AA1569" s="146"/>
      <c r="AB1569" s="146"/>
      <c r="AC1569" s="146"/>
      <c r="AD1569" s="146"/>
      <c r="AE1569" s="146"/>
      <c r="AF1569" s="146"/>
      <c r="AG1569" s="146"/>
      <c r="AH1569" s="146"/>
      <c r="AI1569" s="146"/>
      <c r="AJ1569" s="146"/>
      <c r="AK1569" s="146"/>
      <c r="AL1569" s="146">
        <v>1701.5835918032012</v>
      </c>
      <c r="AM1569" s="146">
        <v>0.14215430833472384</v>
      </c>
      <c r="AN1569" s="146">
        <v>0.26227080937071678</v>
      </c>
      <c r="AO1569" s="146">
        <v>328.45590672292019</v>
      </c>
      <c r="AP1569" s="146">
        <v>281.7645685704241</v>
      </c>
      <c r="AQ1569" t="s">
        <v>385</v>
      </c>
      <c r="AR1569">
        <f t="shared" si="93"/>
        <v>14.644015877877388</v>
      </c>
      <c r="AS1569">
        <f t="shared" si="94"/>
        <v>3.9965468373646496</v>
      </c>
      <c r="AT1569">
        <v>0.3</v>
      </c>
      <c r="AU1569">
        <v>0</v>
      </c>
      <c r="AV1569">
        <v>0.4</v>
      </c>
      <c r="AW1569" s="146">
        <v>3</v>
      </c>
      <c r="AX1569" s="146">
        <v>0.54189603319758983</v>
      </c>
      <c r="AY1569">
        <v>0.27</v>
      </c>
      <c r="AZ1569" s="209">
        <v>281.7645685704241</v>
      </c>
      <c r="BA1569">
        <v>0.54189603319758983</v>
      </c>
      <c r="BB1569" s="249">
        <v>38.816155579897654</v>
      </c>
      <c r="BC1569" s="243">
        <v>206.88721412389384</v>
      </c>
      <c r="BD1569" s="209">
        <v>96720.436975613178</v>
      </c>
      <c r="BE1569" s="243">
        <v>46.729057821237824</v>
      </c>
      <c r="BF1569">
        <v>328266.01357079617</v>
      </c>
      <c r="BG1569" t="s">
        <v>387</v>
      </c>
      <c r="BH1569">
        <v>7.2578069799927457E-6</v>
      </c>
      <c r="BI1569">
        <v>2167204.3697561319</v>
      </c>
      <c r="BJ1569">
        <f t="shared" si="92"/>
        <v>0.15146980051896758</v>
      </c>
    </row>
    <row r="1570" spans="1:62" x14ac:dyDescent="0.3">
      <c r="A1570">
        <v>-0.1</v>
      </c>
      <c r="B1570" s="146">
        <v>1300</v>
      </c>
      <c r="C1570" s="146">
        <v>25</v>
      </c>
      <c r="D1570" s="146">
        <v>400</v>
      </c>
      <c r="E1570" s="252">
        <v>21.325034199494223</v>
      </c>
      <c r="F1570" s="146">
        <v>3.4232484098667633</v>
      </c>
      <c r="G1570" s="146">
        <v>23.721567913735651</v>
      </c>
      <c r="H1570" s="146">
        <v>20.782704455433457</v>
      </c>
      <c r="I1570" s="146"/>
      <c r="J1570" s="146">
        <v>0.6325129504522492</v>
      </c>
      <c r="K1570" s="146">
        <v>0.27</v>
      </c>
      <c r="L1570" s="146">
        <v>141.18193981037655</v>
      </c>
      <c r="M1570" s="146">
        <v>61.510803651823799</v>
      </c>
      <c r="N1570" s="146">
        <v>3.0674223949855097</v>
      </c>
      <c r="O1570" s="146"/>
      <c r="P1570" s="146"/>
      <c r="Q1570" s="146"/>
      <c r="R1570" s="146"/>
      <c r="S1570" s="146"/>
      <c r="T1570" s="146"/>
      <c r="U1570" s="146"/>
      <c r="V1570" s="146"/>
      <c r="W1570" s="146"/>
      <c r="X1570" s="146"/>
      <c r="Y1570" s="146"/>
      <c r="Z1570" s="146">
        <v>0.14759495818089061</v>
      </c>
      <c r="AA1570" s="146"/>
      <c r="AB1570" s="146"/>
      <c r="AC1570" s="146"/>
      <c r="AD1570" s="146"/>
      <c r="AE1570" s="146"/>
      <c r="AF1570" s="146"/>
      <c r="AG1570" s="146"/>
      <c r="AH1570" s="146"/>
      <c r="AI1570" s="146"/>
      <c r="AJ1570" s="146"/>
      <c r="AK1570" s="146"/>
      <c r="AL1570" s="146">
        <v>1799.6384938558992</v>
      </c>
      <c r="AM1570" s="146">
        <v>0.14430953393618548</v>
      </c>
      <c r="AN1570" s="146">
        <v>0.26324469375360454</v>
      </c>
      <c r="AO1570" s="146">
        <v>318.99158955335173</v>
      </c>
      <c r="AP1570" s="146">
        <v>265.92729636314414</v>
      </c>
      <c r="AQ1570" t="s">
        <v>385</v>
      </c>
      <c r="AR1570">
        <f t="shared" si="93"/>
        <v>14.644015877877388</v>
      </c>
      <c r="AS1570">
        <f t="shared" si="94"/>
        <v>3.9965468373646496</v>
      </c>
      <c r="AT1570">
        <v>0.3</v>
      </c>
      <c r="AU1570">
        <v>0</v>
      </c>
      <c r="AV1570">
        <v>0.4</v>
      </c>
      <c r="AW1570" s="146">
        <v>3</v>
      </c>
      <c r="AX1570" s="146">
        <v>0.54791341336767552</v>
      </c>
      <c r="AY1570">
        <v>0.27</v>
      </c>
      <c r="AZ1570" s="209">
        <v>265.92729636314414</v>
      </c>
      <c r="BA1570">
        <v>0.54791341336767552</v>
      </c>
      <c r="BB1570" s="249">
        <v>44.129070774443647</v>
      </c>
      <c r="BC1570" s="243">
        <v>220.94906687198448</v>
      </c>
      <c r="BD1570" s="209">
        <v>106957.22669851346</v>
      </c>
      <c r="BE1570" s="243">
        <v>53.014736851234034</v>
      </c>
      <c r="BF1570">
        <v>410334.12200258428</v>
      </c>
      <c r="BG1570" t="s">
        <v>387</v>
      </c>
      <c r="BH1570">
        <v>7.685926549301022E-6</v>
      </c>
      <c r="BI1570">
        <v>2269572.2669851347</v>
      </c>
      <c r="BJ1570">
        <f t="shared" si="92"/>
        <v>0.18079799791864123</v>
      </c>
    </row>
    <row r="1571" spans="1:62" x14ac:dyDescent="0.3">
      <c r="A1571">
        <v>-0.1</v>
      </c>
      <c r="B1571" s="227">
        <v>1600</v>
      </c>
      <c r="C1571" s="146">
        <v>25</v>
      </c>
      <c r="D1571" s="146">
        <v>400</v>
      </c>
      <c r="E1571" s="252">
        <v>23.258576145096793</v>
      </c>
      <c r="F1571" s="146">
        <v>3.7930601755338835</v>
      </c>
      <c r="G1571" s="146">
        <v>25.877457283157884</v>
      </c>
      <c r="H1571" s="146">
        <v>22.718972350154257</v>
      </c>
      <c r="I1571" s="146"/>
      <c r="J1571" s="146">
        <v>0.63397137263457815</v>
      </c>
      <c r="K1571" s="146">
        <v>0.27</v>
      </c>
      <c r="L1571" s="146">
        <v>154.56999347771833</v>
      </c>
      <c r="M1571" s="146">
        <v>67.343773091951974</v>
      </c>
      <c r="N1571" s="146">
        <v>3.2261099565295481</v>
      </c>
      <c r="O1571" s="146"/>
      <c r="P1571" s="146"/>
      <c r="Q1571" s="146"/>
      <c r="R1571" s="146"/>
      <c r="S1571" s="146"/>
      <c r="T1571" s="146"/>
      <c r="U1571" s="146"/>
      <c r="V1571" s="146"/>
      <c r="W1571" s="146"/>
      <c r="X1571" s="146"/>
      <c r="Y1571" s="146"/>
      <c r="Z1571" s="146">
        <v>0.14200069909885882</v>
      </c>
      <c r="AA1571" s="146"/>
      <c r="AB1571" s="146"/>
      <c r="AC1571" s="146"/>
      <c r="AD1571" s="146"/>
      <c r="AE1571" s="146"/>
      <c r="AF1571" s="146"/>
      <c r="AG1571" s="146"/>
      <c r="AH1571" s="146"/>
      <c r="AI1571" s="146"/>
      <c r="AJ1571" s="146"/>
      <c r="AK1571" s="146"/>
      <c r="AL1571" s="146">
        <v>1866.8758389533452</v>
      </c>
      <c r="AM1571" s="146">
        <v>0.14657777748521542</v>
      </c>
      <c r="AN1571" s="146">
        <v>0.26339355486163457</v>
      </c>
      <c r="AO1571" s="146">
        <v>311.69648719265376</v>
      </c>
      <c r="AP1571" s="146">
        <v>253.8208606885722</v>
      </c>
      <c r="AQ1571" t="s">
        <v>385</v>
      </c>
      <c r="AR1571">
        <f t="shared" si="93"/>
        <v>14.644015877877388</v>
      </c>
      <c r="AS1571">
        <f t="shared" si="94"/>
        <v>3.9965468373646496</v>
      </c>
      <c r="AT1571">
        <v>0.3</v>
      </c>
      <c r="AU1571">
        <v>0</v>
      </c>
      <c r="AV1571">
        <v>0.4</v>
      </c>
      <c r="AW1571" s="146">
        <v>3</v>
      </c>
      <c r="AX1571" s="146">
        <v>0.5506429663058251</v>
      </c>
      <c r="AY1571">
        <v>0.27</v>
      </c>
      <c r="AZ1571" s="209">
        <v>253.8208606885722</v>
      </c>
      <c r="BA1571">
        <v>0.5506429663058251</v>
      </c>
      <c r="BB1571" s="249">
        <v>48.287736269172299</v>
      </c>
      <c r="BC1571" s="243">
        <v>230.85286699403426</v>
      </c>
      <c r="BD1571" s="209">
        <v>114708.67829503941</v>
      </c>
      <c r="BE1571" s="243">
        <v>58.087553123626115</v>
      </c>
      <c r="BF1571">
        <v>479539.57643477555</v>
      </c>
      <c r="BG1571" t="s">
        <v>387</v>
      </c>
      <c r="BH1571">
        <v>7.9492167979490639E-6</v>
      </c>
      <c r="BI1571">
        <v>2347086.7829503939</v>
      </c>
      <c r="BJ1571">
        <f t="shared" si="92"/>
        <v>0.20431267387223437</v>
      </c>
    </row>
    <row r="1572" spans="1:62" s="140" customFormat="1" x14ac:dyDescent="0.3">
      <c r="A1572" s="140">
        <v>-0.1</v>
      </c>
      <c r="B1572" s="140">
        <v>1900</v>
      </c>
      <c r="C1572" s="140">
        <v>25</v>
      </c>
      <c r="D1572" s="140">
        <v>400</v>
      </c>
      <c r="E1572" s="253">
        <v>24.507045170399341</v>
      </c>
      <c r="F1572" s="140">
        <v>4.0420061277655792</v>
      </c>
      <c r="G1572" s="140">
        <v>27.269184895196254</v>
      </c>
      <c r="H1572" s="140">
        <v>23.968196495891096</v>
      </c>
      <c r="J1572" s="140">
        <v>0.633800501523895</v>
      </c>
      <c r="K1572" s="140">
        <v>0.27</v>
      </c>
      <c r="L1572" s="140">
        <v>163.27770752412741</v>
      </c>
      <c r="M1572" s="140">
        <v>71.137590415076247</v>
      </c>
      <c r="N1572" s="140">
        <v>3.3291546695327625</v>
      </c>
      <c r="Z1572" s="140">
        <v>0.13889883913891829</v>
      </c>
      <c r="AL1572" s="140">
        <v>1910.6200407936374</v>
      </c>
      <c r="AM1572" s="140">
        <v>0.14822614402668194</v>
      </c>
      <c r="AN1572" s="140">
        <v>0.26358770008346938</v>
      </c>
      <c r="AO1572" s="140">
        <v>307.02508059883377</v>
      </c>
      <c r="AP1572" s="140">
        <v>246.04270602725481</v>
      </c>
      <c r="AQ1572" t="s">
        <v>385</v>
      </c>
      <c r="AR1572">
        <f t="shared" si="93"/>
        <v>14.644015877877388</v>
      </c>
      <c r="AS1572">
        <f t="shared" si="94"/>
        <v>3.9965468373646496</v>
      </c>
      <c r="AT1572">
        <v>0.3</v>
      </c>
      <c r="AU1572">
        <v>0</v>
      </c>
      <c r="AV1572">
        <v>0.4</v>
      </c>
      <c r="AW1572" s="140">
        <v>3</v>
      </c>
      <c r="AX1572" s="140">
        <v>0.55138022636601891</v>
      </c>
      <c r="AY1572">
        <v>0.27</v>
      </c>
      <c r="AZ1572" s="209">
        <v>246.04270602725481</v>
      </c>
      <c r="BA1572" s="140">
        <v>0.55138022636601891</v>
      </c>
      <c r="BB1572" s="253">
        <v>51.032116757674117</v>
      </c>
      <c r="BC1572" s="245">
        <v>234.99679695939153</v>
      </c>
      <c r="BD1572" s="210">
        <v>118804.78233487325</v>
      </c>
      <c r="BE1572" s="245">
        <v>61.457867406257144</v>
      </c>
      <c r="BF1572" s="140">
        <v>525021.1607610404</v>
      </c>
      <c r="BG1572" t="s">
        <v>387</v>
      </c>
      <c r="BH1572" s="140">
        <v>8.1286854611827663E-6</v>
      </c>
      <c r="BI1572" s="140">
        <v>2388047.8233487327</v>
      </c>
      <c r="BJ1572">
        <f t="shared" si="92"/>
        <v>0.21985370461501441</v>
      </c>
    </row>
    <row r="1573" spans="1:62" x14ac:dyDescent="0.3">
      <c r="A1573">
        <v>-0.1</v>
      </c>
      <c r="B1573" s="146">
        <v>1000</v>
      </c>
      <c r="C1573" s="146">
        <v>25</v>
      </c>
      <c r="D1573" s="146">
        <v>200</v>
      </c>
      <c r="E1573" s="252">
        <v>17.264830263477808</v>
      </c>
      <c r="F1573" s="146">
        <v>5.6505136231422934</v>
      </c>
      <c r="G1573" s="146">
        <v>20.781448496499337</v>
      </c>
      <c r="H1573" s="146">
        <v>18.78157351202222</v>
      </c>
      <c r="I1573" s="146"/>
      <c r="J1573" s="146">
        <v>0.99976345764905539</v>
      </c>
      <c r="K1573" s="146">
        <v>0.27</v>
      </c>
      <c r="L1573" s="146">
        <v>129.23279584258552</v>
      </c>
      <c r="M1573" s="146">
        <v>56.304745076645133</v>
      </c>
      <c r="N1573" s="146">
        <v>1.1024315533546662</v>
      </c>
      <c r="O1573" s="146"/>
      <c r="P1573" s="146"/>
      <c r="Q1573" s="146"/>
      <c r="R1573" s="146"/>
      <c r="S1573" s="146"/>
      <c r="T1573" s="146"/>
      <c r="U1573" s="146"/>
      <c r="V1573" s="146"/>
      <c r="W1573" s="146"/>
      <c r="X1573" s="146"/>
      <c r="Y1573" s="146"/>
      <c r="Z1573" s="146">
        <v>5.8697507567669553E-2</v>
      </c>
      <c r="AA1573" s="146"/>
      <c r="AB1573" s="146"/>
      <c r="AC1573" s="146"/>
      <c r="AD1573" s="146"/>
      <c r="AE1573" s="146"/>
      <c r="AF1573" s="146"/>
      <c r="AG1573" s="146"/>
      <c r="AH1573" s="146"/>
      <c r="AI1573" s="146"/>
      <c r="AJ1573" s="146"/>
      <c r="AK1573" s="146"/>
      <c r="AL1573" s="146">
        <v>626.48171156756644</v>
      </c>
      <c r="AM1573" s="146">
        <v>0.27190181782054945</v>
      </c>
      <c r="AN1573" s="146">
        <v>0.21113115479152209</v>
      </c>
      <c r="AO1573" s="146">
        <v>118.22698890400294</v>
      </c>
      <c r="AP1573" s="146">
        <v>75.265934890233353</v>
      </c>
      <c r="AQ1573" t="s">
        <v>385</v>
      </c>
      <c r="AR1573">
        <f t="shared" si="93"/>
        <v>14.644015877877388</v>
      </c>
      <c r="AS1573">
        <f t="shared" si="94"/>
        <v>3.9965468373646496</v>
      </c>
      <c r="AT1573">
        <v>0.3</v>
      </c>
      <c r="AU1573">
        <v>0</v>
      </c>
      <c r="AV1573">
        <v>0.4</v>
      </c>
      <c r="AW1573" s="146">
        <v>3</v>
      </c>
      <c r="AX1573" s="146">
        <v>0.99956380894703578</v>
      </c>
      <c r="AY1573">
        <v>0.27</v>
      </c>
      <c r="AZ1573" s="209">
        <v>75.265934890233353</v>
      </c>
      <c r="BA1573">
        <v>0.99956380894703578</v>
      </c>
      <c r="BB1573" s="249">
        <v>49.316413693963305</v>
      </c>
      <c r="BC1573" s="243">
        <v>222.78854050848497</v>
      </c>
      <c r="BD1573" s="209">
        <v>108225.67405182066</v>
      </c>
      <c r="BE1573" s="243">
        <v>53.756028071667153</v>
      </c>
      <c r="BF1573">
        <v>319912.02582775598</v>
      </c>
      <c r="BG1573" t="s">
        <v>388</v>
      </c>
      <c r="BH1573">
        <v>6.3774127359127054E-6</v>
      </c>
      <c r="BI1573">
        <v>2282256.7405182067</v>
      </c>
      <c r="BJ1573">
        <f t="shared" si="92"/>
        <v>0.14017354846550573</v>
      </c>
    </row>
    <row r="1574" spans="1:62" x14ac:dyDescent="0.3">
      <c r="A1574">
        <v>-0.1</v>
      </c>
      <c r="B1574" s="146">
        <v>1000</v>
      </c>
      <c r="C1574" s="146">
        <v>25</v>
      </c>
      <c r="D1574" s="146">
        <v>300</v>
      </c>
      <c r="E1574" s="252">
        <v>18.090451137868545</v>
      </c>
      <c r="F1574" s="146">
        <v>3.6888044296050779</v>
      </c>
      <c r="G1574" s="146">
        <v>20.586842217188273</v>
      </c>
      <c r="H1574" s="146">
        <v>18.37106602670918</v>
      </c>
      <c r="I1574" s="146"/>
      <c r="J1574" s="146">
        <v>0.66873669850428819</v>
      </c>
      <c r="K1574" s="146">
        <v>0.27</v>
      </c>
      <c r="L1574" s="146">
        <v>124.87696518552359</v>
      </c>
      <c r="M1574" s="146">
        <v>54.406976533111937</v>
      </c>
      <c r="N1574" s="146">
        <v>2.296936301291769</v>
      </c>
      <c r="O1574" s="146"/>
      <c r="P1574" s="146"/>
      <c r="Q1574" s="146"/>
      <c r="R1574" s="146"/>
      <c r="S1574" s="146"/>
      <c r="T1574" s="146"/>
      <c r="U1574" s="146"/>
      <c r="V1574" s="146"/>
      <c r="W1574" s="146"/>
      <c r="X1574" s="146"/>
      <c r="Y1574" s="146"/>
      <c r="Z1574" s="146">
        <v>0.12503010429293093</v>
      </c>
      <c r="AA1574" s="146"/>
      <c r="AB1574" s="146"/>
      <c r="AC1574" s="146"/>
      <c r="AD1574" s="146"/>
      <c r="AE1574" s="146"/>
      <c r="AF1574" s="146"/>
      <c r="AG1574" s="146"/>
      <c r="AH1574" s="146"/>
      <c r="AI1574" s="146"/>
      <c r="AJ1574" s="146"/>
      <c r="AK1574" s="146"/>
      <c r="AL1574" s="146">
        <v>1332.0713311343386</v>
      </c>
      <c r="AM1574" s="146">
        <v>0.1791826250324704</v>
      </c>
      <c r="AN1574" s="146">
        <v>0.25343434147042937</v>
      </c>
      <c r="AO1574" s="146">
        <v>228.61878531177933</v>
      </c>
      <c r="AP1574" s="146">
        <v>183.60318048845474</v>
      </c>
      <c r="AQ1574" t="s">
        <v>385</v>
      </c>
      <c r="AR1574">
        <f t="shared" si="93"/>
        <v>14.644015877877388</v>
      </c>
      <c r="AS1574">
        <f t="shared" si="94"/>
        <v>3.9965468373646496</v>
      </c>
      <c r="AT1574">
        <v>0.3</v>
      </c>
      <c r="AU1574">
        <v>0</v>
      </c>
      <c r="AV1574">
        <v>0.4</v>
      </c>
      <c r="AW1574" s="146">
        <v>3</v>
      </c>
      <c r="AX1574" s="146">
        <v>0.56544284334150929</v>
      </c>
      <c r="AY1574">
        <v>0.27</v>
      </c>
      <c r="AZ1574" s="209">
        <v>183.60318048845474</v>
      </c>
      <c r="BA1574">
        <v>0.56544284334150929</v>
      </c>
      <c r="BB1574" s="249">
        <v>42.39961594372113</v>
      </c>
      <c r="BC1574" s="243">
        <v>210.50001344270726</v>
      </c>
      <c r="BD1574" s="209">
        <v>100764.21047266043</v>
      </c>
      <c r="BE1574" s="243">
        <v>50.29553236416799</v>
      </c>
      <c r="BF1574">
        <v>322927.02665919141</v>
      </c>
      <c r="BG1574" t="s">
        <v>388</v>
      </c>
      <c r="BH1574">
        <v>6.8892162700715124E-6</v>
      </c>
      <c r="BI1574">
        <v>2207642.1047266042</v>
      </c>
      <c r="BJ1574">
        <f t="shared" si="92"/>
        <v>0.14627689242191858</v>
      </c>
    </row>
    <row r="1575" spans="1:62" x14ac:dyDescent="0.3">
      <c r="A1575">
        <v>-0.1</v>
      </c>
      <c r="B1575" s="146">
        <v>1000</v>
      </c>
      <c r="C1575" s="146">
        <v>25</v>
      </c>
      <c r="D1575" s="146">
        <v>400</v>
      </c>
      <c r="E1575" s="252">
        <v>18.763169469205241</v>
      </c>
      <c r="F1575" s="146">
        <v>2.9675819825967347</v>
      </c>
      <c r="G1575" s="146">
        <v>20.880926340737997</v>
      </c>
      <c r="H1575" s="146">
        <v>18.218595748262242</v>
      </c>
      <c r="I1575" s="146"/>
      <c r="J1575" s="146">
        <v>0.62800256637937524</v>
      </c>
      <c r="K1575" s="146">
        <v>0.27</v>
      </c>
      <c r="L1575" s="146">
        <v>123.52907967624527</v>
      </c>
      <c r="M1575" s="146">
        <v>53.819723510397317</v>
      </c>
      <c r="N1575" s="146">
        <v>2.8446962905991811</v>
      </c>
      <c r="O1575" s="146"/>
      <c r="P1575" s="146"/>
      <c r="Q1575" s="146"/>
      <c r="R1575" s="146"/>
      <c r="S1575" s="146"/>
      <c r="T1575" s="146"/>
      <c r="U1575" s="146"/>
      <c r="V1575" s="146"/>
      <c r="W1575" s="146"/>
      <c r="X1575" s="146"/>
      <c r="Y1575" s="146"/>
      <c r="Z1575" s="146">
        <v>0.15614245630706849</v>
      </c>
      <c r="AA1575" s="146"/>
      <c r="AB1575" s="146"/>
      <c r="AC1575" s="146"/>
      <c r="AD1575" s="146"/>
      <c r="AE1575" s="146"/>
      <c r="AF1575" s="146"/>
      <c r="AG1575" s="146"/>
      <c r="AH1575" s="146"/>
      <c r="AI1575" s="146"/>
      <c r="AJ1575" s="146"/>
      <c r="AK1575" s="146"/>
      <c r="AL1575" s="146">
        <v>1704.1213624277239</v>
      </c>
      <c r="AM1575" s="146">
        <v>0.14211926876094</v>
      </c>
      <c r="AN1575" s="146">
        <v>0.26228527493617226</v>
      </c>
      <c r="AO1575" s="146">
        <v>328.46274167022415</v>
      </c>
      <c r="AP1575" s="146">
        <v>281.77321712813398</v>
      </c>
      <c r="AQ1575" t="s">
        <v>385</v>
      </c>
      <c r="AR1575">
        <f t="shared" si="93"/>
        <v>14.644015877877388</v>
      </c>
      <c r="AS1575">
        <f t="shared" si="94"/>
        <v>3.9965468373646496</v>
      </c>
      <c r="AT1575">
        <v>0.3</v>
      </c>
      <c r="AU1575">
        <v>0</v>
      </c>
      <c r="AV1575">
        <v>0.4</v>
      </c>
      <c r="AW1575" s="146">
        <v>3</v>
      </c>
      <c r="AX1575" s="146">
        <v>0.54128729284701782</v>
      </c>
      <c r="AY1575">
        <v>0.27</v>
      </c>
      <c r="AZ1575" s="209">
        <v>281.77321712813398</v>
      </c>
      <c r="BA1575">
        <v>0.54128729284701782</v>
      </c>
      <c r="BB1575" s="249">
        <v>38.815572164524426</v>
      </c>
      <c r="BC1575" s="243">
        <v>206.83619193777611</v>
      </c>
      <c r="BD1575" s="209">
        <v>96713.001400907975</v>
      </c>
      <c r="BE1575" s="243">
        <v>46.750160155979422</v>
      </c>
      <c r="BF1575">
        <v>328233.19112697255</v>
      </c>
      <c r="BG1575" t="s">
        <v>388</v>
      </c>
      <c r="BH1575">
        <v>7.2578297627010176E-6</v>
      </c>
      <c r="BI1575">
        <v>2167130.0140090799</v>
      </c>
      <c r="BJ1575">
        <f t="shared" si="92"/>
        <v>0.15145985197249789</v>
      </c>
    </row>
    <row r="1576" spans="1:62" x14ac:dyDescent="0.3">
      <c r="A1576">
        <v>-0.1</v>
      </c>
      <c r="B1576" s="146">
        <v>1000</v>
      </c>
      <c r="C1576" s="146">
        <v>25</v>
      </c>
      <c r="D1576" s="146">
        <v>500</v>
      </c>
      <c r="E1576" s="252">
        <v>19.417794568112885</v>
      </c>
      <c r="F1576" s="146">
        <v>2.5634615668005365</v>
      </c>
      <c r="G1576" s="146">
        <v>21.325946674289042</v>
      </c>
      <c r="H1576" s="146">
        <v>18.041232770891256</v>
      </c>
      <c r="I1576" s="146"/>
      <c r="J1576" s="146">
        <v>0.58365721063024489</v>
      </c>
      <c r="K1576" s="146">
        <v>0.27</v>
      </c>
      <c r="L1576" s="146">
        <v>122.19472968159779</v>
      </c>
      <c r="M1576" s="146">
        <v>53.238367703600694</v>
      </c>
      <c r="N1576" s="146">
        <v>3.3707223420716499</v>
      </c>
      <c r="O1576" s="146"/>
      <c r="P1576" s="146"/>
      <c r="Q1576" s="146"/>
      <c r="R1576" s="146"/>
      <c r="S1576" s="146"/>
      <c r="T1576" s="146"/>
      <c r="U1576" s="146"/>
      <c r="V1576" s="146"/>
      <c r="W1576" s="146"/>
      <c r="X1576" s="146"/>
      <c r="Y1576" s="146"/>
      <c r="Z1576" s="146">
        <v>0.18683436907427767</v>
      </c>
      <c r="AA1576" s="146"/>
      <c r="AB1576" s="146"/>
      <c r="AC1576" s="146"/>
      <c r="AD1576" s="146"/>
      <c r="AE1576" s="146"/>
      <c r="AF1576" s="146"/>
      <c r="AG1576" s="146"/>
      <c r="AH1576" s="146"/>
      <c r="AI1576" s="146"/>
      <c r="AJ1576" s="146"/>
      <c r="AK1576" s="146"/>
      <c r="AL1576" s="146">
        <v>2062.4459804484381</v>
      </c>
      <c r="AM1576" s="146">
        <v>0.12020388149479401</v>
      </c>
      <c r="AN1576" s="146">
        <v>0.26030370734388092</v>
      </c>
      <c r="AO1576" s="146">
        <v>425.40331151541955</v>
      </c>
      <c r="AP1576" s="146">
        <v>377.08480941261183</v>
      </c>
      <c r="AQ1576" t="s">
        <v>385</v>
      </c>
      <c r="AR1576">
        <f t="shared" si="93"/>
        <v>14.644015877877388</v>
      </c>
      <c r="AS1576">
        <f t="shared" si="94"/>
        <v>3.9965468373646496</v>
      </c>
      <c r="AT1576">
        <v>0.3</v>
      </c>
      <c r="AU1576">
        <v>0</v>
      </c>
      <c r="AV1576">
        <v>0.4</v>
      </c>
      <c r="AW1576" s="146">
        <v>3</v>
      </c>
      <c r="AX1576" s="146">
        <v>0.50948035349367338</v>
      </c>
      <c r="AY1576">
        <v>0.27</v>
      </c>
      <c r="AZ1576" s="209">
        <v>377.08480941261183</v>
      </c>
      <c r="BA1576">
        <v>0.50948035349367338</v>
      </c>
      <c r="BB1576" s="249">
        <v>37.139780522402113</v>
      </c>
      <c r="BC1576" s="243">
        <v>203.26993581327645</v>
      </c>
      <c r="BD1576" s="209">
        <v>95575.06760902956</v>
      </c>
      <c r="BE1576" s="243">
        <v>47.298593297079449</v>
      </c>
      <c r="BF1576">
        <v>339272.61346099142</v>
      </c>
      <c r="BG1576" t="s">
        <v>388</v>
      </c>
      <c r="BH1576">
        <v>7.5191533358237469E-6</v>
      </c>
      <c r="BI1576">
        <v>2155750.6760902954</v>
      </c>
      <c r="BJ1576">
        <f t="shared" si="92"/>
        <v>0.15738026536366523</v>
      </c>
    </row>
    <row r="1577" spans="1:62" s="146" customFormat="1" x14ac:dyDescent="0.3">
      <c r="A1577">
        <v>-0.1</v>
      </c>
      <c r="B1577" s="146">
        <v>1000</v>
      </c>
      <c r="C1577" s="146">
        <v>25</v>
      </c>
      <c r="D1577" s="146">
        <v>600</v>
      </c>
      <c r="E1577" s="252">
        <v>19.892548335600384</v>
      </c>
      <c r="F1577" s="146">
        <v>2.256715145403593</v>
      </c>
      <c r="G1577" s="146">
        <v>21.64099131036545</v>
      </c>
      <c r="H1577" s="146">
        <v>17.934381995833153</v>
      </c>
      <c r="J1577" s="146">
        <v>0.56411694718837069</v>
      </c>
      <c r="K1577" s="146">
        <v>0.27</v>
      </c>
      <c r="L1577" s="146">
        <v>121.39297610228211</v>
      </c>
      <c r="M1577" s="146">
        <v>52.889055978172699</v>
      </c>
      <c r="N1577" s="146">
        <v>3.7365204564171055</v>
      </c>
      <c r="Z1577" s="146">
        <v>0.20834397623989737</v>
      </c>
      <c r="AL1577" s="146">
        <v>2341.8794101431267</v>
      </c>
      <c r="AM1577" s="146">
        <v>0.10427965674209606</v>
      </c>
      <c r="AN1577" s="146">
        <v>0.2587459670241285</v>
      </c>
      <c r="AO1577" s="146">
        <v>523.11938785215784</v>
      </c>
      <c r="AP1577" s="146">
        <v>473.61918193457274</v>
      </c>
      <c r="AQ1577" t="s">
        <v>385</v>
      </c>
      <c r="AR1577">
        <f t="shared" si="93"/>
        <v>14.644015877877388</v>
      </c>
      <c r="AS1577">
        <f t="shared" si="94"/>
        <v>3.9965468373646496</v>
      </c>
      <c r="AT1577">
        <v>0.3</v>
      </c>
      <c r="AU1577">
        <v>0</v>
      </c>
      <c r="AV1577">
        <v>0.4</v>
      </c>
      <c r="AW1577" s="146">
        <v>3</v>
      </c>
      <c r="AX1577" s="146">
        <v>0.49811803223929391</v>
      </c>
      <c r="AY1577">
        <v>0.27</v>
      </c>
      <c r="AZ1577" s="209">
        <v>473.61918193457274</v>
      </c>
      <c r="BA1577" s="146">
        <v>0.49811803223929391</v>
      </c>
      <c r="BB1577" s="252">
        <v>35.683313232227356</v>
      </c>
      <c r="BC1577" s="244">
        <v>201.15535718823708</v>
      </c>
      <c r="BD1577" s="229">
        <v>94405.060329372776</v>
      </c>
      <c r="BE1577" s="244">
        <v>46.878803637071393</v>
      </c>
      <c r="BF1577" s="146">
        <v>346340.09228693787</v>
      </c>
      <c r="BG1577" t="s">
        <v>388</v>
      </c>
      <c r="BH1577" s="146">
        <v>7.7228223082480257E-6</v>
      </c>
      <c r="BI1577" s="146">
        <v>2144050.6032937276</v>
      </c>
      <c r="BJ1577">
        <f t="shared" si="92"/>
        <v>0.16153540954438492</v>
      </c>
    </row>
    <row r="1578" spans="1:62" s="140" customFormat="1" x14ac:dyDescent="0.3">
      <c r="A1578">
        <v>-0.1</v>
      </c>
      <c r="B1578" s="146">
        <v>1000</v>
      </c>
      <c r="C1578" s="146">
        <v>25</v>
      </c>
      <c r="D1578" s="146">
        <v>700</v>
      </c>
      <c r="E1578" s="252">
        <v>20.242993247576308</v>
      </c>
      <c r="F1578" s="146">
        <v>2.0152098570292152</v>
      </c>
      <c r="G1578" s="146">
        <v>21.865120442069045</v>
      </c>
      <c r="H1578" s="146">
        <v>17.850629830344474</v>
      </c>
      <c r="I1578" s="146"/>
      <c r="J1578" s="146">
        <v>0.5515389804946792</v>
      </c>
      <c r="K1578" s="146">
        <v>0.27</v>
      </c>
      <c r="L1578" s="146">
        <v>120.77558599364897</v>
      </c>
      <c r="M1578" s="146">
        <v>52.620068586444575</v>
      </c>
      <c r="N1578" s="146">
        <v>4.0364483425596802</v>
      </c>
      <c r="O1578" s="146"/>
      <c r="P1578" s="146"/>
      <c r="Q1578" s="146"/>
      <c r="R1578" s="146"/>
      <c r="S1578" s="146"/>
      <c r="T1578" s="146"/>
      <c r="U1578" s="146"/>
      <c r="V1578" s="146"/>
      <c r="W1578" s="146"/>
      <c r="X1578" s="146"/>
      <c r="Y1578" s="146"/>
      <c r="Z1578" s="146">
        <v>0.22612358112418415</v>
      </c>
      <c r="AA1578" s="146"/>
      <c r="AB1578" s="146"/>
      <c r="AC1578" s="146"/>
      <c r="AD1578" s="146"/>
      <c r="AE1578" s="146"/>
      <c r="AF1578" s="146"/>
      <c r="AG1578" s="146"/>
      <c r="AH1578" s="146"/>
      <c r="AI1578" s="146"/>
      <c r="AJ1578" s="146"/>
      <c r="AK1578" s="146"/>
      <c r="AL1578" s="146">
        <v>2589.2797853626912</v>
      </c>
      <c r="AM1578" s="146">
        <v>9.2165504524361105E-2</v>
      </c>
      <c r="AN1578" s="146">
        <v>0.25763424112736988</v>
      </c>
      <c r="AO1578" s="146">
        <v>621.42739583451362</v>
      </c>
      <c r="AP1578" s="146">
        <v>571.05561408285098</v>
      </c>
      <c r="AQ1578" t="s">
        <v>385</v>
      </c>
      <c r="AR1578">
        <f t="shared" si="93"/>
        <v>14.644015877877388</v>
      </c>
      <c r="AS1578">
        <f t="shared" si="94"/>
        <v>3.9965468373646496</v>
      </c>
      <c r="AT1578">
        <v>0.3</v>
      </c>
      <c r="AU1578">
        <v>0</v>
      </c>
      <c r="AV1578">
        <v>0.4</v>
      </c>
      <c r="AW1578" s="146">
        <v>3</v>
      </c>
      <c r="AX1578" s="146">
        <v>0.49163075047219446</v>
      </c>
      <c r="AY1578">
        <v>0.27</v>
      </c>
      <c r="AZ1578" s="209">
        <v>571.05561408285098</v>
      </c>
      <c r="BA1578" s="140">
        <v>0.49163075047219446</v>
      </c>
      <c r="BB1578" s="253">
        <v>34.470685469101355</v>
      </c>
      <c r="BC1578" s="245">
        <v>199.54113777537964</v>
      </c>
      <c r="BD1578" s="210">
        <v>93320.244569626506</v>
      </c>
      <c r="BE1578" s="245">
        <v>46.267768615872157</v>
      </c>
      <c r="BF1578" s="140">
        <v>350898.37004306668</v>
      </c>
      <c r="BG1578" t="s">
        <v>388</v>
      </c>
      <c r="BH1578" s="140">
        <v>7.8831021622258317E-6</v>
      </c>
      <c r="BI1578" s="140">
        <v>2133202.445696265</v>
      </c>
      <c r="BJ1578">
        <f t="shared" si="92"/>
        <v>0.16449370323524801</v>
      </c>
    </row>
    <row r="1579" spans="1:62" x14ac:dyDescent="0.3">
      <c r="A1579">
        <v>-0.1</v>
      </c>
      <c r="B1579" s="146">
        <v>1000</v>
      </c>
      <c r="C1579" s="146">
        <v>25</v>
      </c>
      <c r="D1579" s="146">
        <v>800</v>
      </c>
      <c r="E1579" s="252">
        <v>20.515062897794799</v>
      </c>
      <c r="F1579" s="146">
        <v>1.8221806650399159</v>
      </c>
      <c r="G1579" s="146">
        <v>22.036065760364242</v>
      </c>
      <c r="H1579" s="146">
        <v>17.78551981512048</v>
      </c>
      <c r="I1579" s="146"/>
      <c r="J1579" s="146">
        <v>0.54246436328191217</v>
      </c>
      <c r="K1579" s="146">
        <v>0.27</v>
      </c>
      <c r="L1579" s="146">
        <v>120.29976032932311</v>
      </c>
      <c r="M1579" s="146">
        <v>52.412758649705097</v>
      </c>
      <c r="N1579" s="146">
        <v>4.288604050983519</v>
      </c>
      <c r="O1579" s="146"/>
      <c r="P1579" s="146"/>
      <c r="Q1579" s="146"/>
      <c r="R1579" s="146"/>
      <c r="S1579" s="146"/>
      <c r="T1579" s="146"/>
      <c r="U1579" s="146"/>
      <c r="V1579" s="146"/>
      <c r="W1579" s="146"/>
      <c r="X1579" s="146"/>
      <c r="Y1579" s="146"/>
      <c r="Z1579" s="146">
        <v>0.24112896870956413</v>
      </c>
      <c r="AA1579" s="146"/>
      <c r="AB1579" s="146"/>
      <c r="AC1579" s="146"/>
      <c r="AD1579" s="146"/>
      <c r="AE1579" s="146"/>
      <c r="AF1579" s="146"/>
      <c r="AG1579" s="146"/>
      <c r="AH1579" s="146"/>
      <c r="AI1579" s="146"/>
      <c r="AJ1579" s="146"/>
      <c r="AK1579" s="146"/>
      <c r="AL1579" s="146">
        <v>2813.3562297614485</v>
      </c>
      <c r="AM1579" s="146">
        <v>8.2690834419156159E-2</v>
      </c>
      <c r="AN1579" s="146">
        <v>0.25676894869200961</v>
      </c>
      <c r="AO1579" s="146">
        <v>720.10302257224134</v>
      </c>
      <c r="AP1579" s="146">
        <v>669.05420426969056</v>
      </c>
      <c r="AQ1579" t="s">
        <v>385</v>
      </c>
      <c r="AR1579">
        <f t="shared" si="93"/>
        <v>14.644015877877388</v>
      </c>
      <c r="AS1579">
        <f t="shared" si="94"/>
        <v>3.9965468373646496</v>
      </c>
      <c r="AT1579">
        <v>0.3</v>
      </c>
      <c r="AU1579">
        <v>0</v>
      </c>
      <c r="AV1579">
        <v>0.4</v>
      </c>
      <c r="AW1579" s="146">
        <v>3</v>
      </c>
      <c r="AX1579" s="146">
        <v>0.48729384356998801</v>
      </c>
      <c r="AY1579">
        <v>0.27</v>
      </c>
      <c r="AZ1579" s="209">
        <v>669.05420426969056</v>
      </c>
      <c r="BA1579">
        <v>0.48729384356998801</v>
      </c>
      <c r="BB1579" s="249">
        <v>33.47371778650507</v>
      </c>
      <c r="BC1579" s="243">
        <v>198.30529670423255</v>
      </c>
      <c r="BD1579" s="209">
        <v>92397.965013685898</v>
      </c>
      <c r="BE1579" s="243">
        <v>45.65971531556179</v>
      </c>
      <c r="BF1579">
        <v>354148.82788700482</v>
      </c>
      <c r="BG1579" t="s">
        <v>388</v>
      </c>
      <c r="BH1579">
        <v>8.011758843515821E-6</v>
      </c>
      <c r="BI1579">
        <v>2123979.6501368592</v>
      </c>
      <c r="BJ1579">
        <f t="shared" si="92"/>
        <v>0.16673833379909508</v>
      </c>
    </row>
    <row r="1580" spans="1:62" x14ac:dyDescent="0.3">
      <c r="A1580">
        <v>-0.1</v>
      </c>
      <c r="B1580" s="146">
        <v>1000</v>
      </c>
      <c r="C1580" s="146">
        <v>25</v>
      </c>
      <c r="D1580" s="146">
        <v>900</v>
      </c>
      <c r="E1580" s="252">
        <v>20.734228281182208</v>
      </c>
      <c r="F1580" s="146">
        <v>1.6648187151567697</v>
      </c>
      <c r="G1580" s="146">
        <v>22.172764361053289</v>
      </c>
      <c r="H1580" s="146">
        <v>17.734082685324022</v>
      </c>
      <c r="I1580" s="146"/>
      <c r="J1580" s="146">
        <v>0.53527633449151513</v>
      </c>
      <c r="K1580" s="146">
        <v>0.27</v>
      </c>
      <c r="L1580" s="146">
        <v>119.92580663484497</v>
      </c>
      <c r="M1580" s="146">
        <v>52.249832766218766</v>
      </c>
      <c r="N1580" s="146">
        <v>4.5063070696093668</v>
      </c>
      <c r="O1580" s="146"/>
      <c r="P1580" s="146"/>
      <c r="Q1580" s="146"/>
      <c r="R1580" s="146"/>
      <c r="S1580" s="146"/>
      <c r="T1580" s="146"/>
      <c r="U1580" s="146"/>
      <c r="V1580" s="146"/>
      <c r="W1580" s="146"/>
      <c r="X1580" s="146"/>
      <c r="Y1580" s="146"/>
      <c r="Z1580" s="146">
        <v>0.25410432270841932</v>
      </c>
      <c r="AA1580" s="146"/>
      <c r="AB1580" s="146"/>
      <c r="AC1580" s="146"/>
      <c r="AD1580" s="146"/>
      <c r="AE1580" s="146"/>
      <c r="AF1580" s="146"/>
      <c r="AG1580" s="146"/>
      <c r="AH1580" s="146"/>
      <c r="AI1580" s="146"/>
      <c r="AJ1580" s="146"/>
      <c r="AK1580" s="146"/>
      <c r="AL1580" s="146">
        <v>3020.5822998087287</v>
      </c>
      <c r="AM1580" s="146">
        <v>7.508394930137996E-2</v>
      </c>
      <c r="AN1580" s="146">
        <v>0.25605130454224534</v>
      </c>
      <c r="AO1580" s="146">
        <v>819.0231492151554</v>
      </c>
      <c r="AP1580" s="146">
        <v>767.42876500404486</v>
      </c>
      <c r="AQ1580" t="s">
        <v>385</v>
      </c>
      <c r="AR1580">
        <f t="shared" si="93"/>
        <v>14.644015877877388</v>
      </c>
      <c r="AS1580">
        <f t="shared" si="94"/>
        <v>3.9965468373646496</v>
      </c>
      <c r="AT1580">
        <v>0.3</v>
      </c>
      <c r="AU1580">
        <v>0</v>
      </c>
      <c r="AV1580">
        <v>0.4</v>
      </c>
      <c r="AW1580" s="146">
        <v>3</v>
      </c>
      <c r="AX1580" s="146">
        <v>0.48394024427491433</v>
      </c>
      <c r="AY1580">
        <v>0.27</v>
      </c>
      <c r="AZ1580" s="209">
        <v>767.42876500404486</v>
      </c>
      <c r="BA1580">
        <v>0.48394024427491433</v>
      </c>
      <c r="BB1580" s="249">
        <v>32.64847324715943</v>
      </c>
      <c r="BC1580" s="243">
        <v>197.33901946173009</v>
      </c>
      <c r="BD1580" s="209">
        <v>91629.732776486097</v>
      </c>
      <c r="BE1580" s="243">
        <v>45.11166945534876</v>
      </c>
      <c r="BF1580">
        <v>356642.08051801421</v>
      </c>
      <c r="BG1580" t="s">
        <v>388</v>
      </c>
      <c r="BH1580">
        <v>8.1171448687274458E-6</v>
      </c>
      <c r="BI1580">
        <v>2116297.3277648608</v>
      </c>
      <c r="BJ1580">
        <f t="shared" si="92"/>
        <v>0.1685217269988635</v>
      </c>
    </row>
    <row r="1581" spans="1:62" x14ac:dyDescent="0.3">
      <c r="A1581">
        <v>-0.1</v>
      </c>
      <c r="B1581" s="146">
        <v>1000</v>
      </c>
      <c r="C1581" s="146">
        <v>25</v>
      </c>
      <c r="D1581" s="146">
        <v>1000</v>
      </c>
      <c r="E1581" s="252">
        <v>20.914091856640599</v>
      </c>
      <c r="F1581" s="146">
        <v>1.5338868060569948</v>
      </c>
      <c r="G1581" s="146">
        <v>22.283976401846726</v>
      </c>
      <c r="H1581" s="146">
        <v>17.691847247693911</v>
      </c>
      <c r="I1581" s="146"/>
      <c r="J1581" s="146">
        <v>0.52914772500721297</v>
      </c>
      <c r="K1581" s="146">
        <v>0.27</v>
      </c>
      <c r="L1581" s="146">
        <v>119.62025774879501</v>
      </c>
      <c r="M1581" s="146">
        <v>52.116709807566288</v>
      </c>
      <c r="N1581" s="146">
        <v>4.6993324237507217</v>
      </c>
      <c r="O1581" s="146"/>
      <c r="P1581" s="146"/>
      <c r="Q1581" s="146"/>
      <c r="R1581" s="146"/>
      <c r="S1581" s="146"/>
      <c r="T1581" s="146"/>
      <c r="U1581" s="146"/>
      <c r="V1581" s="146"/>
      <c r="W1581" s="146"/>
      <c r="X1581" s="146"/>
      <c r="Y1581" s="146"/>
      <c r="Z1581" s="146">
        <v>0.26562135417279664</v>
      </c>
      <c r="AA1581" s="146"/>
      <c r="AB1581" s="146"/>
      <c r="AC1581" s="146"/>
      <c r="AD1581" s="146"/>
      <c r="AE1581" s="146"/>
      <c r="AF1581" s="146"/>
      <c r="AG1581" s="146"/>
      <c r="AH1581" s="146"/>
      <c r="AI1581" s="146"/>
      <c r="AJ1581" s="146"/>
      <c r="AK1581" s="146"/>
      <c r="AL1581" s="146">
        <v>3215.7560366494063</v>
      </c>
      <c r="AM1581" s="146">
        <v>6.8833621899270989E-2</v>
      </c>
      <c r="AN1581" s="146">
        <v>0.25545973903002733</v>
      </c>
      <c r="AO1581" s="146">
        <v>918.13155397382479</v>
      </c>
      <c r="AP1581" s="146">
        <v>866.08982477404493</v>
      </c>
      <c r="AQ1581" t="s">
        <v>385</v>
      </c>
      <c r="AR1581">
        <f t="shared" si="93"/>
        <v>14.644015877877388</v>
      </c>
      <c r="AS1581">
        <f t="shared" si="94"/>
        <v>3.9965468373646496</v>
      </c>
      <c r="AT1581">
        <v>0.3</v>
      </c>
      <c r="AU1581">
        <v>0</v>
      </c>
      <c r="AV1581">
        <v>0.4</v>
      </c>
      <c r="AW1581" s="146">
        <v>3</v>
      </c>
      <c r="AX1581" s="146">
        <v>0.48102012928186372</v>
      </c>
      <c r="AY1581">
        <v>0.27</v>
      </c>
      <c r="AZ1581" s="209">
        <v>866.08982477404493</v>
      </c>
      <c r="BA1581">
        <v>0.48102012928186372</v>
      </c>
      <c r="BB1581" s="249">
        <v>31.954202757297537</v>
      </c>
      <c r="BC1581" s="243">
        <v>196.55271695901237</v>
      </c>
      <c r="BD1581" s="209">
        <v>90977.564587427143</v>
      </c>
      <c r="BE1581" s="243">
        <v>44.623739912038459</v>
      </c>
      <c r="BF1581">
        <v>358588.13338896818</v>
      </c>
      <c r="BG1581" t="s">
        <v>388</v>
      </c>
      <c r="BH1581">
        <v>8.2050620504236475E-6</v>
      </c>
      <c r="BI1581">
        <v>2109775.6458742712</v>
      </c>
      <c r="BJ1581">
        <f t="shared" si="92"/>
        <v>0.16996505485794089</v>
      </c>
    </row>
    <row r="1582" spans="1:62" s="140" customFormat="1" x14ac:dyDescent="0.3">
      <c r="A1582" s="140">
        <v>-0.1</v>
      </c>
      <c r="B1582" s="140">
        <v>1000</v>
      </c>
      <c r="C1582" s="140">
        <v>25</v>
      </c>
      <c r="D1582" s="140">
        <v>1100</v>
      </c>
      <c r="E1582" s="253">
        <v>21.065246179821422</v>
      </c>
      <c r="F1582" s="140">
        <v>1.4232711201974608</v>
      </c>
      <c r="G1582" s="140">
        <v>22.377135099798771</v>
      </c>
      <c r="H1582" s="140">
        <v>17.656836693116784</v>
      </c>
      <c r="J1582" s="140">
        <v>0.52372700539041384</v>
      </c>
      <c r="K1582" s="140">
        <v>0.27</v>
      </c>
      <c r="L1582" s="140">
        <v>119.36778958521182</v>
      </c>
      <c r="M1582" s="140">
        <v>52.006713304760346</v>
      </c>
      <c r="N1582" s="140">
        <v>4.8726790515932699</v>
      </c>
      <c r="Z1582" s="140">
        <v>0.275965572785345</v>
      </c>
      <c r="AL1582" s="140">
        <v>3401.2969805011144</v>
      </c>
      <c r="AM1582" s="140">
        <v>6.3603813171341117E-2</v>
      </c>
      <c r="AN1582" s="140">
        <v>0.25495125032084526</v>
      </c>
      <c r="AO1582" s="140">
        <v>1017.3753956754018</v>
      </c>
      <c r="AP1582" s="140">
        <v>964.95745470447957</v>
      </c>
      <c r="AQ1582" t="s">
        <v>385</v>
      </c>
      <c r="AR1582">
        <f t="shared" si="93"/>
        <v>14.644015877877388</v>
      </c>
      <c r="AS1582">
        <f t="shared" si="94"/>
        <v>3.9965468373646496</v>
      </c>
      <c r="AT1582">
        <v>0.3</v>
      </c>
      <c r="AU1582">
        <v>0</v>
      </c>
      <c r="AV1582">
        <v>0.4</v>
      </c>
      <c r="AW1582" s="140">
        <v>3</v>
      </c>
      <c r="AX1582" s="140">
        <v>0.47834072941421807</v>
      </c>
      <c r="AY1582">
        <v>0.27</v>
      </c>
      <c r="AZ1582" s="209">
        <v>964.95745470447957</v>
      </c>
      <c r="BA1582" s="140">
        <v>0.47834072941421807</v>
      </c>
      <c r="BB1582" s="253">
        <v>31.363742626786973</v>
      </c>
      <c r="BC1582" s="245">
        <v>195.90518119471511</v>
      </c>
      <c r="BD1582" s="210">
        <v>90424.016955168714</v>
      </c>
      <c r="BE1582" s="245">
        <v>44.196162756732612</v>
      </c>
      <c r="BF1582" s="140">
        <v>360178.26026259206</v>
      </c>
      <c r="BG1582" t="s">
        <v>388</v>
      </c>
      <c r="BH1582" s="140">
        <v>8.2795514994073888E-6</v>
      </c>
      <c r="BI1582" s="140">
        <v>2104240.1695516873</v>
      </c>
      <c r="BJ1582">
        <f t="shared" si="92"/>
        <v>0.1711678474132203</v>
      </c>
    </row>
    <row r="1583" spans="1:62" x14ac:dyDescent="0.3">
      <c r="A1583">
        <v>-0.1</v>
      </c>
      <c r="B1583" s="146">
        <v>1000</v>
      </c>
      <c r="C1583" s="146">
        <v>25</v>
      </c>
      <c r="D1583" s="146">
        <v>400</v>
      </c>
      <c r="E1583" s="252">
        <v>18.763341482433376</v>
      </c>
      <c r="F1583" s="146">
        <v>2.9677808686506317</v>
      </c>
      <c r="G1583" s="146">
        <v>20.881214308097512</v>
      </c>
      <c r="H1583" s="146">
        <v>18.219208578586517</v>
      </c>
      <c r="I1583" s="146"/>
      <c r="J1583" s="146">
        <v>0.6281512098079195</v>
      </c>
      <c r="K1583" s="146">
        <v>0.27</v>
      </c>
      <c r="L1583" s="146">
        <v>123.53318426031431</v>
      </c>
      <c r="M1583" s="146">
        <v>53.821511814659758</v>
      </c>
      <c r="N1583" s="146">
        <v>2.843611622581907</v>
      </c>
      <c r="O1583" s="146"/>
      <c r="P1583" s="146"/>
      <c r="Q1583" s="146"/>
      <c r="R1583" s="146"/>
      <c r="S1583" s="146"/>
      <c r="T1583" s="146"/>
      <c r="U1583" s="146"/>
      <c r="V1583" s="146"/>
      <c r="W1583" s="146"/>
      <c r="X1583" s="146"/>
      <c r="Y1583" s="146"/>
      <c r="Z1583" s="146">
        <v>0.15607766991174762</v>
      </c>
      <c r="AA1583" s="146"/>
      <c r="AB1583" s="146"/>
      <c r="AC1583" s="146"/>
      <c r="AD1583" s="146"/>
      <c r="AE1583" s="146"/>
      <c r="AF1583" s="146"/>
      <c r="AG1583" s="146"/>
      <c r="AH1583" s="146"/>
      <c r="AI1583" s="146"/>
      <c r="AJ1583" s="146"/>
      <c r="AK1583" s="146"/>
      <c r="AL1583" s="146">
        <v>1703.5769643400449</v>
      </c>
      <c r="AM1583" s="146">
        <v>0.14212683347154567</v>
      </c>
      <c r="AN1583" s="146">
        <v>0.2622820717214504</v>
      </c>
      <c r="AO1583" s="146">
        <v>328.46121216260457</v>
      </c>
      <c r="AP1583" s="146">
        <v>281.77115304909154</v>
      </c>
      <c r="AQ1583" t="s">
        <v>385</v>
      </c>
      <c r="AR1583">
        <f t="shared" si="93"/>
        <v>14.644015877877388</v>
      </c>
      <c r="AS1583">
        <f t="shared" si="94"/>
        <v>3.9965468373646496</v>
      </c>
      <c r="AT1583">
        <v>0.3</v>
      </c>
      <c r="AU1583">
        <v>0</v>
      </c>
      <c r="AV1583">
        <v>0.4</v>
      </c>
      <c r="AW1583" s="146">
        <v>3</v>
      </c>
      <c r="AX1583" s="146">
        <v>0.54141751487313983</v>
      </c>
      <c r="AY1583">
        <v>0.27</v>
      </c>
      <c r="AZ1583" s="209">
        <v>281.77115304909154</v>
      </c>
      <c r="BA1583">
        <v>0.54141751487313983</v>
      </c>
      <c r="BB1583" s="249">
        <v>38.815726373859555</v>
      </c>
      <c r="BC1583" s="243">
        <v>206.84725428772103</v>
      </c>
      <c r="BD1583" s="209">
        <v>96714.691986622434</v>
      </c>
      <c r="BE1583" s="243">
        <v>46.74570224780706</v>
      </c>
      <c r="BF1583">
        <v>328240.64782602788</v>
      </c>
      <c r="BG1583" t="s">
        <v>389</v>
      </c>
      <c r="BH1583">
        <v>7.2578244896277459E-6</v>
      </c>
      <c r="BI1583">
        <v>2167146.9198662243</v>
      </c>
      <c r="BJ1583">
        <f t="shared" si="92"/>
        <v>0.15146211122884545</v>
      </c>
    </row>
    <row r="1584" spans="1:62" x14ac:dyDescent="0.3">
      <c r="A1584">
        <v>-0.1</v>
      </c>
      <c r="B1584" s="146">
        <v>1000</v>
      </c>
      <c r="C1584" s="146">
        <v>25</v>
      </c>
      <c r="D1584" s="146">
        <v>400</v>
      </c>
      <c r="E1584" s="252">
        <v>18.147138826395949</v>
      </c>
      <c r="F1584" s="146">
        <v>2.8563632161777699</v>
      </c>
      <c r="G1584" s="146">
        <v>20.178021162947573</v>
      </c>
      <c r="H1584" s="146">
        <v>17.619746701747463</v>
      </c>
      <c r="I1584" s="146"/>
      <c r="J1584" s="146">
        <v>0.63075253297909994</v>
      </c>
      <c r="K1584" s="146">
        <v>0.27</v>
      </c>
      <c r="L1584" s="146">
        <v>119.51165070927938</v>
      </c>
      <c r="M1584" s="146">
        <v>52.069391387860314</v>
      </c>
      <c r="N1584" s="146">
        <v>2.7694594070518548</v>
      </c>
      <c r="O1584" s="146"/>
      <c r="P1584" s="146"/>
      <c r="Q1584" s="146"/>
      <c r="R1584" s="146"/>
      <c r="S1584" s="146"/>
      <c r="T1584" s="146"/>
      <c r="U1584" s="146"/>
      <c r="V1584" s="146"/>
      <c r="W1584" s="146"/>
      <c r="X1584" s="146"/>
      <c r="Y1584" s="146"/>
      <c r="Z1584" s="146">
        <v>0.15717929740597178</v>
      </c>
      <c r="AA1584" s="146"/>
      <c r="AB1584" s="146"/>
      <c r="AC1584" s="146"/>
      <c r="AD1584" s="146"/>
      <c r="AE1584" s="146"/>
      <c r="AF1584" s="146"/>
      <c r="AG1584" s="146"/>
      <c r="AH1584" s="146"/>
      <c r="AI1584" s="146"/>
      <c r="AJ1584" s="146"/>
      <c r="AK1584" s="146"/>
      <c r="AL1584" s="146">
        <v>1670.6398548092582</v>
      </c>
      <c r="AM1584" s="146">
        <v>0.14155814354198631</v>
      </c>
      <c r="AN1584" s="146">
        <v>0.26325649542850887</v>
      </c>
      <c r="AO1584" s="146">
        <v>331.06670056950571</v>
      </c>
      <c r="AP1584" s="146">
        <v>285.9101512833314</v>
      </c>
      <c r="AQ1584" t="s">
        <v>385</v>
      </c>
      <c r="AR1584">
        <f t="shared" si="93"/>
        <v>14.644015877877388</v>
      </c>
      <c r="AS1584">
        <f t="shared" si="94"/>
        <v>3.9965468373646496</v>
      </c>
      <c r="AT1584">
        <v>0.3</v>
      </c>
      <c r="AU1584">
        <v>0</v>
      </c>
      <c r="AV1584">
        <v>0.4</v>
      </c>
      <c r="AW1584" s="146">
        <v>2.5</v>
      </c>
      <c r="AX1584" s="146">
        <v>0.54366262002441756</v>
      </c>
      <c r="AY1584">
        <v>0.27</v>
      </c>
      <c r="AZ1584" s="209">
        <v>285.9101512833314</v>
      </c>
      <c r="BA1584">
        <v>0.54366262002441756</v>
      </c>
      <c r="BB1584" s="249">
        <v>37.469936543035779</v>
      </c>
      <c r="BC1584" s="243">
        <v>196.27391964356994</v>
      </c>
      <c r="BD1584" s="209">
        <v>91020.642137231407</v>
      </c>
      <c r="BE1584" s="243">
        <v>44.806371741526441</v>
      </c>
      <c r="BF1584">
        <v>374940.17737658834</v>
      </c>
      <c r="BG1584" t="s">
        <v>389</v>
      </c>
      <c r="BH1584">
        <v>7.0318336281118945E-6</v>
      </c>
      <c r="BI1584">
        <v>2110206.421372314</v>
      </c>
      <c r="BJ1584">
        <f t="shared" si="92"/>
        <v>0.17767938414894807</v>
      </c>
    </row>
    <row r="1585" spans="1:62" x14ac:dyDescent="0.3">
      <c r="A1585">
        <v>-0.1</v>
      </c>
      <c r="B1585" s="146">
        <v>1000</v>
      </c>
      <c r="C1585" s="146">
        <v>25</v>
      </c>
      <c r="D1585" s="146">
        <v>400</v>
      </c>
      <c r="E1585" s="252">
        <v>15.933958399454632</v>
      </c>
      <c r="F1585" s="146">
        <v>2.487592970972921</v>
      </c>
      <c r="G1585" s="146">
        <v>17.677897715070642</v>
      </c>
      <c r="H1585" s="146">
        <v>15.382449332829131</v>
      </c>
      <c r="I1585" s="146"/>
      <c r="J1585" s="146">
        <v>0.62619268943609541</v>
      </c>
      <c r="K1585" s="146">
        <v>0.27</v>
      </c>
      <c r="L1585" s="146">
        <v>104.47122307125206</v>
      </c>
      <c r="M1585" s="146">
        <v>45.516507977101519</v>
      </c>
      <c r="N1585" s="146">
        <v>2.541123881495567</v>
      </c>
      <c r="O1585" s="146"/>
      <c r="P1585" s="146"/>
      <c r="Q1585" s="146"/>
      <c r="R1585" s="146"/>
      <c r="S1585" s="146"/>
      <c r="T1585" s="146"/>
      <c r="U1585" s="146"/>
      <c r="V1585" s="146"/>
      <c r="W1585" s="146"/>
      <c r="X1585" s="146"/>
      <c r="Y1585" s="146"/>
      <c r="Z1585" s="146">
        <v>0.16519631084188366</v>
      </c>
      <c r="AA1585" s="146"/>
      <c r="AB1585" s="146"/>
      <c r="AC1585" s="146"/>
      <c r="AD1585" s="146"/>
      <c r="AE1585" s="146"/>
      <c r="AF1585" s="146"/>
      <c r="AG1585" s="146"/>
      <c r="AH1585" s="146"/>
      <c r="AI1585" s="146"/>
      <c r="AJ1585" s="146"/>
      <c r="AK1585" s="146"/>
      <c r="AL1585" s="146">
        <v>1570.5123613547464</v>
      </c>
      <c r="AM1585" s="146">
        <v>0.1407176922882756</v>
      </c>
      <c r="AN1585" s="146">
        <v>0.26380634017491139</v>
      </c>
      <c r="AO1585" s="146">
        <v>339.5997897969778</v>
      </c>
      <c r="AP1585" s="146">
        <v>299.95042060696312</v>
      </c>
      <c r="AQ1585" t="s">
        <v>385</v>
      </c>
      <c r="AR1585">
        <f t="shared" si="93"/>
        <v>14.644015877877388</v>
      </c>
      <c r="AS1585">
        <f t="shared" si="94"/>
        <v>3.9965468373646496</v>
      </c>
      <c r="AT1585">
        <v>0.3</v>
      </c>
      <c r="AU1585">
        <v>0</v>
      </c>
      <c r="AV1585">
        <v>0.4</v>
      </c>
      <c r="AW1585" s="146">
        <v>1.5</v>
      </c>
      <c r="AX1585" s="146">
        <v>0.53811039894613066</v>
      </c>
      <c r="AY1585">
        <v>0.27</v>
      </c>
      <c r="AZ1585" s="209">
        <v>299.95042060696312</v>
      </c>
      <c r="BA1585">
        <v>0.53811039894613066</v>
      </c>
      <c r="BB1585" s="249">
        <v>32.934229255575417</v>
      </c>
      <c r="BC1585" s="243">
        <v>160.77724783967068</v>
      </c>
      <c r="BD1585" s="209">
        <v>72813.815402248059</v>
      </c>
      <c r="BE1585" s="243">
        <v>39.279884212149909</v>
      </c>
      <c r="BF1585">
        <v>500972.7569496248</v>
      </c>
      <c r="BG1585" t="s">
        <v>389</v>
      </c>
      <c r="BH1585">
        <v>6.2633405753363036E-6</v>
      </c>
      <c r="BI1585">
        <v>1928138.1540224806</v>
      </c>
      <c r="BJ1585">
        <f t="shared" si="92"/>
        <v>0.25982202359540252</v>
      </c>
    </row>
    <row r="1586" spans="1:62" x14ac:dyDescent="0.3">
      <c r="A1586">
        <v>-0.1</v>
      </c>
      <c r="B1586" s="146">
        <v>1000</v>
      </c>
      <c r="C1586" s="146">
        <v>25</v>
      </c>
      <c r="D1586" s="146">
        <v>400</v>
      </c>
      <c r="E1586" s="252">
        <v>13.818767951768308</v>
      </c>
      <c r="F1586" s="146">
        <v>2.1479432761330557</v>
      </c>
      <c r="G1586" s="146">
        <v>15.307707844648899</v>
      </c>
      <c r="H1586" s="146">
        <v>13.291482788233459</v>
      </c>
      <c r="I1586" s="146"/>
      <c r="J1586" s="146">
        <v>0.62358085882493064</v>
      </c>
      <c r="K1586" s="146">
        <v>0.27</v>
      </c>
      <c r="L1586" s="146">
        <v>90.36953733685435</v>
      </c>
      <c r="M1586" s="146">
        <v>39.372620001534052</v>
      </c>
      <c r="N1586" s="146">
        <v>2.3071636268373261</v>
      </c>
      <c r="O1586" s="146"/>
      <c r="P1586" s="146"/>
      <c r="Q1586" s="146"/>
      <c r="R1586" s="146"/>
      <c r="S1586" s="146"/>
      <c r="T1586" s="146"/>
      <c r="U1586" s="146"/>
      <c r="V1586" s="146"/>
      <c r="W1586" s="146"/>
      <c r="X1586" s="146"/>
      <c r="Y1586" s="146"/>
      <c r="Z1586" s="146">
        <v>0.17358210995689563</v>
      </c>
      <c r="AA1586" s="146"/>
      <c r="AB1586" s="146"/>
      <c r="AC1586" s="146"/>
      <c r="AD1586" s="146"/>
      <c r="AE1586" s="146"/>
      <c r="AF1586" s="146"/>
      <c r="AG1586" s="146"/>
      <c r="AH1586" s="146"/>
      <c r="AI1586" s="146"/>
      <c r="AJ1586" s="146"/>
      <c r="AK1586" s="146"/>
      <c r="AL1586" s="146">
        <v>1466.9729385276521</v>
      </c>
      <c r="AM1586" s="146">
        <v>0.14031776004164531</v>
      </c>
      <c r="AN1586" s="146">
        <v>0.2646130725082429</v>
      </c>
      <c r="AO1586" s="146">
        <v>347.77745550973168</v>
      </c>
      <c r="AP1586" s="146">
        <v>313.39112510898894</v>
      </c>
      <c r="AQ1586" t="s">
        <v>385</v>
      </c>
      <c r="AR1586">
        <f t="shared" si="93"/>
        <v>14.644015877877388</v>
      </c>
      <c r="AS1586">
        <f t="shared" si="94"/>
        <v>3.9965468373646496</v>
      </c>
      <c r="AT1586">
        <v>0.3</v>
      </c>
      <c r="AU1586">
        <v>0</v>
      </c>
      <c r="AV1586">
        <v>0.4</v>
      </c>
      <c r="AW1586" s="146">
        <v>1</v>
      </c>
      <c r="AX1586" s="146">
        <v>0.53410726663625574</v>
      </c>
      <c r="AY1586">
        <v>0.27</v>
      </c>
      <c r="AZ1586" s="209">
        <v>313.39112510898894</v>
      </c>
      <c r="BA1586">
        <v>0.53410726663625574</v>
      </c>
      <c r="BB1586" s="249">
        <v>28.646158349995545</v>
      </c>
      <c r="BC1586" s="243">
        <v>132.01733827632765</v>
      </c>
      <c r="BD1586" s="209">
        <v>58188.67741918088</v>
      </c>
      <c r="BE1586" s="243">
        <v>33.96996364929727</v>
      </c>
      <c r="BF1586">
        <v>575278.55873570312</v>
      </c>
      <c r="BG1586" t="s">
        <v>389</v>
      </c>
      <c r="BH1586">
        <v>5.5485592695058592E-6</v>
      </c>
      <c r="BI1586">
        <v>1781886.7741918089</v>
      </c>
      <c r="BJ1586">
        <f t="shared" si="92"/>
        <v>0.32284798735128722</v>
      </c>
    </row>
    <row r="1587" spans="1:62" x14ac:dyDescent="0.3">
      <c r="A1587">
        <v>-0.1</v>
      </c>
      <c r="B1587" s="146">
        <v>1000</v>
      </c>
      <c r="C1587" s="146">
        <v>25</v>
      </c>
      <c r="D1587" s="146">
        <v>400</v>
      </c>
      <c r="E1587" s="252">
        <v>12.629024423714823</v>
      </c>
      <c r="F1587" s="146">
        <v>1.9631624699243679</v>
      </c>
      <c r="G1587" s="146">
        <v>13.981765285500405</v>
      </c>
      <c r="H1587" s="146">
        <v>12.123924393784261</v>
      </c>
      <c r="I1587" s="146"/>
      <c r="J1587" s="146">
        <v>0.6214280721297547</v>
      </c>
      <c r="K1587" s="146">
        <v>0.27</v>
      </c>
      <c r="L1587" s="146">
        <v>82.478660300007959</v>
      </c>
      <c r="M1587" s="146">
        <v>35.934686022825048</v>
      </c>
      <c r="N1587" s="146">
        <v>2.1719360490610349</v>
      </c>
      <c r="O1587" s="146"/>
      <c r="P1587" s="146"/>
      <c r="Q1587" s="146"/>
      <c r="R1587" s="146"/>
      <c r="S1587" s="146"/>
      <c r="T1587" s="146"/>
      <c r="U1587" s="146"/>
      <c r="V1587" s="146"/>
      <c r="W1587" s="146"/>
      <c r="X1587" s="146"/>
      <c r="Y1587" s="146"/>
      <c r="Z1587" s="146">
        <v>0.17914463819772344</v>
      </c>
      <c r="AA1587" s="146"/>
      <c r="AB1587" s="146"/>
      <c r="AC1587" s="146"/>
      <c r="AD1587" s="146"/>
      <c r="AE1587" s="146"/>
      <c r="AF1587" s="146"/>
      <c r="AG1587" s="146"/>
      <c r="AH1587" s="146"/>
      <c r="AI1587" s="146"/>
      <c r="AJ1587" s="146"/>
      <c r="AK1587" s="146"/>
      <c r="AL1587" s="146">
        <v>1406.8641478620989</v>
      </c>
      <c r="AM1587" s="146">
        <v>0.14040877026881851</v>
      </c>
      <c r="AN1587" s="146">
        <v>0.26487958003648054</v>
      </c>
      <c r="AO1587" s="146">
        <v>352.32163830078753</v>
      </c>
      <c r="AP1587" s="146">
        <v>320.89612333158215</v>
      </c>
      <c r="AQ1587" t="s">
        <v>385</v>
      </c>
      <c r="AR1587">
        <f t="shared" si="93"/>
        <v>14.644015877877388</v>
      </c>
      <c r="AS1587">
        <f t="shared" si="94"/>
        <v>3.9965468373646496</v>
      </c>
      <c r="AT1587">
        <v>0.3</v>
      </c>
      <c r="AU1587">
        <v>0</v>
      </c>
      <c r="AV1587">
        <v>0.4</v>
      </c>
      <c r="AW1587" s="146">
        <v>0.8</v>
      </c>
      <c r="AX1587" s="146">
        <v>0.53101236540105312</v>
      </c>
      <c r="AY1587">
        <v>0.27</v>
      </c>
      <c r="AZ1587" s="209">
        <v>320.89612333158215</v>
      </c>
      <c r="BA1587">
        <v>0.53101236540105312</v>
      </c>
      <c r="BB1587" s="249">
        <v>26.266204048576061</v>
      </c>
      <c r="BC1587" s="243">
        <v>117.38644898748285</v>
      </c>
      <c r="BD1587" s="209">
        <v>50877.621854813413</v>
      </c>
      <c r="BE1587" s="243">
        <v>31.077401741876631</v>
      </c>
      <c r="BF1587">
        <v>603977.84669523651</v>
      </c>
      <c r="BG1587" t="s">
        <v>389</v>
      </c>
      <c r="BH1587">
        <v>5.1387293879679135E-6</v>
      </c>
      <c r="BI1587">
        <v>1708776.2185481342</v>
      </c>
      <c r="BJ1587">
        <f t="shared" si="92"/>
        <v>0.35345637429833132</v>
      </c>
    </row>
    <row r="1588" spans="1:62" x14ac:dyDescent="0.3">
      <c r="A1588">
        <v>-0.1</v>
      </c>
      <c r="B1588" s="146">
        <v>1000</v>
      </c>
      <c r="C1588" s="146">
        <v>25</v>
      </c>
      <c r="D1588" s="146">
        <v>400</v>
      </c>
      <c r="E1588" s="252">
        <v>11.163177526399286</v>
      </c>
      <c r="F1588" s="146">
        <v>1.7426954193425286</v>
      </c>
      <c r="G1588" s="146">
        <v>12.354983884992571</v>
      </c>
      <c r="H1588" s="146">
        <v>10.695883373052448</v>
      </c>
      <c r="I1588" s="146"/>
      <c r="J1588" s="146">
        <v>0.62029737183786704</v>
      </c>
      <c r="K1588" s="146">
        <v>0.27</v>
      </c>
      <c r="L1588" s="146">
        <v>72.812403193798644</v>
      </c>
      <c r="M1588" s="146">
        <v>31.723246204767047</v>
      </c>
      <c r="N1588" s="146">
        <v>1.9875579686949685</v>
      </c>
      <c r="O1588" s="146"/>
      <c r="P1588" s="146"/>
      <c r="Q1588" s="146"/>
      <c r="R1588" s="146"/>
      <c r="S1588" s="146"/>
      <c r="T1588" s="146"/>
      <c r="U1588" s="146"/>
      <c r="V1588" s="146"/>
      <c r="W1588" s="146"/>
      <c r="X1588" s="146"/>
      <c r="Y1588" s="146"/>
      <c r="Z1588" s="146">
        <v>0.18582457375166281</v>
      </c>
      <c r="AA1588" s="146"/>
      <c r="AB1588" s="146"/>
      <c r="AC1588" s="146"/>
      <c r="AD1588" s="146"/>
      <c r="AE1588" s="146"/>
      <c r="AF1588" s="146"/>
      <c r="AG1588" s="146"/>
      <c r="AH1588" s="146"/>
      <c r="AI1588" s="146"/>
      <c r="AJ1588" s="146"/>
      <c r="AK1588" s="146"/>
      <c r="AL1588" s="146">
        <v>1323.8571482234179</v>
      </c>
      <c r="AM1588" s="146">
        <v>0.14105201880994411</v>
      </c>
      <c r="AN1588" s="146">
        <v>0.26488413393595589</v>
      </c>
      <c r="AO1588" s="146">
        <v>357.85637531201348</v>
      </c>
      <c r="AP1588" s="146">
        <v>330.07816387593277</v>
      </c>
      <c r="AQ1588" t="s">
        <v>385</v>
      </c>
      <c r="AR1588">
        <f t="shared" si="93"/>
        <v>14.644015877877388</v>
      </c>
      <c r="AS1588">
        <f t="shared" si="94"/>
        <v>3.9965468373646496</v>
      </c>
      <c r="AT1588">
        <v>0.3</v>
      </c>
      <c r="AU1588">
        <v>0</v>
      </c>
      <c r="AV1588">
        <v>0.4</v>
      </c>
      <c r="AW1588" s="146">
        <v>0.6</v>
      </c>
      <c r="AX1588" s="146">
        <v>0.52823896753648514</v>
      </c>
      <c r="AY1588">
        <v>0.27</v>
      </c>
      <c r="AZ1588" s="209">
        <v>330.07816387593277</v>
      </c>
      <c r="BA1588">
        <v>0.52823896753648514</v>
      </c>
      <c r="BB1588" s="249">
        <v>23.36136124618557</v>
      </c>
      <c r="BC1588" s="243">
        <v>100.62403711443454</v>
      </c>
      <c r="BD1588" s="209">
        <v>42664.910511185015</v>
      </c>
      <c r="BE1588" s="243">
        <v>27.559422454373784</v>
      </c>
      <c r="BF1588">
        <v>633222.97392035753</v>
      </c>
      <c r="BG1588" t="s">
        <v>389</v>
      </c>
      <c r="BH1588">
        <v>4.608977274747874E-6</v>
      </c>
      <c r="BI1588">
        <v>1626649.1051118502</v>
      </c>
      <c r="BJ1588">
        <f t="shared" si="92"/>
        <v>0.38928062108196126</v>
      </c>
    </row>
    <row r="1589" spans="1:62" x14ac:dyDescent="0.3">
      <c r="A1589">
        <v>-0.1</v>
      </c>
      <c r="B1589" s="146">
        <v>1000</v>
      </c>
      <c r="C1589" s="146">
        <v>25</v>
      </c>
      <c r="D1589" s="146">
        <v>400</v>
      </c>
      <c r="E1589" s="252">
        <v>9.2327197679238484</v>
      </c>
      <c r="F1589" s="146">
        <v>1.4573276011337428</v>
      </c>
      <c r="G1589" s="146">
        <v>10.219592834172159</v>
      </c>
      <c r="H1589" s="146">
        <v>8.8367272349229022</v>
      </c>
      <c r="I1589" s="146"/>
      <c r="J1589" s="146">
        <v>0.61940772784100684</v>
      </c>
      <c r="K1589" s="146">
        <v>0.27</v>
      </c>
      <c r="L1589" s="146">
        <v>60.2051817407119</v>
      </c>
      <c r="M1589" s="146">
        <v>26.230473372509337</v>
      </c>
      <c r="N1589" s="146">
        <v>1.7341731658738135</v>
      </c>
      <c r="O1589" s="146"/>
      <c r="P1589" s="146"/>
      <c r="Q1589" s="146"/>
      <c r="R1589" s="146"/>
      <c r="S1589" s="146"/>
      <c r="T1589" s="146"/>
      <c r="U1589" s="146"/>
      <c r="V1589" s="146"/>
      <c r="W1589" s="146"/>
      <c r="X1589" s="146"/>
      <c r="Y1589" s="146"/>
      <c r="Z1589" s="146">
        <v>0.19624608973108626</v>
      </c>
      <c r="AA1589" s="146"/>
      <c r="AB1589" s="146"/>
      <c r="AC1589" s="146"/>
      <c r="AD1589" s="146"/>
      <c r="AE1589" s="146"/>
      <c r="AF1589" s="146"/>
      <c r="AG1589" s="146"/>
      <c r="AH1589" s="146"/>
      <c r="AI1589" s="146"/>
      <c r="AJ1589" s="146"/>
      <c r="AK1589" s="146"/>
      <c r="AL1589" s="146">
        <v>1209.2780851842283</v>
      </c>
      <c r="AM1589" s="146">
        <v>0.14260133693983845</v>
      </c>
      <c r="AN1589" s="146">
        <v>0.26504775436391942</v>
      </c>
      <c r="AO1589" s="146">
        <v>365.16582534313039</v>
      </c>
      <c r="AP1589" s="146">
        <v>342.19150224732226</v>
      </c>
      <c r="AQ1589" t="s">
        <v>385</v>
      </c>
      <c r="AR1589">
        <f t="shared" si="93"/>
        <v>14.644015877877388</v>
      </c>
      <c r="AS1589">
        <f t="shared" si="94"/>
        <v>3.9965468373646496</v>
      </c>
      <c r="AT1589">
        <v>0.3</v>
      </c>
      <c r="AU1589">
        <v>0</v>
      </c>
      <c r="AV1589">
        <v>0.4</v>
      </c>
      <c r="AW1589" s="146">
        <v>0.4</v>
      </c>
      <c r="AX1589" s="146">
        <v>0.52478138130747021</v>
      </c>
      <c r="AY1589">
        <v>0.27</v>
      </c>
      <c r="AZ1589" s="209">
        <v>342.19150224732226</v>
      </c>
      <c r="BA1589">
        <v>0.52478138130747021</v>
      </c>
      <c r="BB1589" s="249">
        <v>19.544017619110935</v>
      </c>
      <c r="BC1589" s="243">
        <v>80.360587946919097</v>
      </c>
      <c r="BD1589" s="209">
        <v>32984.890066916807</v>
      </c>
      <c r="BE1589" s="243">
        <v>22.923118325657274</v>
      </c>
      <c r="BF1589">
        <v>653859.10905189195</v>
      </c>
      <c r="BG1589" t="s">
        <v>389</v>
      </c>
      <c r="BH1589">
        <v>3.8882688881895638E-6</v>
      </c>
      <c r="BI1589">
        <v>1529848.9006691682</v>
      </c>
      <c r="BJ1589">
        <f t="shared" si="92"/>
        <v>0.42740110396908393</v>
      </c>
    </row>
    <row r="1590" spans="1:62" x14ac:dyDescent="0.3">
      <c r="A1590">
        <v>-0.1</v>
      </c>
      <c r="B1590" s="146">
        <v>1000</v>
      </c>
      <c r="C1590" s="146">
        <v>25</v>
      </c>
      <c r="D1590" s="146">
        <v>400</v>
      </c>
      <c r="E1590" s="252">
        <v>8.0013755308515062</v>
      </c>
      <c r="F1590" s="146">
        <v>1.2784995328705682</v>
      </c>
      <c r="G1590" s="146">
        <v>8.8613408085089063</v>
      </c>
      <c r="H1590" s="146">
        <v>7.6587350202271116</v>
      </c>
      <c r="I1590" s="146"/>
      <c r="J1590" s="146">
        <v>0.61931931699885379</v>
      </c>
      <c r="K1590" s="146">
        <v>0.27</v>
      </c>
      <c r="L1590" s="146">
        <v>52.204850957417342</v>
      </c>
      <c r="M1590" s="146">
        <v>22.744852076883078</v>
      </c>
      <c r="N1590" s="146">
        <v>1.5620156696109504</v>
      </c>
      <c r="O1590" s="146"/>
      <c r="P1590" s="146"/>
      <c r="Q1590" s="146"/>
      <c r="R1590" s="146"/>
      <c r="S1590" s="146"/>
      <c r="T1590" s="146"/>
      <c r="U1590" s="146"/>
      <c r="V1590" s="146"/>
      <c r="W1590" s="146"/>
      <c r="X1590" s="146"/>
      <c r="Y1590" s="146"/>
      <c r="Z1590" s="146">
        <v>0.20395217558586201</v>
      </c>
      <c r="AA1590" s="146"/>
      <c r="AB1590" s="146"/>
      <c r="AC1590" s="146"/>
      <c r="AD1590" s="146"/>
      <c r="AE1590" s="146"/>
      <c r="AF1590" s="146"/>
      <c r="AG1590" s="146"/>
      <c r="AH1590" s="146"/>
      <c r="AI1590" s="146"/>
      <c r="AJ1590" s="146"/>
      <c r="AK1590" s="146"/>
      <c r="AL1590" s="146">
        <v>1130.9024172674547</v>
      </c>
      <c r="AM1590" s="146">
        <v>0.1442783389668206</v>
      </c>
      <c r="AN1590" s="146">
        <v>0.2649898823487043</v>
      </c>
      <c r="AO1590" s="146">
        <v>369.80497723183873</v>
      </c>
      <c r="AP1590" s="146">
        <v>349.89458246198024</v>
      </c>
      <c r="AQ1590" t="s">
        <v>385</v>
      </c>
      <c r="AR1590">
        <f t="shared" si="93"/>
        <v>14.644015877877388</v>
      </c>
      <c r="AS1590">
        <f t="shared" si="94"/>
        <v>3.9965468373646496</v>
      </c>
      <c r="AT1590">
        <v>0.3</v>
      </c>
      <c r="AU1590">
        <v>0</v>
      </c>
      <c r="AV1590">
        <v>0.4</v>
      </c>
      <c r="AW1590" s="146">
        <v>0.3</v>
      </c>
      <c r="AX1590" s="146">
        <v>0.5227144252724818</v>
      </c>
      <c r="AY1590">
        <v>0.27</v>
      </c>
      <c r="AZ1590" s="209">
        <v>349.89458246198024</v>
      </c>
      <c r="BA1590">
        <v>0.5227144252724818</v>
      </c>
      <c r="BB1590" s="249">
        <v>17.114010220751311</v>
      </c>
      <c r="BC1590" s="243">
        <v>68.289708202494069</v>
      </c>
      <c r="BD1590" s="209">
        <v>27411.876857595293</v>
      </c>
      <c r="BE1590" s="243">
        <v>19.996496286352198</v>
      </c>
      <c r="BF1590">
        <v>658046.17429665057</v>
      </c>
      <c r="BG1590" t="s">
        <v>389</v>
      </c>
      <c r="BH1590">
        <v>3.4086735887390811E-6</v>
      </c>
      <c r="BI1590">
        <v>1474118.7685759529</v>
      </c>
      <c r="BJ1590">
        <f t="shared" si="92"/>
        <v>0.4463996988060499</v>
      </c>
    </row>
    <row r="1591" spans="1:62" x14ac:dyDescent="0.3">
      <c r="A1591">
        <v>-0.1</v>
      </c>
      <c r="B1591" s="146">
        <v>1000</v>
      </c>
      <c r="C1591" s="146">
        <v>25</v>
      </c>
      <c r="D1591" s="146">
        <v>400</v>
      </c>
      <c r="E1591" s="252">
        <v>6.4809784874650633</v>
      </c>
      <c r="F1591" s="146">
        <v>1.0591269756836237</v>
      </c>
      <c r="G1591" s="146">
        <v>7.1869155908976401</v>
      </c>
      <c r="H1591" s="146">
        <v>6.2125016536736544</v>
      </c>
      <c r="I1591" s="146"/>
      <c r="J1591" s="146">
        <v>0.62010334848014836</v>
      </c>
      <c r="K1591" s="146">
        <v>0.27</v>
      </c>
      <c r="L1591" s="146">
        <v>42.370851806648929</v>
      </c>
      <c r="M1591" s="146">
        <v>18.460329625303473</v>
      </c>
      <c r="N1591" s="146">
        <v>1.3364727717692544</v>
      </c>
      <c r="O1591" s="146"/>
      <c r="P1591" s="146"/>
      <c r="Q1591" s="146"/>
      <c r="R1591" s="146"/>
      <c r="S1591" s="146"/>
      <c r="T1591" s="146"/>
      <c r="U1591" s="146"/>
      <c r="V1591" s="146"/>
      <c r="W1591" s="146"/>
      <c r="X1591" s="146"/>
      <c r="Y1591" s="146"/>
      <c r="Z1591" s="146">
        <v>0.21512634463106414</v>
      </c>
      <c r="AA1591" s="146"/>
      <c r="AB1591" s="146"/>
      <c r="AC1591" s="146"/>
      <c r="AD1591" s="146"/>
      <c r="AE1591" s="146"/>
      <c r="AF1591" s="146"/>
      <c r="AG1591" s="146"/>
      <c r="AH1591" s="146"/>
      <c r="AI1591" s="146"/>
      <c r="AJ1591" s="146"/>
      <c r="AK1591" s="146"/>
      <c r="AL1591" s="146">
        <v>1027.6382183800263</v>
      </c>
      <c r="AM1591" s="146">
        <v>0.14736877903853879</v>
      </c>
      <c r="AN1591" s="146">
        <v>0.26484124792326863</v>
      </c>
      <c r="AO1591" s="146">
        <v>375.52881759059386</v>
      </c>
      <c r="AP1591" s="146">
        <v>359.40183249539916</v>
      </c>
      <c r="AQ1591" t="s">
        <v>385</v>
      </c>
      <c r="AR1591">
        <f t="shared" si="93"/>
        <v>14.644015877877388</v>
      </c>
      <c r="AS1591">
        <f t="shared" si="94"/>
        <v>3.9965468373646496</v>
      </c>
      <c r="AT1591">
        <v>0.3</v>
      </c>
      <c r="AU1591">
        <v>0</v>
      </c>
      <c r="AV1591">
        <v>0.4</v>
      </c>
      <c r="AW1591" s="146">
        <v>0.2</v>
      </c>
      <c r="AX1591" s="146">
        <v>0.52070545837491122</v>
      </c>
      <c r="AY1591">
        <v>0.27</v>
      </c>
      <c r="AZ1591" s="209">
        <v>359.40183249539916</v>
      </c>
      <c r="BA1591">
        <v>0.52070545837491122</v>
      </c>
      <c r="BB1591" s="249">
        <v>14.102992119623078</v>
      </c>
      <c r="BC1591" s="243">
        <v>54.161733547246691</v>
      </c>
      <c r="BD1591" s="209">
        <v>21107.408059561643</v>
      </c>
      <c r="BE1591" s="243">
        <v>16.387712689059384</v>
      </c>
      <c r="BF1591">
        <v>654057.07182498078</v>
      </c>
      <c r="BG1591" t="s">
        <v>389</v>
      </c>
      <c r="BH1591">
        <v>2.790488931760082E-6</v>
      </c>
      <c r="BI1591">
        <v>1411074.0805956165</v>
      </c>
      <c r="BJ1591">
        <f t="shared" si="92"/>
        <v>0.46351717519246211</v>
      </c>
    </row>
    <row r="1592" spans="1:62" s="140" customFormat="1" x14ac:dyDescent="0.3">
      <c r="A1592" s="140">
        <v>-0.1</v>
      </c>
      <c r="B1592" s="140">
        <v>1000</v>
      </c>
      <c r="C1592" s="140">
        <v>25</v>
      </c>
      <c r="D1592" s="140">
        <v>400</v>
      </c>
      <c r="E1592" s="253">
        <v>4.4071292437314895</v>
      </c>
      <c r="F1592" s="140">
        <v>0.75793207520885408</v>
      </c>
      <c r="G1592" s="140">
        <v>4.9047883197409963</v>
      </c>
      <c r="H1592" s="140">
        <v>4.2500886922074121</v>
      </c>
      <c r="J1592" s="140">
        <v>0.62389202046875381</v>
      </c>
      <c r="K1592" s="140">
        <v>0.27</v>
      </c>
      <c r="L1592" s="140">
        <v>29.00768256819892</v>
      </c>
      <c r="M1592" s="140">
        <v>12.63820194880036</v>
      </c>
      <c r="N1592" s="140">
        <v>0.99859966611480822</v>
      </c>
      <c r="Z1592" s="140">
        <v>0.23495972400429019</v>
      </c>
      <c r="AL1592" s="140">
        <v>871.67406973320726</v>
      </c>
      <c r="AM1592" s="140">
        <v>0.15452900834849437</v>
      </c>
      <c r="AN1592" s="140">
        <v>0.26454583275618115</v>
      </c>
      <c r="AO1592" s="140">
        <v>383.340772380288</v>
      </c>
      <c r="AP1592" s="140">
        <v>372.37423667580373</v>
      </c>
      <c r="AQ1592" t="s">
        <v>385</v>
      </c>
      <c r="AR1592">
        <f t="shared" si="93"/>
        <v>14.644015877877388</v>
      </c>
      <c r="AS1592">
        <f t="shared" si="94"/>
        <v>3.9965468373646496</v>
      </c>
      <c r="AT1592">
        <v>0.3</v>
      </c>
      <c r="AU1592">
        <v>0</v>
      </c>
      <c r="AV1592">
        <v>0.4</v>
      </c>
      <c r="AW1592" s="140">
        <v>0.1</v>
      </c>
      <c r="AX1592" s="140">
        <v>0.52037277105083946</v>
      </c>
      <c r="AY1592">
        <v>0.27</v>
      </c>
      <c r="AZ1592" s="209">
        <v>372.37423667580373</v>
      </c>
      <c r="BA1592" s="140">
        <v>0.52037277105083946</v>
      </c>
      <c r="BB1592" s="253">
        <v>9.9401543673936086</v>
      </c>
      <c r="BC1592" s="245">
        <v>36.032844293915147</v>
      </c>
      <c r="BD1592" s="210">
        <v>13441.288706017853</v>
      </c>
      <c r="BE1592" s="245">
        <v>11.444371068116826</v>
      </c>
      <c r="BF1592" s="140">
        <v>620483.12267709291</v>
      </c>
      <c r="BG1592" t="s">
        <v>389</v>
      </c>
      <c r="BH1592" s="140">
        <v>1.9062861823029802E-6</v>
      </c>
      <c r="BI1592" s="140">
        <v>1334412.8870601784</v>
      </c>
      <c r="BJ1592">
        <f t="shared" si="92"/>
        <v>0.46498585909498247</v>
      </c>
    </row>
    <row r="1593" spans="1:62" x14ac:dyDescent="0.3">
      <c r="A1593">
        <v>-0.1</v>
      </c>
      <c r="B1593" s="146">
        <v>1000</v>
      </c>
      <c r="C1593" s="146">
        <v>25</v>
      </c>
      <c r="D1593" s="146">
        <v>400</v>
      </c>
      <c r="E1593" s="252">
        <v>18.763754372778823</v>
      </c>
      <c r="F1593" s="146">
        <v>2.9682915149261238</v>
      </c>
      <c r="G1593" s="146">
        <v>20.881923811205397</v>
      </c>
      <c r="H1593" s="146">
        <v>18.220782650278128</v>
      </c>
      <c r="I1593" s="146"/>
      <c r="J1593" s="146">
        <v>0.62854119406984743</v>
      </c>
      <c r="K1593" s="146">
        <v>0.27</v>
      </c>
      <c r="L1593" s="146">
        <v>123.54372558462956</v>
      </c>
      <c r="M1593" s="146">
        <v>53.826104507826152</v>
      </c>
      <c r="N1593" s="146">
        <v>2.8407701775696275</v>
      </c>
      <c r="O1593" s="146"/>
      <c r="P1593" s="146"/>
      <c r="Q1593" s="146"/>
      <c r="R1593" s="146"/>
      <c r="S1593" s="146"/>
      <c r="T1593" s="146"/>
      <c r="U1593" s="146"/>
      <c r="V1593" s="146"/>
      <c r="W1593" s="146"/>
      <c r="X1593" s="146"/>
      <c r="Y1593" s="146"/>
      <c r="Z1593" s="146">
        <v>0.15590824127010072</v>
      </c>
      <c r="AA1593" s="146"/>
      <c r="AB1593" s="146"/>
      <c r="AC1593" s="146"/>
      <c r="AD1593" s="146"/>
      <c r="AE1593" s="146"/>
      <c r="AF1593" s="146"/>
      <c r="AG1593" s="146"/>
      <c r="AH1593" s="146"/>
      <c r="AI1593" s="146"/>
      <c r="AJ1593" s="146"/>
      <c r="AK1593" s="146"/>
      <c r="AL1593" s="146">
        <v>1702.1516021321459</v>
      </c>
      <c r="AM1593" s="146">
        <v>0.14214645842799772</v>
      </c>
      <c r="AN1593" s="146">
        <v>0.26227397999884555</v>
      </c>
      <c r="AO1593" s="146">
        <v>328.45743076434263</v>
      </c>
      <c r="AP1593" s="146">
        <v>281.76651334733128</v>
      </c>
      <c r="AQ1593" t="s">
        <v>385</v>
      </c>
      <c r="AR1593">
        <f t="shared" si="93"/>
        <v>14.644015877877388</v>
      </c>
      <c r="AS1593">
        <f t="shared" si="94"/>
        <v>3.9965468373646496</v>
      </c>
      <c r="AT1593">
        <v>0.3</v>
      </c>
      <c r="AU1593">
        <v>0</v>
      </c>
      <c r="AV1593">
        <v>0.4</v>
      </c>
      <c r="AW1593" s="146">
        <v>3</v>
      </c>
      <c r="AX1593" s="146">
        <v>0.54175938318570016</v>
      </c>
      <c r="AY1593">
        <v>0.27</v>
      </c>
      <c r="AZ1593" s="209">
        <v>281.76651334733128</v>
      </c>
      <c r="BA1593">
        <v>0.54175938318570016</v>
      </c>
      <c r="BB1593" s="249">
        <v>38.816020726983986</v>
      </c>
      <c r="BC1593" s="243">
        <v>206.87566705157184</v>
      </c>
      <c r="BD1593" s="209">
        <v>96718.735302733854</v>
      </c>
      <c r="BE1593" s="243">
        <v>46.733805333832457</v>
      </c>
      <c r="BF1593">
        <v>328258.51326176582</v>
      </c>
      <c r="BG1593" t="s">
        <v>390</v>
      </c>
      <c r="BH1593">
        <v>7.2578123765374096E-6</v>
      </c>
      <c r="BI1593">
        <v>2167187.3530273386</v>
      </c>
      <c r="BJ1593">
        <f t="shared" si="92"/>
        <v>0.15146752900861216</v>
      </c>
    </row>
    <row r="1594" spans="1:62" s="140" customFormat="1" x14ac:dyDescent="0.3">
      <c r="A1594">
        <v>-0.2</v>
      </c>
      <c r="B1594" s="146">
        <v>1000</v>
      </c>
      <c r="C1594" s="146">
        <v>25</v>
      </c>
      <c r="D1594" s="146">
        <v>400</v>
      </c>
      <c r="E1594" s="252">
        <v>18.703331933892642</v>
      </c>
      <c r="F1594" s="146">
        <v>3.0131140040525146</v>
      </c>
      <c r="G1594" s="146">
        <v>20.845013005499219</v>
      </c>
      <c r="H1594" s="146">
        <v>18.244639775297884</v>
      </c>
      <c r="I1594" s="146"/>
      <c r="J1594" s="146">
        <v>0.63383546932994261</v>
      </c>
      <c r="K1594" s="146">
        <v>0.27</v>
      </c>
      <c r="L1594" s="146">
        <v>123.72189133569898</v>
      </c>
      <c r="M1594" s="146">
        <v>53.903728590242295</v>
      </c>
      <c r="N1594" s="146">
        <v>2.7885060033270292</v>
      </c>
      <c r="O1594" s="146"/>
      <c r="P1594" s="146"/>
      <c r="Q1594" s="146"/>
      <c r="R1594" s="146"/>
      <c r="S1594" s="146"/>
      <c r="T1594" s="146"/>
      <c r="U1594" s="146"/>
      <c r="V1594" s="146"/>
      <c r="W1594" s="146"/>
      <c r="X1594" s="146"/>
      <c r="Y1594" s="146"/>
      <c r="Z1594" s="146">
        <v>0.15283974020152999</v>
      </c>
      <c r="AA1594" s="146"/>
      <c r="AB1594" s="146"/>
      <c r="AC1594" s="146"/>
      <c r="AD1594" s="146"/>
      <c r="AE1594" s="146"/>
      <c r="AF1594" s="146"/>
      <c r="AG1594" s="146"/>
      <c r="AH1594" s="146"/>
      <c r="AI1594" s="146"/>
      <c r="AJ1594" s="146"/>
      <c r="AK1594" s="146"/>
      <c r="AL1594" s="146">
        <v>1667.488882679776</v>
      </c>
      <c r="AM1594" s="146">
        <v>0.14454843483463461</v>
      </c>
      <c r="AN1594" s="146">
        <v>0.23314016112464145</v>
      </c>
      <c r="AO1594" s="146">
        <v>319.77644759414289</v>
      </c>
      <c r="AP1594" s="146">
        <v>273.23588101626189</v>
      </c>
      <c r="AQ1594" t="s">
        <v>385</v>
      </c>
      <c r="AR1594">
        <f t="shared" si="93"/>
        <v>14.644015877877388</v>
      </c>
      <c r="AS1594">
        <f t="shared" si="94"/>
        <v>3.9965468373646496</v>
      </c>
      <c r="AT1594">
        <v>0.3</v>
      </c>
      <c r="AU1594">
        <v>0</v>
      </c>
      <c r="AV1594">
        <v>0.4</v>
      </c>
      <c r="AW1594" s="146">
        <v>3</v>
      </c>
      <c r="AX1594" s="146">
        <v>0.54573177946292095</v>
      </c>
      <c r="AY1594">
        <v>0.27</v>
      </c>
      <c r="AZ1594" s="209">
        <v>273.23588101626189</v>
      </c>
      <c r="BA1594" s="140">
        <v>0.54573177946292095</v>
      </c>
      <c r="BB1594" s="253">
        <v>39.003690631977172</v>
      </c>
      <c r="BC1594" s="245">
        <v>207.35646136805735</v>
      </c>
      <c r="BD1594" s="210">
        <v>96918.279569797654</v>
      </c>
      <c r="BE1594" s="245">
        <v>46.693166464070551</v>
      </c>
      <c r="BF1594" s="140">
        <v>327448.3781569791</v>
      </c>
      <c r="BG1594" t="s">
        <v>390</v>
      </c>
      <c r="BH1594" s="140">
        <v>7.2302215261173473E-6</v>
      </c>
      <c r="BI1594" s="140">
        <v>2169182.7956979768</v>
      </c>
      <c r="BJ1594">
        <f t="shared" si="92"/>
        <v>0.150954718434237</v>
      </c>
    </row>
    <row r="1595" spans="1:62" x14ac:dyDescent="0.3">
      <c r="A1595">
        <v>-0.3</v>
      </c>
      <c r="B1595" s="146">
        <v>1000</v>
      </c>
      <c r="C1595" s="146">
        <v>25</v>
      </c>
      <c r="D1595" s="146">
        <v>400</v>
      </c>
      <c r="E1595" s="252">
        <v>18.643209244992079</v>
      </c>
      <c r="F1595" s="146">
        <v>3.0832155649978024</v>
      </c>
      <c r="G1595" s="146">
        <v>20.821999479689396</v>
      </c>
      <c r="H1595" s="146">
        <v>18.262944039030298</v>
      </c>
      <c r="I1595" s="146"/>
      <c r="J1595" s="146">
        <v>0.63662430548363291</v>
      </c>
      <c r="K1595" s="146">
        <v>0.27</v>
      </c>
      <c r="L1595" s="146">
        <v>123.8709689561359</v>
      </c>
      <c r="M1595" s="146">
        <v>53.968679420723106</v>
      </c>
      <c r="N1595" s="146">
        <v>2.7360178818627823</v>
      </c>
      <c r="O1595" s="146"/>
      <c r="P1595" s="146"/>
      <c r="Q1595" s="146"/>
      <c r="R1595" s="146"/>
      <c r="S1595" s="146"/>
      <c r="T1595" s="146"/>
      <c r="U1595" s="146"/>
      <c r="V1595" s="146"/>
      <c r="W1595" s="146"/>
      <c r="X1595" s="146"/>
      <c r="Y1595" s="146"/>
      <c r="Z1595" s="146">
        <v>0.14981253164963734</v>
      </c>
      <c r="AA1595" s="146"/>
      <c r="AB1595" s="146"/>
      <c r="AC1595" s="146"/>
      <c r="AD1595" s="146"/>
      <c r="AE1595" s="146"/>
      <c r="AF1595" s="146"/>
      <c r="AG1595" s="146"/>
      <c r="AH1595" s="146"/>
      <c r="AI1595" s="146"/>
      <c r="AJ1595" s="146"/>
      <c r="AK1595" s="146"/>
      <c r="AL1595" s="146">
        <v>1629.9204864616477</v>
      </c>
      <c r="AM1595" s="146">
        <v>0.14807490356559144</v>
      </c>
      <c r="AN1595" s="146">
        <v>0.20331231537478633</v>
      </c>
      <c r="AO1595" s="146">
        <v>308.30260719511682</v>
      </c>
      <c r="AP1595" s="146">
        <v>261.9115455302553</v>
      </c>
      <c r="AQ1595" t="s">
        <v>385</v>
      </c>
      <c r="AR1595">
        <f t="shared" si="93"/>
        <v>14.644015877877388</v>
      </c>
      <c r="AS1595">
        <f t="shared" si="94"/>
        <v>3.9965468373646496</v>
      </c>
      <c r="AT1595">
        <v>0.3</v>
      </c>
      <c r="AU1595">
        <v>0</v>
      </c>
      <c r="AV1595">
        <v>0.4</v>
      </c>
      <c r="AW1595" s="146">
        <v>3</v>
      </c>
      <c r="AX1595" s="146">
        <v>0.54692883545524351</v>
      </c>
      <c r="AY1595">
        <v>0.27</v>
      </c>
      <c r="AZ1595" s="209">
        <v>261.9115455302553</v>
      </c>
      <c r="BA1595">
        <v>0.54692883545524351</v>
      </c>
      <c r="BB1595" s="249">
        <v>39.37366148139332</v>
      </c>
      <c r="BC1595" s="243">
        <v>207.7595911435377</v>
      </c>
      <c r="BD1595" s="209">
        <v>97373.09818527897</v>
      </c>
      <c r="BE1595" s="243">
        <v>47.113389735829294</v>
      </c>
      <c r="BF1595">
        <v>327216.85370352771</v>
      </c>
      <c r="BG1595" t="s">
        <v>390</v>
      </c>
      <c r="BH1595">
        <v>7.1934001276296214E-6</v>
      </c>
      <c r="BI1595">
        <v>2173730.9818527894</v>
      </c>
      <c r="BJ1595">
        <f t="shared" si="92"/>
        <v>0.15053235954001215</v>
      </c>
    </row>
    <row r="1596" spans="1:62" x14ac:dyDescent="0.3">
      <c r="A1596">
        <v>-0.4</v>
      </c>
      <c r="B1596" s="146">
        <v>1000</v>
      </c>
      <c r="C1596" s="146">
        <v>25</v>
      </c>
      <c r="D1596" s="146">
        <v>400</v>
      </c>
      <c r="E1596" s="252">
        <v>18.54804395168026</v>
      </c>
      <c r="F1596" s="146">
        <v>3.1776546837712845</v>
      </c>
      <c r="G1596" s="146">
        <v>20.776373459934526</v>
      </c>
      <c r="H1596" s="146">
        <v>18.279164372422514</v>
      </c>
      <c r="I1596" s="146"/>
      <c r="J1596" s="146">
        <v>0.64019560372904483</v>
      </c>
      <c r="K1596" s="146">
        <v>0.27</v>
      </c>
      <c r="L1596" s="146">
        <v>124.01860127787228</v>
      </c>
      <c r="M1596" s="146">
        <v>54.033000556749329</v>
      </c>
      <c r="N1596" s="146">
        <v>2.6687566059009917</v>
      </c>
      <c r="O1596" s="146"/>
      <c r="P1596" s="146"/>
      <c r="Q1596" s="146"/>
      <c r="R1596" s="146"/>
      <c r="S1596" s="146"/>
      <c r="T1596" s="146"/>
      <c r="U1596" s="146"/>
      <c r="V1596" s="146"/>
      <c r="W1596" s="146"/>
      <c r="X1596" s="146"/>
      <c r="Y1596" s="146"/>
      <c r="Z1596" s="146">
        <v>0.14599992382186258</v>
      </c>
      <c r="AA1596" s="146"/>
      <c r="AB1596" s="146"/>
      <c r="AC1596" s="146"/>
      <c r="AD1596" s="146"/>
      <c r="AE1596" s="146"/>
      <c r="AF1596" s="146"/>
      <c r="AG1596" s="146"/>
      <c r="AH1596" s="146"/>
      <c r="AI1596" s="146"/>
      <c r="AJ1596" s="146"/>
      <c r="AK1596" s="146"/>
      <c r="AL1596" s="146">
        <v>1581.350113393858</v>
      </c>
      <c r="AM1596" s="146">
        <v>0.15294558936857397</v>
      </c>
      <c r="AN1596" s="146">
        <v>0.17355049824986318</v>
      </c>
      <c r="AO1596" s="146">
        <v>293.12595389397057</v>
      </c>
      <c r="AP1596" s="146">
        <v>246.97181044336173</v>
      </c>
      <c r="AQ1596" t="s">
        <v>385</v>
      </c>
      <c r="AR1596">
        <f t="shared" si="93"/>
        <v>14.644015877877388</v>
      </c>
      <c r="AS1596">
        <f t="shared" si="94"/>
        <v>3.9965468373646496</v>
      </c>
      <c r="AT1596">
        <v>0.3</v>
      </c>
      <c r="AU1596">
        <v>0</v>
      </c>
      <c r="AV1596">
        <v>0.4</v>
      </c>
      <c r="AW1596" s="146">
        <v>3</v>
      </c>
      <c r="AX1596" s="146">
        <v>0.54838474987197394</v>
      </c>
      <c r="AY1596">
        <v>0.27</v>
      </c>
      <c r="AZ1596" s="209">
        <v>246.97181044336173</v>
      </c>
      <c r="BA1596">
        <v>0.54838474987197394</v>
      </c>
      <c r="BB1596" s="249">
        <v>39.858521804959011</v>
      </c>
      <c r="BC1596" s="243">
        <v>208.1595627620633</v>
      </c>
      <c r="BD1596" s="209">
        <v>97919.066904007719</v>
      </c>
      <c r="BE1596" s="243">
        <v>47.641303785385851</v>
      </c>
      <c r="BF1596">
        <v>326440.95837566763</v>
      </c>
      <c r="BG1596" t="s">
        <v>390</v>
      </c>
      <c r="BH1596">
        <v>7.14174354940776E-6</v>
      </c>
      <c r="BI1596">
        <v>2179190.6690400774</v>
      </c>
      <c r="BJ1596">
        <f t="shared" si="92"/>
        <v>0.14979917224015246</v>
      </c>
    </row>
    <row r="1597" spans="1:62" x14ac:dyDescent="0.3">
      <c r="A1597">
        <v>-0.5</v>
      </c>
      <c r="B1597" s="146">
        <v>1000</v>
      </c>
      <c r="C1597" s="146">
        <v>25</v>
      </c>
      <c r="D1597" s="146">
        <v>400</v>
      </c>
      <c r="E1597" s="252">
        <v>18.421180472817362</v>
      </c>
      <c r="F1597" s="146">
        <v>3.3283980760486296</v>
      </c>
      <c r="G1597" s="146">
        <v>20.729306672648036</v>
      </c>
      <c r="H1597" s="146">
        <v>18.319704359213059</v>
      </c>
      <c r="I1597" s="146"/>
      <c r="J1597" s="146">
        <v>0.64687051609585622</v>
      </c>
      <c r="K1597" s="146">
        <v>0.27</v>
      </c>
      <c r="L1597" s="146">
        <v>124.35454428209404</v>
      </c>
      <c r="M1597" s="146">
        <v>54.179365766057572</v>
      </c>
      <c r="N1597" s="146">
        <v>2.5626725340360466</v>
      </c>
      <c r="O1597" s="146"/>
      <c r="P1597" s="146"/>
      <c r="Q1597" s="146"/>
      <c r="R1597" s="146"/>
      <c r="S1597" s="146"/>
      <c r="T1597" s="146"/>
      <c r="U1597" s="146"/>
      <c r="V1597" s="146"/>
      <c r="W1597" s="146"/>
      <c r="X1597" s="146"/>
      <c r="Y1597" s="146"/>
      <c r="Z1597" s="146">
        <v>0.13988612937125633</v>
      </c>
      <c r="AA1597" s="146"/>
      <c r="AB1597" s="146"/>
      <c r="AC1597" s="146"/>
      <c r="AD1597" s="146"/>
      <c r="AE1597" s="146"/>
      <c r="AF1597" s="146"/>
      <c r="AG1597" s="146"/>
      <c r="AH1597" s="146"/>
      <c r="AI1597" s="146"/>
      <c r="AJ1597" s="146"/>
      <c r="AK1597" s="146"/>
      <c r="AL1597" s="146">
        <v>1507.2110298073667</v>
      </c>
      <c r="AM1597" s="146">
        <v>0.16056485287278777</v>
      </c>
      <c r="AN1597" s="146">
        <v>0.14359376079787695</v>
      </c>
      <c r="AO1597" s="146">
        <v>271.71322507008449</v>
      </c>
      <c r="AP1597" s="146">
        <v>225.87476278934454</v>
      </c>
      <c r="AQ1597" t="s">
        <v>385</v>
      </c>
      <c r="AR1597">
        <f t="shared" si="93"/>
        <v>14.644015877877388</v>
      </c>
      <c r="AS1597">
        <f t="shared" si="94"/>
        <v>3.9965468373646496</v>
      </c>
      <c r="AT1597">
        <v>0.3</v>
      </c>
      <c r="AU1597">
        <v>0</v>
      </c>
      <c r="AV1597">
        <v>0.4</v>
      </c>
      <c r="AW1597" s="146">
        <v>3</v>
      </c>
      <c r="AX1597" s="146">
        <v>0.55171305916194124</v>
      </c>
      <c r="AY1597">
        <v>0.27</v>
      </c>
      <c r="AZ1597" s="209">
        <v>225.87476278934454</v>
      </c>
      <c r="BA1597">
        <v>0.55171305916194124</v>
      </c>
      <c r="BB1597" s="249">
        <v>40.641942955754047</v>
      </c>
      <c r="BC1597" s="243">
        <v>209.07251072854854</v>
      </c>
      <c r="BD1597" s="209">
        <v>98899.297809485113</v>
      </c>
      <c r="BE1597" s="243">
        <v>48.498353993994961</v>
      </c>
      <c r="BF1597">
        <v>325933.17664294777</v>
      </c>
      <c r="BG1597" t="s">
        <v>390</v>
      </c>
      <c r="BH1597">
        <v>7.0642603399311396E-6</v>
      </c>
      <c r="BI1597">
        <v>2188992.9780948511</v>
      </c>
      <c r="BJ1597">
        <f t="shared" si="92"/>
        <v>0.1488964011783252</v>
      </c>
    </row>
    <row r="1598" spans="1:62" x14ac:dyDescent="0.3">
      <c r="A1598">
        <v>-0.6</v>
      </c>
      <c r="B1598" s="146">
        <v>1000</v>
      </c>
      <c r="C1598" s="146">
        <v>25</v>
      </c>
      <c r="D1598" s="146">
        <v>400</v>
      </c>
      <c r="E1598" s="252">
        <v>18.173376731785215</v>
      </c>
      <c r="F1598" s="146">
        <v>3.5830979146050561</v>
      </c>
      <c r="G1598" s="146">
        <v>20.614307757651723</v>
      </c>
      <c r="H1598" s="146">
        <v>18.351077442283003</v>
      </c>
      <c r="I1598" s="146"/>
      <c r="J1598" s="146">
        <v>0.66136260758613119</v>
      </c>
      <c r="K1598" s="146">
        <v>0.27</v>
      </c>
      <c r="L1598" s="146">
        <v>124.68916392098301</v>
      </c>
      <c r="M1598" s="146">
        <v>54.325154405407538</v>
      </c>
      <c r="N1598" s="146">
        <v>2.3751796504497129</v>
      </c>
      <c r="O1598" s="146"/>
      <c r="P1598" s="146"/>
      <c r="Q1598" s="146"/>
      <c r="R1598" s="146"/>
      <c r="S1598" s="146"/>
      <c r="T1598" s="146"/>
      <c r="U1598" s="146"/>
      <c r="V1598" s="146"/>
      <c r="W1598" s="146"/>
      <c r="X1598" s="146"/>
      <c r="Y1598" s="146"/>
      <c r="Z1598" s="146">
        <v>0.12942998349388601</v>
      </c>
      <c r="AA1598" s="146"/>
      <c r="AB1598" s="146"/>
      <c r="AC1598" s="146"/>
      <c r="AD1598" s="146"/>
      <c r="AE1598" s="146"/>
      <c r="AF1598" s="146"/>
      <c r="AG1598" s="146"/>
      <c r="AH1598" s="146"/>
      <c r="AI1598" s="146"/>
      <c r="AJ1598" s="146"/>
      <c r="AK1598" s="146"/>
      <c r="AL1598" s="146">
        <v>1382.0647694126255</v>
      </c>
      <c r="AM1598" s="146">
        <v>0.17381606778792091</v>
      </c>
      <c r="AN1598" s="146">
        <v>0.11336876796011114</v>
      </c>
      <c r="AO1598" s="146">
        <v>239.69679605074717</v>
      </c>
      <c r="AP1598" s="146">
        <v>194.47494418776839</v>
      </c>
      <c r="AQ1598" t="s">
        <v>385</v>
      </c>
      <c r="AR1598">
        <f t="shared" si="93"/>
        <v>14.644015877877388</v>
      </c>
      <c r="AS1598">
        <f t="shared" si="94"/>
        <v>3.9965468373646496</v>
      </c>
      <c r="AT1598">
        <v>0.3</v>
      </c>
      <c r="AU1598">
        <v>0</v>
      </c>
      <c r="AV1598">
        <v>0.4</v>
      </c>
      <c r="AW1598" s="146">
        <v>3</v>
      </c>
      <c r="AX1598" s="146">
        <v>0.56041127197574803</v>
      </c>
      <c r="AY1598">
        <v>0.27</v>
      </c>
      <c r="AZ1598" s="209">
        <v>194.47494418776839</v>
      </c>
      <c r="BA1598">
        <v>0.56041127197574803</v>
      </c>
      <c r="BB1598" s="249">
        <v>41.885678371616926</v>
      </c>
      <c r="BC1598" s="243">
        <v>209.98575318384883</v>
      </c>
      <c r="BD1598" s="209">
        <v>100196.52950827357</v>
      </c>
      <c r="BE1598" s="243">
        <v>49.767074241743806</v>
      </c>
      <c r="BF1598">
        <v>323486.26338744926</v>
      </c>
      <c r="BG1598" t="s">
        <v>390</v>
      </c>
      <c r="BH1598">
        <v>6.9363144603157547E-6</v>
      </c>
      <c r="BI1598">
        <v>2201965.2950827358</v>
      </c>
      <c r="BJ1598">
        <f t="shared" si="92"/>
        <v>0.14690797539354258</v>
      </c>
    </row>
    <row r="1599" spans="1:62" x14ac:dyDescent="0.3">
      <c r="A1599">
        <v>-0.7</v>
      </c>
      <c r="B1599" s="146">
        <v>1000</v>
      </c>
      <c r="C1599" s="146">
        <v>25</v>
      </c>
      <c r="D1599" s="146">
        <v>400</v>
      </c>
      <c r="E1599" s="252">
        <v>17.713533850908394</v>
      </c>
      <c r="F1599" s="146">
        <v>4.1924920444489597</v>
      </c>
      <c r="G1599" s="146">
        <v>20.474144690417994</v>
      </c>
      <c r="H1599" s="146">
        <v>18.479047626978971</v>
      </c>
      <c r="I1599" s="146"/>
      <c r="J1599" s="146">
        <v>0.712248539730444</v>
      </c>
      <c r="K1599" s="146">
        <v>0.27</v>
      </c>
      <c r="L1599" s="146">
        <v>125.91863658016118</v>
      </c>
      <c r="M1599" s="146">
        <v>54.860816767290132</v>
      </c>
      <c r="N1599" s="146">
        <v>1.9541370645184095</v>
      </c>
      <c r="O1599" s="146"/>
      <c r="P1599" s="146"/>
      <c r="Q1599" s="146"/>
      <c r="R1599" s="146"/>
      <c r="S1599" s="146"/>
      <c r="T1599" s="146"/>
      <c r="U1599" s="146"/>
      <c r="V1599" s="146"/>
      <c r="W1599" s="146"/>
      <c r="X1599" s="146"/>
      <c r="Y1599" s="146"/>
      <c r="Z1599" s="146">
        <v>0.10574879744697534</v>
      </c>
      <c r="AA1599" s="146"/>
      <c r="AB1599" s="146"/>
      <c r="AC1599" s="146"/>
      <c r="AD1599" s="146"/>
      <c r="AE1599" s="146"/>
      <c r="AF1599" s="146"/>
      <c r="AG1599" s="146"/>
      <c r="AH1599" s="146"/>
      <c r="AI1599" s="146"/>
      <c r="AJ1599" s="146"/>
      <c r="AK1599" s="146"/>
      <c r="AL1599" s="146">
        <v>1116.3209497300159</v>
      </c>
      <c r="AM1599" s="146">
        <v>0.20477007014662096</v>
      </c>
      <c r="AN1599" s="146">
        <v>8.175352131359695E-2</v>
      </c>
      <c r="AO1599" s="146">
        <v>183.33001971913419</v>
      </c>
      <c r="AP1599" s="146">
        <v>139.25241747080958</v>
      </c>
      <c r="AQ1599" t="s">
        <v>385</v>
      </c>
      <c r="AR1599">
        <f t="shared" si="93"/>
        <v>14.644015877877388</v>
      </c>
      <c r="AS1599">
        <f t="shared" si="94"/>
        <v>3.9965468373646496</v>
      </c>
      <c r="AT1599">
        <v>0.3</v>
      </c>
      <c r="AU1599">
        <v>0</v>
      </c>
      <c r="AV1599">
        <v>0.4</v>
      </c>
      <c r="AW1599" s="146">
        <v>3</v>
      </c>
      <c r="AX1599" s="146">
        <v>0.59992880147992789</v>
      </c>
      <c r="AY1599">
        <v>0.27</v>
      </c>
      <c r="AZ1599" s="209">
        <v>139.25241747080958</v>
      </c>
      <c r="BA1599">
        <v>0.59992880147992789</v>
      </c>
      <c r="BB1599" s="249">
        <v>44.717032521781441</v>
      </c>
      <c r="BC1599" s="243">
        <v>213.37512185000213</v>
      </c>
      <c r="BD1599" s="209">
        <v>103432.07444592648</v>
      </c>
      <c r="BE1599" s="243">
        <v>52.370805064046003</v>
      </c>
      <c r="BF1599">
        <v>320352.70686052617</v>
      </c>
      <c r="BG1599" t="s">
        <v>390</v>
      </c>
      <c r="BH1599">
        <v>6.6752567620594523E-6</v>
      </c>
      <c r="BI1599">
        <v>2234320.7444592649</v>
      </c>
      <c r="BJ1599">
        <f t="shared" si="92"/>
        <v>0.14337811957166238</v>
      </c>
    </row>
    <row r="1600" spans="1:62" x14ac:dyDescent="0.3">
      <c r="A1600">
        <v>-0.8</v>
      </c>
      <c r="B1600" s="146">
        <v>1000</v>
      </c>
      <c r="C1600" s="146">
        <v>25</v>
      </c>
      <c r="D1600" s="146">
        <v>400</v>
      </c>
      <c r="E1600" s="252">
        <v>17.229127614889467</v>
      </c>
      <c r="F1600" s="146">
        <v>5.6724527675742271</v>
      </c>
      <c r="G1600" s="146">
        <v>20.788844471319877</v>
      </c>
      <c r="H1600" s="146">
        <v>18.831279325641034</v>
      </c>
      <c r="I1600" s="146"/>
      <c r="J1600" s="146">
        <v>0.99999999931673478</v>
      </c>
      <c r="K1600" s="146">
        <v>0.27</v>
      </c>
      <c r="L1600" s="146">
        <v>133.03190612533163</v>
      </c>
      <c r="M1600" s="146">
        <v>57.95995910024822</v>
      </c>
      <c r="N1600" s="146">
        <v>1.1680574269085575</v>
      </c>
      <c r="O1600" s="146"/>
      <c r="P1600" s="146"/>
      <c r="Q1600" s="146"/>
      <c r="R1600" s="146"/>
      <c r="S1600" s="146"/>
      <c r="T1600" s="146"/>
      <c r="U1600" s="146"/>
      <c r="V1600" s="146"/>
      <c r="W1600" s="146"/>
      <c r="X1600" s="146"/>
      <c r="Y1600" s="146"/>
      <c r="Z1600" s="146">
        <v>6.202751319811331E-2</v>
      </c>
      <c r="AA1600" s="146"/>
      <c r="AB1600" s="146"/>
      <c r="AC1600" s="146"/>
      <c r="AD1600" s="146"/>
      <c r="AE1600" s="146"/>
      <c r="AF1600" s="146"/>
      <c r="AG1600" s="146"/>
      <c r="AH1600" s="146"/>
      <c r="AI1600" s="146"/>
      <c r="AJ1600" s="146"/>
      <c r="AK1600" s="146"/>
      <c r="AL1600" s="146">
        <v>623.887630008614</v>
      </c>
      <c r="AM1600" s="146">
        <v>0.27286041681633133</v>
      </c>
      <c r="AN1600" s="146">
        <v>5.4304501840189298E-2</v>
      </c>
      <c r="AO1600" s="146">
        <v>82.731135890125131</v>
      </c>
      <c r="AP1600" s="146">
        <v>39.858916554336311</v>
      </c>
      <c r="AQ1600" t="s">
        <v>385</v>
      </c>
      <c r="AR1600">
        <f t="shared" si="93"/>
        <v>14.644015877877388</v>
      </c>
      <c r="AS1600">
        <f t="shared" si="94"/>
        <v>3.9965468373646496</v>
      </c>
      <c r="AT1600">
        <v>0.3</v>
      </c>
      <c r="AU1600">
        <v>0</v>
      </c>
      <c r="AV1600">
        <v>0.4</v>
      </c>
      <c r="AW1600" s="146">
        <v>3</v>
      </c>
      <c r="AX1600" s="146">
        <v>0.99999999900000003</v>
      </c>
      <c r="AY1600">
        <v>0.27</v>
      </c>
      <c r="AZ1600" s="209">
        <v>39.858916554336311</v>
      </c>
      <c r="BA1600">
        <v>0.99999999900000003</v>
      </c>
      <c r="BB1600" s="249">
        <v>49.436885795998307</v>
      </c>
      <c r="BC1600" s="243">
        <v>234.1151502848665</v>
      </c>
      <c r="BD1600" s="209">
        <v>114142.0323458847</v>
      </c>
      <c r="BE1600" s="243">
        <v>55.281038772450884</v>
      </c>
      <c r="BF1600">
        <v>336078.82242693566</v>
      </c>
      <c r="BG1600" t="s">
        <v>390</v>
      </c>
      <c r="BH1600">
        <v>6.1762077598879312E-6</v>
      </c>
      <c r="BI1600">
        <v>2341420.3234588467</v>
      </c>
      <c r="BJ1600">
        <f t="shared" si="92"/>
        <v>0.14353630531850239</v>
      </c>
    </row>
    <row r="1601" spans="1:62" s="280" customFormat="1" x14ac:dyDescent="0.3">
      <c r="A1601" s="280">
        <v>-0.85</v>
      </c>
      <c r="B1601" s="227">
        <v>1000</v>
      </c>
      <c r="C1601" s="227">
        <v>25</v>
      </c>
      <c r="D1601" s="227">
        <v>400</v>
      </c>
      <c r="E1601" s="281">
        <v>11.662676087884947</v>
      </c>
      <c r="F1601" s="227">
        <v>3.9644435282534554</v>
      </c>
      <c r="G1601" s="227">
        <v>14.068072203137646</v>
      </c>
      <c r="H1601" s="227">
        <v>12.80410513350709</v>
      </c>
      <c r="I1601" s="227"/>
      <c r="J1601" s="227">
        <v>0.99999999938059492</v>
      </c>
      <c r="K1601" s="227">
        <v>0.27</v>
      </c>
      <c r="L1601" s="227">
        <v>89.359487029660855</v>
      </c>
      <c r="M1601" s="227">
        <v>38.932556589686264</v>
      </c>
      <c r="N1601" s="227">
        <v>0.88752443566596106</v>
      </c>
      <c r="O1601" s="227"/>
      <c r="P1601" s="227"/>
      <c r="Q1601" s="227"/>
      <c r="R1601" s="227"/>
      <c r="S1601" s="227"/>
      <c r="T1601" s="227"/>
      <c r="U1601" s="227"/>
      <c r="V1601" s="227"/>
      <c r="W1601" s="227"/>
      <c r="X1601" s="227"/>
      <c r="Y1601" s="227"/>
      <c r="Z1601" s="227">
        <v>6.9315616078736847E-2</v>
      </c>
      <c r="AA1601" s="227"/>
      <c r="AB1601" s="227"/>
      <c r="AC1601" s="227"/>
      <c r="AD1601" s="227"/>
      <c r="AE1601" s="227"/>
      <c r="AF1601" s="227"/>
      <c r="AG1601" s="227"/>
      <c r="AH1601" s="227"/>
      <c r="AI1601" s="227"/>
      <c r="AJ1601" s="227"/>
      <c r="AK1601" s="227"/>
      <c r="AL1601" s="227">
        <v>511.27464500491232</v>
      </c>
      <c r="AM1601" s="227">
        <v>0.2818043205215604</v>
      </c>
      <c r="AN1601" s="227">
        <v>3.8431488768350938E-2</v>
      </c>
      <c r="AO1601" s="227">
        <v>96.533325623092139</v>
      </c>
      <c r="AP1601" s="227">
        <v>67.512427171932657</v>
      </c>
      <c r="AQ1601" s="280" t="s">
        <v>385</v>
      </c>
      <c r="AR1601" s="280">
        <f t="shared" si="93"/>
        <v>14.644015877877388</v>
      </c>
      <c r="AS1601" s="280">
        <f t="shared" si="94"/>
        <v>3.9965468373646496</v>
      </c>
      <c r="AT1601" s="280">
        <v>0.3</v>
      </c>
      <c r="AU1601" s="280">
        <v>0</v>
      </c>
      <c r="AV1601" s="280">
        <v>0.4</v>
      </c>
      <c r="AW1601" s="227">
        <v>3</v>
      </c>
      <c r="AX1601" s="227">
        <v>0.99999999900000003</v>
      </c>
      <c r="AY1601" s="280">
        <v>0.27</v>
      </c>
      <c r="AZ1601" s="282">
        <v>67.512427171932657</v>
      </c>
      <c r="BA1601" s="280">
        <v>0.99999999900000003</v>
      </c>
      <c r="BB1601" s="296">
        <v>35.627297076299044</v>
      </c>
      <c r="BC1601" s="297">
        <v>130.09183808895224</v>
      </c>
      <c r="BD1601" s="282">
        <v>60625.15709578721</v>
      </c>
      <c r="BE1601" s="297">
        <v>39.177902361436445</v>
      </c>
      <c r="BF1601" s="280">
        <v>671801.30324198725</v>
      </c>
      <c r="BG1601" s="280" t="s">
        <v>390</v>
      </c>
      <c r="BH1601" s="280">
        <v>4.3798735495921284E-6</v>
      </c>
      <c r="BI1601" s="280">
        <v>1806251.5709578721</v>
      </c>
      <c r="BJ1601">
        <f t="shared" si="92"/>
        <v>0.37193119388442925</v>
      </c>
    </row>
    <row r="1602" spans="1:62" s="261" customFormat="1" ht="15" thickBot="1" x14ac:dyDescent="0.35">
      <c r="A1602" s="256">
        <v>-0.87</v>
      </c>
      <c r="B1602" s="256">
        <v>1000</v>
      </c>
      <c r="C1602" s="256">
        <v>25</v>
      </c>
      <c r="D1602" s="256">
        <v>400</v>
      </c>
      <c r="E1602" s="260">
        <v>3.8912417111247759</v>
      </c>
      <c r="F1602" s="261">
        <v>0.81755098516220492</v>
      </c>
      <c r="G1602" s="261">
        <v>4.410480890214318</v>
      </c>
      <c r="H1602" s="261">
        <v>3.8960803243214692</v>
      </c>
      <c r="J1602" s="261">
        <v>0.6356349666796054</v>
      </c>
      <c r="K1602" s="261">
        <v>0.27</v>
      </c>
      <c r="L1602" s="261">
        <v>26.643645582430999</v>
      </c>
      <c r="M1602" s="261">
        <v>11.608227328445041</v>
      </c>
      <c r="N1602" s="261">
        <v>0.89067396331778914</v>
      </c>
      <c r="Z1602" s="261">
        <v>0.22860770034891581</v>
      </c>
      <c r="AL1602" s="261">
        <v>732.18744639902548</v>
      </c>
      <c r="AM1602" s="261">
        <v>0.18536549766628233</v>
      </c>
      <c r="AN1602" s="261">
        <v>3.7608672681998891E-2</v>
      </c>
      <c r="AO1602" s="261">
        <v>296.5333941980013</v>
      </c>
      <c r="AP1602" s="261">
        <v>286.85046474013137</v>
      </c>
      <c r="AQ1602" s="254" t="s">
        <v>385</v>
      </c>
      <c r="AR1602" s="254">
        <f t="shared" si="93"/>
        <v>14.644015877877388</v>
      </c>
      <c r="AS1602" s="254">
        <f t="shared" si="94"/>
        <v>3.9965468373646496</v>
      </c>
      <c r="AT1602" s="254">
        <v>0.3</v>
      </c>
      <c r="AU1602" s="254">
        <v>0</v>
      </c>
      <c r="AV1602" s="254">
        <v>0.4</v>
      </c>
      <c r="AW1602" s="256">
        <v>3</v>
      </c>
      <c r="AX1602" s="256">
        <v>0.52116484399363505</v>
      </c>
      <c r="AY1602" s="254">
        <v>0.27</v>
      </c>
      <c r="AZ1602" s="258">
        <v>286.85046474013137</v>
      </c>
      <c r="BA1602" s="261">
        <v>0.52116484399363505</v>
      </c>
      <c r="BB1602" s="260">
        <v>9.8539280307985706</v>
      </c>
      <c r="BC1602" s="262">
        <v>32.938647067806393</v>
      </c>
      <c r="BD1602" s="263">
        <v>12503.823351359888</v>
      </c>
      <c r="BE1602" s="262">
        <v>11.246827535569533</v>
      </c>
      <c r="BF1602" s="261">
        <v>876857.29880507325</v>
      </c>
      <c r="BG1602" s="254" t="s">
        <v>390</v>
      </c>
      <c r="BH1602" s="261">
        <v>1.3813836702245201E-6</v>
      </c>
      <c r="BI1602" s="261">
        <v>1325038.2335135988</v>
      </c>
      <c r="BJ1602">
        <f t="shared" si="92"/>
        <v>0.66175999803410512</v>
      </c>
    </row>
    <row r="1603" spans="1:62" x14ac:dyDescent="0.3">
      <c r="B1603" s="146"/>
      <c r="C1603" s="146"/>
      <c r="D1603" s="146"/>
    </row>
    <row r="1604" spans="1:62" x14ac:dyDescent="0.3">
      <c r="B1604" s="146"/>
      <c r="C1604" s="146"/>
      <c r="D1604" s="146"/>
      <c r="E1604" s="146"/>
      <c r="F1604" s="146"/>
      <c r="G1604" s="146"/>
      <c r="H1604" s="146"/>
      <c r="I1604" s="146"/>
      <c r="J1604" s="146"/>
      <c r="K1604" s="146"/>
      <c r="L1604" s="146"/>
      <c r="M1604" s="146"/>
      <c r="N1604" s="146"/>
      <c r="O1604" s="146"/>
      <c r="P1604" s="146"/>
      <c r="Q1604" s="146"/>
      <c r="R1604" s="146"/>
      <c r="S1604" s="146"/>
      <c r="T1604" s="146"/>
      <c r="U1604" s="146"/>
      <c r="V1604" s="146"/>
      <c r="W1604" s="146"/>
      <c r="X1604" s="146"/>
      <c r="Y1604" s="146"/>
      <c r="Z1604" s="146"/>
      <c r="AA1604" s="146"/>
      <c r="AB1604" s="146"/>
      <c r="AC1604" s="146"/>
      <c r="AD1604" s="146"/>
      <c r="AE1604" s="146"/>
      <c r="AF1604" s="146"/>
      <c r="AG1604" s="146"/>
      <c r="AH1604" s="146"/>
      <c r="AI1604" s="146"/>
      <c r="AJ1604" s="146"/>
    </row>
    <row r="1605" spans="1:62" x14ac:dyDescent="0.3">
      <c r="B1605" s="146"/>
      <c r="C1605" s="146"/>
      <c r="D1605" s="146"/>
      <c r="E1605" s="146"/>
      <c r="F1605" s="146"/>
      <c r="G1605" s="146"/>
      <c r="H1605" s="146"/>
      <c r="I1605" s="146"/>
      <c r="J1605" s="146"/>
      <c r="K1605" s="146"/>
      <c r="L1605" s="146"/>
      <c r="M1605" s="146"/>
      <c r="N1605" s="146"/>
      <c r="O1605" s="146"/>
      <c r="P1605" s="146"/>
      <c r="Q1605" s="146"/>
      <c r="R1605" s="146"/>
      <c r="S1605" s="146"/>
      <c r="T1605" s="146"/>
      <c r="U1605" s="146"/>
      <c r="V1605" s="146"/>
      <c r="W1605" s="146"/>
      <c r="X1605" s="146"/>
      <c r="Y1605" s="146"/>
      <c r="Z1605" s="146"/>
      <c r="AA1605" s="146"/>
      <c r="AB1605" s="146"/>
      <c r="AC1605" s="146"/>
      <c r="AD1605" s="146"/>
      <c r="AE1605" s="146"/>
      <c r="AF1605" s="146"/>
      <c r="AG1605" s="146"/>
      <c r="AH1605" s="146"/>
      <c r="AI1605" s="146"/>
      <c r="AJ1605" s="146"/>
    </row>
    <row r="1606" spans="1:62" x14ac:dyDescent="0.3">
      <c r="B1606" s="146"/>
      <c r="C1606" s="146"/>
      <c r="D1606" s="146"/>
      <c r="E1606" s="146"/>
      <c r="F1606" s="146"/>
      <c r="G1606" s="146"/>
      <c r="H1606" s="146"/>
      <c r="I1606" s="146"/>
      <c r="J1606" s="146"/>
      <c r="K1606" s="146"/>
      <c r="L1606" s="146"/>
      <c r="M1606" s="146"/>
      <c r="N1606" s="146"/>
      <c r="O1606" s="146"/>
      <c r="P1606" s="146"/>
      <c r="Q1606" s="146"/>
      <c r="R1606" s="146"/>
      <c r="S1606" s="146"/>
      <c r="T1606" s="146"/>
      <c r="U1606" s="146"/>
      <c r="V1606" s="146"/>
      <c r="W1606" s="146"/>
      <c r="X1606" s="146"/>
      <c r="Y1606" s="146"/>
      <c r="Z1606" s="146"/>
      <c r="AA1606" s="146"/>
      <c r="AB1606" s="146"/>
      <c r="AC1606" s="146"/>
      <c r="AD1606" s="146"/>
      <c r="AE1606" s="146"/>
      <c r="AF1606" s="146"/>
      <c r="AG1606" s="146"/>
      <c r="AH1606" s="146"/>
      <c r="AI1606" s="146"/>
      <c r="AJ1606" s="146"/>
    </row>
    <row r="1607" spans="1:62" x14ac:dyDescent="0.3">
      <c r="B1607" s="146"/>
      <c r="C1607" s="146"/>
      <c r="D1607" s="146"/>
      <c r="E1607" s="146"/>
      <c r="F1607" s="146"/>
      <c r="G1607" s="146"/>
      <c r="H1607" s="146"/>
      <c r="I1607" s="146"/>
      <c r="J1607" s="146"/>
      <c r="K1607" s="146"/>
      <c r="L1607" s="146"/>
      <c r="M1607" s="146"/>
      <c r="N1607" s="146"/>
      <c r="O1607" s="146"/>
      <c r="P1607" s="146"/>
      <c r="Q1607" s="146"/>
      <c r="R1607" s="146"/>
      <c r="S1607" s="146"/>
      <c r="T1607" s="146"/>
      <c r="U1607" s="146"/>
      <c r="V1607" s="146"/>
      <c r="W1607" s="146"/>
      <c r="X1607" s="146"/>
      <c r="Y1607" s="146"/>
      <c r="Z1607" s="146"/>
      <c r="AA1607" s="146"/>
      <c r="AB1607" s="146"/>
      <c r="AC1607" s="146"/>
      <c r="AD1607" s="146"/>
      <c r="AE1607" s="146"/>
      <c r="AF1607" s="146"/>
      <c r="AG1607" s="146"/>
      <c r="AH1607" s="146"/>
      <c r="AI1607" s="146"/>
      <c r="AJ1607" s="146"/>
    </row>
    <row r="1608" spans="1:62" x14ac:dyDescent="0.3">
      <c r="B1608" s="146"/>
      <c r="C1608" s="146"/>
      <c r="D1608" s="146"/>
      <c r="E1608" s="146"/>
      <c r="F1608" s="146"/>
      <c r="G1608" s="146"/>
      <c r="H1608" s="146"/>
      <c r="I1608" s="146"/>
      <c r="J1608" s="146"/>
      <c r="K1608" s="146"/>
      <c r="L1608" s="146"/>
      <c r="M1608" s="146"/>
      <c r="N1608" s="146"/>
      <c r="O1608" s="146"/>
      <c r="P1608" s="146"/>
      <c r="Q1608" s="146"/>
      <c r="R1608" s="146"/>
      <c r="S1608" s="146"/>
      <c r="T1608" s="146"/>
      <c r="U1608" s="146"/>
      <c r="V1608" s="146"/>
      <c r="W1608" s="146"/>
      <c r="X1608" s="146"/>
      <c r="Y1608" s="146"/>
      <c r="Z1608" s="146"/>
      <c r="AA1608" s="146"/>
      <c r="AB1608" s="146"/>
      <c r="AC1608" s="146"/>
      <c r="AD1608" s="146"/>
      <c r="AE1608" s="146"/>
      <c r="AF1608" s="146"/>
      <c r="AG1608" s="146"/>
      <c r="AH1608" s="146"/>
      <c r="AI1608" s="146"/>
      <c r="AJ1608" s="146"/>
    </row>
    <row r="1609" spans="1:62" x14ac:dyDescent="0.3">
      <c r="B1609" s="146"/>
      <c r="C1609" s="146"/>
      <c r="D1609" s="146"/>
      <c r="E1609" s="146"/>
      <c r="F1609" s="146"/>
      <c r="G1609" s="146"/>
      <c r="H1609" s="146"/>
      <c r="I1609" s="146"/>
      <c r="J1609" s="146"/>
      <c r="K1609" s="146"/>
      <c r="L1609" s="146"/>
      <c r="M1609" s="146"/>
      <c r="N1609" s="146"/>
      <c r="O1609" s="146"/>
      <c r="P1609" s="146"/>
      <c r="Q1609" s="146"/>
      <c r="R1609" s="146"/>
      <c r="S1609" s="146"/>
      <c r="T1609" s="146"/>
      <c r="U1609" s="146"/>
      <c r="V1609" s="146"/>
      <c r="W1609" s="146"/>
      <c r="X1609" s="146"/>
      <c r="Y1609" s="146"/>
      <c r="Z1609" s="146"/>
      <c r="AA1609" s="146"/>
      <c r="AB1609" s="146"/>
      <c r="AC1609" s="146"/>
      <c r="AD1609" s="146"/>
      <c r="AE1609" s="146"/>
      <c r="AF1609" s="146"/>
      <c r="AG1609" s="146"/>
      <c r="AH1609" s="146"/>
      <c r="AI1609" s="146"/>
      <c r="AJ1609" s="146"/>
    </row>
    <row r="1610" spans="1:62" x14ac:dyDescent="0.3">
      <c r="B1610" s="146"/>
      <c r="C1610" s="146"/>
      <c r="D1610" s="146"/>
      <c r="E1610" s="146"/>
      <c r="F1610" s="146"/>
      <c r="G1610" s="146"/>
      <c r="H1610" s="146"/>
      <c r="I1610" s="146"/>
      <c r="J1610" s="146"/>
      <c r="K1610" s="146"/>
      <c r="L1610" s="146"/>
      <c r="M1610" s="146"/>
      <c r="N1610" s="146"/>
      <c r="O1610" s="146"/>
      <c r="P1610" s="146"/>
      <c r="Q1610" s="146"/>
      <c r="R1610" s="146"/>
      <c r="S1610" s="146"/>
      <c r="T1610" s="146"/>
      <c r="U1610" s="146"/>
      <c r="V1610" s="146"/>
      <c r="W1610" s="146"/>
      <c r="X1610" s="146"/>
      <c r="Y1610" s="146"/>
      <c r="Z1610" s="146"/>
      <c r="AA1610" s="146"/>
      <c r="AB1610" s="146"/>
      <c r="AC1610" s="146"/>
      <c r="AD1610" s="146"/>
      <c r="AE1610" s="146"/>
      <c r="AF1610" s="146"/>
      <c r="AG1610" s="146"/>
      <c r="AH1610" s="146"/>
      <c r="AI1610" s="146"/>
      <c r="AJ1610" s="146"/>
    </row>
    <row r="1611" spans="1:62" x14ac:dyDescent="0.3">
      <c r="B1611" s="146"/>
      <c r="C1611" s="146"/>
      <c r="D1611" s="146"/>
      <c r="E1611" s="146"/>
      <c r="F1611" s="146"/>
      <c r="G1611" s="146"/>
      <c r="H1611" s="146"/>
      <c r="I1611" s="146"/>
      <c r="J1611" s="146"/>
      <c r="K1611" s="146"/>
      <c r="L1611" s="146"/>
      <c r="M1611" s="146"/>
      <c r="N1611" s="146"/>
      <c r="O1611" s="146"/>
      <c r="P1611" s="146"/>
      <c r="Q1611" s="146"/>
      <c r="R1611" s="146"/>
      <c r="S1611" s="146"/>
      <c r="T1611" s="146"/>
      <c r="U1611" s="146"/>
      <c r="V1611" s="146"/>
      <c r="W1611" s="146"/>
      <c r="X1611" s="146"/>
      <c r="Y1611" s="146"/>
      <c r="Z1611" s="146"/>
      <c r="AA1611" s="146"/>
      <c r="AB1611" s="146"/>
      <c r="AC1611" s="146"/>
      <c r="AD1611" s="146"/>
      <c r="AE1611" s="146"/>
      <c r="AF1611" s="146"/>
      <c r="AG1611" s="146"/>
      <c r="AH1611" s="146"/>
      <c r="AI1611" s="146"/>
      <c r="AJ1611" s="146"/>
    </row>
    <row r="1612" spans="1:62" x14ac:dyDescent="0.3">
      <c r="A1612" s="140"/>
      <c r="B1612" s="140"/>
      <c r="C1612" s="140"/>
      <c r="D1612" s="140"/>
      <c r="E1612" s="146"/>
      <c r="F1612" s="146"/>
      <c r="G1612" s="146"/>
      <c r="H1612" s="146"/>
      <c r="I1612" s="146"/>
      <c r="J1612" s="146"/>
      <c r="K1612" s="146"/>
      <c r="L1612" s="146"/>
      <c r="M1612" s="146"/>
      <c r="N1612" s="146"/>
      <c r="O1612" s="146"/>
      <c r="P1612" s="146"/>
      <c r="Q1612" s="146"/>
      <c r="R1612" s="146"/>
      <c r="S1612" s="146"/>
      <c r="T1612" s="146"/>
      <c r="U1612" s="146"/>
      <c r="V1612" s="146"/>
      <c r="W1612" s="146"/>
      <c r="X1612" s="146"/>
      <c r="Y1612" s="146"/>
      <c r="Z1612" s="146"/>
      <c r="AA1612" s="146"/>
      <c r="AB1612" s="146"/>
      <c r="AC1612" s="146"/>
      <c r="AD1612" s="146"/>
      <c r="AE1612" s="146"/>
      <c r="AF1612" s="146"/>
      <c r="AG1612" s="146"/>
      <c r="AH1612" s="146"/>
      <c r="AI1612" s="146"/>
      <c r="AJ1612" s="146"/>
    </row>
    <row r="1613" spans="1:62" x14ac:dyDescent="0.3">
      <c r="B1613" s="146"/>
      <c r="C1613" s="146"/>
      <c r="D1613" s="146"/>
      <c r="E1613" s="146"/>
      <c r="F1613" s="146"/>
      <c r="G1613" s="146"/>
      <c r="H1613" s="146"/>
      <c r="I1613" s="146"/>
      <c r="J1613" s="146"/>
      <c r="K1613" s="146"/>
      <c r="L1613" s="146"/>
      <c r="M1613" s="146"/>
      <c r="N1613" s="146"/>
      <c r="O1613" s="146"/>
      <c r="P1613" s="146"/>
      <c r="Q1613" s="146"/>
      <c r="R1613" s="146"/>
      <c r="S1613" s="146"/>
      <c r="T1613" s="146"/>
      <c r="U1613" s="146"/>
      <c r="V1613" s="146"/>
      <c r="W1613" s="146"/>
      <c r="X1613" s="146"/>
      <c r="Y1613" s="146"/>
      <c r="Z1613" s="146"/>
      <c r="AA1613" s="146"/>
      <c r="AB1613" s="146"/>
      <c r="AC1613" s="146"/>
      <c r="AD1613" s="146"/>
      <c r="AE1613" s="146"/>
      <c r="AF1613" s="146"/>
      <c r="AG1613" s="146"/>
      <c r="AH1613" s="146"/>
      <c r="AI1613" s="146"/>
      <c r="AJ1613" s="146"/>
    </row>
    <row r="1614" spans="1:62" x14ac:dyDescent="0.3">
      <c r="B1614" s="146"/>
      <c r="C1614" s="146"/>
      <c r="D1614" s="146"/>
      <c r="E1614" s="146"/>
      <c r="F1614" s="146"/>
      <c r="G1614" s="146"/>
      <c r="H1614" s="146"/>
      <c r="I1614" s="146"/>
      <c r="J1614" s="146"/>
      <c r="K1614" s="146"/>
      <c r="L1614" s="146"/>
      <c r="M1614" s="146"/>
      <c r="N1614" s="146"/>
      <c r="O1614" s="146"/>
      <c r="P1614" s="146"/>
      <c r="Q1614" s="146"/>
      <c r="R1614" s="146"/>
      <c r="S1614" s="146"/>
      <c r="T1614" s="146"/>
      <c r="U1614" s="146"/>
      <c r="V1614" s="146"/>
      <c r="W1614" s="146"/>
      <c r="X1614" s="146"/>
      <c r="Y1614" s="146"/>
      <c r="Z1614" s="146"/>
      <c r="AA1614" s="146"/>
      <c r="AB1614" s="146"/>
      <c r="AC1614" s="146"/>
      <c r="AD1614" s="146"/>
      <c r="AE1614" s="146"/>
      <c r="AF1614" s="146"/>
      <c r="AG1614" s="146"/>
      <c r="AH1614" s="146"/>
      <c r="AI1614" s="146"/>
      <c r="AJ1614" s="146"/>
    </row>
    <row r="1615" spans="1:62" x14ac:dyDescent="0.3">
      <c r="B1615" s="146"/>
      <c r="C1615" s="146"/>
      <c r="D1615" s="146"/>
      <c r="E1615" s="146"/>
      <c r="F1615" s="146"/>
      <c r="G1615" s="146"/>
      <c r="H1615" s="146"/>
      <c r="I1615" s="146"/>
      <c r="J1615" s="146"/>
      <c r="K1615" s="146"/>
      <c r="L1615" s="146"/>
      <c r="M1615" s="146"/>
      <c r="N1615" s="146"/>
      <c r="O1615" s="146"/>
      <c r="P1615" s="146"/>
      <c r="Q1615" s="146"/>
      <c r="R1615" s="146"/>
      <c r="S1615" s="146"/>
      <c r="T1615" s="146"/>
      <c r="U1615" s="146"/>
      <c r="V1615" s="146"/>
      <c r="W1615" s="146"/>
      <c r="X1615" s="146"/>
      <c r="Y1615" s="146"/>
      <c r="Z1615" s="146"/>
      <c r="AA1615" s="146"/>
      <c r="AB1615" s="146"/>
      <c r="AC1615" s="146"/>
      <c r="AD1615" s="146"/>
      <c r="AE1615" s="146"/>
      <c r="AF1615" s="146"/>
      <c r="AG1615" s="146"/>
      <c r="AH1615" s="146"/>
      <c r="AI1615" s="146"/>
      <c r="AJ1615" s="146"/>
    </row>
    <row r="1616" spans="1:62" x14ac:dyDescent="0.3">
      <c r="B1616" s="146"/>
      <c r="C1616" s="146"/>
      <c r="D1616" s="146"/>
      <c r="E1616" s="146"/>
      <c r="F1616" s="146"/>
      <c r="G1616" s="146"/>
      <c r="H1616" s="146"/>
      <c r="I1616" s="146"/>
      <c r="J1616" s="146"/>
      <c r="K1616" s="146"/>
      <c r="L1616" s="146"/>
      <c r="M1616" s="146"/>
      <c r="N1616" s="146"/>
      <c r="O1616" s="146"/>
      <c r="P1616" s="146"/>
      <c r="Q1616" s="146"/>
      <c r="R1616" s="146"/>
      <c r="S1616" s="146"/>
      <c r="T1616" s="146"/>
      <c r="U1616" s="146"/>
      <c r="V1616" s="146"/>
      <c r="W1616" s="146"/>
      <c r="X1616" s="146"/>
      <c r="Y1616" s="146"/>
      <c r="Z1616" s="146"/>
      <c r="AA1616" s="146"/>
      <c r="AB1616" s="146"/>
      <c r="AC1616" s="146"/>
      <c r="AD1616" s="146"/>
      <c r="AE1616" s="146"/>
      <c r="AF1616" s="146"/>
      <c r="AG1616" s="146"/>
      <c r="AH1616" s="146"/>
      <c r="AI1616" s="146"/>
      <c r="AJ1616" s="146"/>
    </row>
    <row r="1617" spans="1:52" s="146" customFormat="1" x14ac:dyDescent="0.3">
      <c r="A1617"/>
      <c r="AQ1617"/>
      <c r="AR1617"/>
      <c r="AS1617"/>
      <c r="AT1617"/>
      <c r="AU1617"/>
      <c r="AV1617"/>
      <c r="AW1617"/>
      <c r="AX1617"/>
      <c r="AY1617"/>
      <c r="AZ1617"/>
    </row>
    <row r="1618" spans="1:52" s="140" customFormat="1" x14ac:dyDescent="0.3">
      <c r="A1618"/>
      <c r="B1618" s="146"/>
      <c r="C1618" s="146"/>
      <c r="D1618" s="146"/>
      <c r="E1618" s="146"/>
      <c r="F1618" s="146"/>
      <c r="G1618" s="146"/>
      <c r="H1618" s="146"/>
      <c r="I1618" s="146"/>
      <c r="J1618" s="146"/>
      <c r="K1618" s="146"/>
      <c r="L1618" s="146"/>
      <c r="M1618" s="146"/>
      <c r="N1618" s="146"/>
      <c r="O1618" s="146"/>
      <c r="P1618" s="146"/>
      <c r="Q1618" s="146"/>
      <c r="R1618" s="146"/>
      <c r="S1618" s="146"/>
      <c r="T1618" s="146"/>
      <c r="U1618" s="146"/>
      <c r="V1618" s="146"/>
      <c r="W1618" s="146"/>
      <c r="X1618" s="146"/>
      <c r="Y1618" s="146"/>
      <c r="Z1618" s="146"/>
      <c r="AA1618" s="146"/>
      <c r="AB1618" s="146"/>
      <c r="AC1618" s="146"/>
      <c r="AD1618" s="146"/>
      <c r="AE1618" s="146"/>
      <c r="AF1618" s="146"/>
      <c r="AG1618" s="146"/>
      <c r="AH1618" s="146"/>
      <c r="AI1618" s="146"/>
      <c r="AJ1618" s="146"/>
      <c r="AQ1618"/>
      <c r="AR1618"/>
      <c r="AS1618"/>
      <c r="AT1618"/>
      <c r="AU1618"/>
      <c r="AV1618"/>
      <c r="AW1618"/>
      <c r="AX1618"/>
      <c r="AY1618"/>
      <c r="AZ1618"/>
    </row>
    <row r="1619" spans="1:52" x14ac:dyDescent="0.3">
      <c r="B1619" s="146"/>
      <c r="C1619" s="146"/>
      <c r="D1619" s="146"/>
      <c r="E1619" s="146"/>
      <c r="F1619" s="146"/>
      <c r="G1619" s="146"/>
      <c r="H1619" s="146"/>
      <c r="I1619" s="146"/>
      <c r="J1619" s="146"/>
      <c r="K1619" s="146"/>
      <c r="L1619" s="146"/>
      <c r="M1619" s="146"/>
      <c r="N1619" s="146"/>
      <c r="O1619" s="146"/>
      <c r="P1619" s="146"/>
      <c r="Q1619" s="146"/>
      <c r="R1619" s="146"/>
      <c r="S1619" s="146"/>
      <c r="T1619" s="146"/>
      <c r="U1619" s="146"/>
      <c r="V1619" s="146"/>
      <c r="W1619" s="146"/>
      <c r="X1619" s="146"/>
      <c r="Y1619" s="146"/>
      <c r="Z1619" s="146"/>
      <c r="AA1619" s="146"/>
      <c r="AB1619" s="146"/>
      <c r="AC1619" s="146"/>
      <c r="AD1619" s="146"/>
      <c r="AE1619" s="146"/>
      <c r="AF1619" s="146"/>
      <c r="AG1619" s="146"/>
      <c r="AH1619" s="146"/>
      <c r="AI1619" s="146"/>
      <c r="AJ1619" s="146"/>
    </row>
    <row r="1620" spans="1:52" x14ac:dyDescent="0.3">
      <c r="B1620" s="146"/>
      <c r="C1620" s="146"/>
      <c r="D1620" s="146"/>
      <c r="E1620" s="146"/>
      <c r="F1620" s="146"/>
      <c r="G1620" s="146"/>
      <c r="H1620" s="146"/>
      <c r="I1620" s="146"/>
      <c r="J1620" s="146"/>
      <c r="K1620" s="146"/>
      <c r="L1620" s="146"/>
      <c r="M1620" s="146"/>
      <c r="N1620" s="146"/>
      <c r="O1620" s="146"/>
      <c r="P1620" s="146"/>
      <c r="Q1620" s="146"/>
      <c r="R1620" s="146"/>
      <c r="S1620" s="146"/>
      <c r="T1620" s="146"/>
      <c r="U1620" s="146"/>
      <c r="V1620" s="146"/>
      <c r="W1620" s="146"/>
      <c r="X1620" s="146"/>
      <c r="Y1620" s="146"/>
      <c r="Z1620" s="146"/>
      <c r="AA1620" s="146"/>
      <c r="AB1620" s="146"/>
      <c r="AC1620" s="146"/>
      <c r="AD1620" s="146"/>
      <c r="AE1620" s="146"/>
      <c r="AF1620" s="146"/>
      <c r="AG1620" s="146"/>
      <c r="AH1620" s="146"/>
      <c r="AI1620" s="146"/>
      <c r="AJ1620" s="146"/>
    </row>
    <row r="1621" spans="1:52" x14ac:dyDescent="0.3">
      <c r="B1621" s="146"/>
      <c r="C1621" s="146"/>
      <c r="D1621" s="146"/>
      <c r="E1621" s="146"/>
      <c r="F1621" s="146"/>
      <c r="G1621" s="146"/>
      <c r="H1621" s="146"/>
      <c r="I1621" s="146"/>
      <c r="J1621" s="146"/>
      <c r="K1621" s="146"/>
      <c r="L1621" s="146"/>
      <c r="M1621" s="146"/>
      <c r="N1621" s="146"/>
      <c r="O1621" s="146"/>
      <c r="P1621" s="146"/>
      <c r="Q1621" s="146"/>
      <c r="R1621" s="146"/>
      <c r="S1621" s="146"/>
      <c r="T1621" s="146"/>
      <c r="U1621" s="146"/>
      <c r="V1621" s="146"/>
      <c r="W1621" s="146"/>
      <c r="X1621" s="146"/>
      <c r="Y1621" s="146"/>
      <c r="Z1621" s="146"/>
      <c r="AA1621" s="146"/>
      <c r="AB1621" s="146"/>
      <c r="AC1621" s="146"/>
      <c r="AD1621" s="146"/>
      <c r="AE1621" s="146"/>
      <c r="AF1621" s="146"/>
      <c r="AG1621" s="146"/>
      <c r="AH1621" s="146"/>
      <c r="AI1621" s="146"/>
      <c r="AJ1621" s="146"/>
    </row>
    <row r="1622" spans="1:52" x14ac:dyDescent="0.3">
      <c r="A1622" s="140"/>
      <c r="B1622" s="140"/>
      <c r="C1622" s="140"/>
      <c r="D1622" s="140"/>
      <c r="E1622" s="146"/>
      <c r="F1622" s="146"/>
      <c r="G1622" s="146"/>
      <c r="H1622" s="146"/>
      <c r="I1622" s="146"/>
      <c r="J1622" s="146"/>
      <c r="K1622" s="146"/>
      <c r="L1622" s="146"/>
      <c r="M1622" s="146"/>
      <c r="N1622" s="146"/>
      <c r="O1622" s="146"/>
      <c r="P1622" s="146"/>
      <c r="Q1622" s="146"/>
      <c r="R1622" s="146"/>
      <c r="S1622" s="146"/>
      <c r="T1622" s="146"/>
      <c r="U1622" s="146"/>
      <c r="V1622" s="146"/>
      <c r="W1622" s="146"/>
      <c r="X1622" s="146"/>
      <c r="Y1622" s="146"/>
      <c r="Z1622" s="146"/>
      <c r="AA1622" s="146"/>
      <c r="AB1622" s="146"/>
      <c r="AC1622" s="146"/>
      <c r="AD1622" s="146"/>
      <c r="AE1622" s="146"/>
      <c r="AF1622" s="146"/>
      <c r="AG1622" s="146"/>
      <c r="AH1622" s="146"/>
      <c r="AI1622" s="146"/>
      <c r="AJ1622" s="146"/>
    </row>
    <row r="1623" spans="1:52" x14ac:dyDescent="0.3">
      <c r="B1623" s="146"/>
      <c r="C1623" s="146"/>
      <c r="D1623" s="146"/>
      <c r="E1623" s="146"/>
      <c r="F1623" s="146"/>
      <c r="G1623" s="146"/>
      <c r="H1623" s="146"/>
      <c r="I1623" s="146"/>
      <c r="J1623" s="146"/>
      <c r="K1623" s="146"/>
      <c r="L1623" s="146"/>
      <c r="M1623" s="146"/>
      <c r="N1623" s="146"/>
      <c r="O1623" s="146"/>
      <c r="P1623" s="146"/>
      <c r="Q1623" s="146"/>
      <c r="R1623" s="146"/>
      <c r="S1623" s="146"/>
      <c r="T1623" s="146"/>
      <c r="U1623" s="146"/>
      <c r="V1623" s="146"/>
      <c r="W1623" s="146"/>
      <c r="X1623" s="146"/>
      <c r="Y1623" s="146"/>
      <c r="Z1623" s="146"/>
      <c r="AA1623" s="146"/>
      <c r="AB1623" s="146"/>
      <c r="AC1623" s="146"/>
      <c r="AD1623" s="146"/>
      <c r="AE1623" s="146"/>
      <c r="AF1623" s="146"/>
      <c r="AG1623" s="146"/>
      <c r="AH1623" s="146"/>
      <c r="AI1623" s="146"/>
      <c r="AJ1623" s="146"/>
    </row>
    <row r="1624" spans="1:52" x14ac:dyDescent="0.3">
      <c r="B1624" s="146"/>
      <c r="C1624" s="146"/>
      <c r="D1624" s="146"/>
      <c r="E1624" s="146"/>
      <c r="F1624" s="146"/>
      <c r="G1624" s="146"/>
      <c r="H1624" s="146"/>
      <c r="I1624" s="146"/>
      <c r="J1624" s="146"/>
      <c r="K1624" s="146"/>
      <c r="L1624" s="146"/>
      <c r="M1624" s="146"/>
      <c r="N1624" s="146"/>
      <c r="O1624" s="146"/>
      <c r="P1624" s="146"/>
      <c r="Q1624" s="146"/>
      <c r="R1624" s="146"/>
      <c r="S1624" s="146"/>
      <c r="T1624" s="146"/>
      <c r="U1624" s="146"/>
      <c r="V1624" s="146"/>
      <c r="W1624" s="146"/>
      <c r="X1624" s="146"/>
      <c r="Y1624" s="146"/>
      <c r="Z1624" s="146"/>
      <c r="AA1624" s="146"/>
      <c r="AB1624" s="146"/>
      <c r="AC1624" s="146"/>
      <c r="AD1624" s="146"/>
      <c r="AE1624" s="146"/>
      <c r="AF1624" s="146"/>
      <c r="AG1624" s="146"/>
      <c r="AH1624" s="146"/>
      <c r="AI1624" s="146"/>
      <c r="AJ1624" s="146"/>
    </row>
    <row r="1625" spans="1:52" x14ac:dyDescent="0.3">
      <c r="B1625" s="146"/>
      <c r="C1625" s="146"/>
      <c r="D1625" s="146"/>
      <c r="E1625" s="146"/>
      <c r="F1625" s="146"/>
      <c r="G1625" s="146"/>
      <c r="H1625" s="146"/>
      <c r="I1625" s="146"/>
      <c r="J1625" s="146"/>
      <c r="K1625" s="146"/>
      <c r="L1625" s="146"/>
      <c r="M1625" s="146"/>
      <c r="N1625" s="146"/>
      <c r="O1625" s="146"/>
      <c r="P1625" s="146"/>
      <c r="Q1625" s="146"/>
      <c r="R1625" s="146"/>
      <c r="S1625" s="146"/>
      <c r="T1625" s="146"/>
      <c r="U1625" s="146"/>
      <c r="V1625" s="146"/>
      <c r="W1625" s="146"/>
      <c r="X1625" s="146"/>
      <c r="Y1625" s="146"/>
      <c r="Z1625" s="146"/>
      <c r="AA1625" s="146"/>
      <c r="AB1625" s="146"/>
      <c r="AC1625" s="146"/>
      <c r="AD1625" s="146"/>
      <c r="AE1625" s="146"/>
      <c r="AF1625" s="146"/>
      <c r="AG1625" s="146"/>
      <c r="AH1625" s="146"/>
      <c r="AI1625" s="146"/>
      <c r="AJ1625" s="146"/>
    </row>
    <row r="1626" spans="1:52" x14ac:dyDescent="0.3">
      <c r="B1626" s="146"/>
      <c r="C1626" s="146"/>
      <c r="D1626" s="146"/>
      <c r="E1626" s="146"/>
      <c r="F1626" s="146"/>
      <c r="G1626" s="146"/>
      <c r="H1626" s="146"/>
      <c r="I1626" s="146"/>
      <c r="J1626" s="146"/>
      <c r="K1626" s="146"/>
      <c r="L1626" s="146"/>
      <c r="M1626" s="146"/>
      <c r="N1626" s="146"/>
      <c r="O1626" s="146"/>
      <c r="P1626" s="146"/>
      <c r="Q1626" s="146"/>
      <c r="R1626" s="146"/>
      <c r="S1626" s="146"/>
      <c r="T1626" s="146"/>
      <c r="U1626" s="146"/>
      <c r="V1626" s="146"/>
      <c r="W1626" s="146"/>
      <c r="X1626" s="146"/>
      <c r="Y1626" s="146"/>
      <c r="Z1626" s="146"/>
      <c r="AA1626" s="146"/>
      <c r="AB1626" s="146"/>
      <c r="AC1626" s="146"/>
      <c r="AD1626" s="146"/>
      <c r="AE1626" s="146"/>
      <c r="AF1626" s="146"/>
      <c r="AG1626" s="146"/>
      <c r="AH1626" s="146"/>
      <c r="AI1626" s="146"/>
      <c r="AJ1626" s="146"/>
    </row>
    <row r="1627" spans="1:52" x14ac:dyDescent="0.3">
      <c r="B1627" s="146"/>
      <c r="C1627" s="146"/>
      <c r="D1627" s="146"/>
      <c r="E1627" s="146"/>
      <c r="F1627" s="146"/>
      <c r="G1627" s="146"/>
      <c r="H1627" s="146"/>
      <c r="I1627" s="146"/>
      <c r="J1627" s="146"/>
      <c r="K1627" s="146"/>
      <c r="L1627" s="146"/>
      <c r="M1627" s="146"/>
      <c r="N1627" s="146"/>
      <c r="O1627" s="146"/>
      <c r="P1627" s="146"/>
      <c r="Q1627" s="146"/>
      <c r="R1627" s="146"/>
      <c r="S1627" s="146"/>
      <c r="T1627" s="146"/>
      <c r="U1627" s="146"/>
      <c r="V1627" s="146"/>
      <c r="W1627" s="146"/>
      <c r="X1627" s="146"/>
      <c r="Y1627" s="146"/>
      <c r="Z1627" s="146"/>
      <c r="AA1627" s="146"/>
      <c r="AB1627" s="146"/>
      <c r="AC1627" s="146"/>
      <c r="AD1627" s="146"/>
      <c r="AE1627" s="146"/>
      <c r="AF1627" s="146"/>
      <c r="AG1627" s="146"/>
      <c r="AH1627" s="146"/>
      <c r="AI1627" s="146"/>
      <c r="AJ1627" s="146"/>
    </row>
    <row r="1628" spans="1:52" x14ac:dyDescent="0.3">
      <c r="B1628" s="146"/>
      <c r="C1628" s="146"/>
      <c r="D1628" s="146"/>
      <c r="E1628" s="146"/>
      <c r="F1628" s="146"/>
      <c r="G1628" s="146"/>
      <c r="H1628" s="146"/>
      <c r="I1628" s="146"/>
      <c r="J1628" s="146"/>
      <c r="K1628" s="146"/>
      <c r="L1628" s="146"/>
      <c r="M1628" s="146"/>
      <c r="N1628" s="146"/>
      <c r="O1628" s="146"/>
      <c r="P1628" s="146"/>
      <c r="Q1628" s="146"/>
      <c r="R1628" s="146"/>
      <c r="S1628" s="146"/>
      <c r="T1628" s="146"/>
      <c r="U1628" s="146"/>
      <c r="V1628" s="146"/>
      <c r="W1628" s="146"/>
      <c r="X1628" s="146"/>
      <c r="Y1628" s="146"/>
      <c r="Z1628" s="146"/>
      <c r="AA1628" s="146"/>
      <c r="AB1628" s="146"/>
      <c r="AC1628" s="146"/>
      <c r="AD1628" s="146"/>
      <c r="AE1628" s="146"/>
      <c r="AF1628" s="146"/>
      <c r="AG1628" s="146"/>
      <c r="AH1628" s="146"/>
      <c r="AI1628" s="146"/>
      <c r="AJ1628" s="146"/>
    </row>
    <row r="1629" spans="1:52" x14ac:dyDescent="0.3">
      <c r="B1629" s="146"/>
      <c r="C1629" s="146"/>
      <c r="D1629" s="146"/>
      <c r="E1629" s="146"/>
      <c r="F1629" s="146"/>
      <c r="G1629" s="146"/>
      <c r="H1629" s="146"/>
      <c r="I1629" s="146"/>
      <c r="J1629" s="146"/>
      <c r="K1629" s="146"/>
      <c r="L1629" s="146"/>
      <c r="M1629" s="146"/>
      <c r="N1629" s="146"/>
      <c r="O1629" s="146"/>
      <c r="P1629" s="146"/>
      <c r="Q1629" s="146"/>
      <c r="R1629" s="146"/>
      <c r="S1629" s="146"/>
      <c r="T1629" s="146"/>
      <c r="U1629" s="146"/>
      <c r="V1629" s="146"/>
      <c r="W1629" s="146"/>
      <c r="X1629" s="146"/>
      <c r="Y1629" s="146"/>
      <c r="Z1629" s="146"/>
      <c r="AA1629" s="146"/>
      <c r="AB1629" s="146"/>
      <c r="AC1629" s="146"/>
      <c r="AD1629" s="146"/>
      <c r="AE1629" s="146"/>
      <c r="AF1629" s="146"/>
      <c r="AG1629" s="146"/>
      <c r="AH1629" s="146"/>
      <c r="AI1629" s="146"/>
      <c r="AJ1629" s="146"/>
    </row>
    <row r="1630" spans="1:52" x14ac:dyDescent="0.3">
      <c r="B1630" s="146"/>
      <c r="C1630" s="146"/>
      <c r="D1630" s="146"/>
      <c r="E1630" s="146"/>
      <c r="F1630" s="146"/>
      <c r="G1630" s="146"/>
      <c r="H1630" s="146"/>
      <c r="I1630" s="146"/>
      <c r="J1630" s="146"/>
      <c r="K1630" s="146"/>
      <c r="L1630" s="146"/>
      <c r="M1630" s="146"/>
      <c r="N1630" s="146"/>
      <c r="O1630" s="146"/>
      <c r="P1630" s="146"/>
      <c r="Q1630" s="146"/>
      <c r="R1630" s="146"/>
      <c r="S1630" s="146"/>
      <c r="T1630" s="146"/>
      <c r="U1630" s="146"/>
      <c r="V1630" s="146"/>
      <c r="W1630" s="146"/>
      <c r="X1630" s="146"/>
      <c r="Y1630" s="146"/>
      <c r="Z1630" s="146"/>
      <c r="AA1630" s="146"/>
      <c r="AB1630" s="146"/>
      <c r="AC1630" s="146"/>
      <c r="AD1630" s="146"/>
      <c r="AE1630" s="146"/>
      <c r="AF1630" s="146"/>
      <c r="AG1630" s="146"/>
      <c r="AH1630" s="146"/>
      <c r="AI1630" s="146"/>
      <c r="AJ1630" s="146"/>
    </row>
    <row r="1631" spans="1:52" x14ac:dyDescent="0.3">
      <c r="B1631" s="146"/>
      <c r="C1631" s="146"/>
      <c r="D1631" s="146"/>
      <c r="E1631" s="146"/>
      <c r="F1631" s="146"/>
      <c r="G1631" s="146"/>
      <c r="H1631" s="146"/>
      <c r="I1631" s="146"/>
      <c r="J1631" s="146"/>
      <c r="K1631" s="146"/>
      <c r="L1631" s="146"/>
      <c r="M1631" s="146"/>
      <c r="N1631" s="146"/>
      <c r="O1631" s="146"/>
      <c r="P1631" s="146"/>
      <c r="Q1631" s="146"/>
      <c r="R1631" s="146"/>
      <c r="S1631" s="146"/>
      <c r="T1631" s="146"/>
      <c r="U1631" s="146"/>
      <c r="V1631" s="146"/>
      <c r="W1631" s="146"/>
      <c r="X1631" s="146"/>
      <c r="Y1631" s="146"/>
      <c r="Z1631" s="146"/>
      <c r="AA1631" s="146"/>
      <c r="AB1631" s="146"/>
      <c r="AC1631" s="146"/>
      <c r="AD1631" s="146"/>
      <c r="AE1631" s="146"/>
      <c r="AF1631" s="146"/>
      <c r="AG1631" s="146"/>
      <c r="AH1631" s="146"/>
      <c r="AI1631" s="146"/>
      <c r="AJ1631" s="146"/>
    </row>
    <row r="1632" spans="1:52" x14ac:dyDescent="0.3">
      <c r="A1632" s="140"/>
      <c r="B1632" s="140"/>
      <c r="C1632" s="140"/>
      <c r="D1632" s="140"/>
      <c r="E1632" s="146"/>
      <c r="F1632" s="146"/>
      <c r="G1632" s="146"/>
      <c r="H1632" s="146"/>
      <c r="I1632" s="146"/>
      <c r="J1632" s="146"/>
      <c r="K1632" s="146"/>
      <c r="L1632" s="146"/>
      <c r="M1632" s="146"/>
      <c r="N1632" s="146"/>
      <c r="O1632" s="146"/>
      <c r="P1632" s="146"/>
      <c r="Q1632" s="146"/>
      <c r="R1632" s="146"/>
      <c r="S1632" s="146"/>
      <c r="T1632" s="146"/>
      <c r="U1632" s="146"/>
      <c r="V1632" s="146"/>
      <c r="W1632" s="146"/>
      <c r="X1632" s="146"/>
      <c r="Y1632" s="146"/>
      <c r="Z1632" s="146"/>
      <c r="AA1632" s="146"/>
      <c r="AB1632" s="146"/>
      <c r="AC1632" s="146"/>
      <c r="AD1632" s="146"/>
      <c r="AE1632" s="146"/>
      <c r="AF1632" s="146"/>
      <c r="AG1632" s="146"/>
      <c r="AH1632" s="146"/>
      <c r="AI1632" s="146"/>
      <c r="AJ1632" s="146"/>
    </row>
    <row r="1633" spans="1:52" x14ac:dyDescent="0.3">
      <c r="B1633" s="146"/>
      <c r="C1633" s="146"/>
      <c r="D1633" s="146"/>
      <c r="E1633" s="146"/>
      <c r="F1633" s="146"/>
      <c r="G1633" s="146"/>
      <c r="H1633" s="146"/>
      <c r="I1633" s="146"/>
      <c r="J1633" s="146"/>
      <c r="K1633" s="146"/>
      <c r="L1633" s="146"/>
      <c r="M1633" s="146"/>
      <c r="N1633" s="146"/>
      <c r="O1633" s="146"/>
      <c r="P1633" s="146"/>
      <c r="Q1633" s="146"/>
      <c r="R1633" s="146"/>
      <c r="S1633" s="146"/>
      <c r="T1633" s="146"/>
      <c r="U1633" s="146"/>
      <c r="V1633" s="146"/>
      <c r="W1633" s="146"/>
      <c r="X1633" s="146"/>
      <c r="Y1633" s="146"/>
      <c r="Z1633" s="146"/>
      <c r="AA1633" s="146"/>
      <c r="AB1633" s="146"/>
      <c r="AC1633" s="146"/>
      <c r="AD1633" s="146"/>
      <c r="AE1633" s="146"/>
      <c r="AF1633" s="146"/>
      <c r="AG1633" s="146"/>
      <c r="AH1633" s="146"/>
      <c r="AI1633" s="146"/>
      <c r="AJ1633" s="146"/>
    </row>
    <row r="1634" spans="1:52" s="140" customFormat="1" x14ac:dyDescent="0.3">
      <c r="A1634"/>
      <c r="B1634" s="146"/>
      <c r="C1634" s="146"/>
      <c r="D1634" s="146"/>
      <c r="E1634" s="146"/>
      <c r="F1634" s="146"/>
      <c r="G1634" s="146"/>
      <c r="H1634" s="146"/>
      <c r="I1634" s="146"/>
      <c r="J1634" s="146"/>
      <c r="K1634" s="146"/>
      <c r="L1634" s="146"/>
      <c r="M1634" s="146"/>
      <c r="N1634" s="146"/>
      <c r="O1634" s="146"/>
      <c r="P1634" s="146"/>
      <c r="Q1634" s="146"/>
      <c r="R1634" s="146"/>
      <c r="S1634" s="146"/>
      <c r="T1634" s="146"/>
      <c r="U1634" s="146"/>
      <c r="V1634" s="146"/>
      <c r="W1634" s="146"/>
      <c r="X1634" s="146"/>
      <c r="Y1634" s="146"/>
      <c r="Z1634" s="146"/>
      <c r="AA1634" s="146"/>
      <c r="AB1634" s="146"/>
      <c r="AC1634" s="146"/>
      <c r="AD1634" s="146"/>
      <c r="AE1634" s="146"/>
      <c r="AF1634" s="146"/>
      <c r="AG1634" s="146"/>
      <c r="AH1634" s="146"/>
      <c r="AI1634" s="146"/>
      <c r="AJ1634" s="146"/>
      <c r="AQ1634"/>
      <c r="AR1634"/>
      <c r="AS1634"/>
      <c r="AT1634"/>
      <c r="AU1634"/>
      <c r="AV1634"/>
      <c r="AW1634"/>
      <c r="AX1634"/>
      <c r="AY1634"/>
      <c r="AZ1634"/>
    </row>
    <row r="1635" spans="1:52" x14ac:dyDescent="0.3">
      <c r="B1635" s="146"/>
      <c r="C1635" s="146"/>
      <c r="D1635" s="146"/>
      <c r="E1635" s="146"/>
      <c r="F1635" s="146"/>
      <c r="G1635" s="146"/>
      <c r="H1635" s="146"/>
      <c r="I1635" s="146"/>
      <c r="J1635" s="146"/>
      <c r="K1635" s="146"/>
      <c r="L1635" s="146"/>
      <c r="M1635" s="146"/>
      <c r="N1635" s="146"/>
      <c r="O1635" s="146"/>
      <c r="P1635" s="146"/>
      <c r="Q1635" s="146"/>
      <c r="R1635" s="146"/>
      <c r="S1635" s="146"/>
      <c r="T1635" s="146"/>
      <c r="U1635" s="146"/>
      <c r="V1635" s="146"/>
      <c r="W1635" s="146"/>
      <c r="X1635" s="146"/>
      <c r="Y1635" s="146"/>
      <c r="Z1635" s="146"/>
      <c r="AA1635" s="146"/>
      <c r="AB1635" s="146"/>
      <c r="AC1635" s="146"/>
      <c r="AD1635" s="146"/>
      <c r="AE1635" s="146"/>
      <c r="AF1635" s="146"/>
      <c r="AG1635" s="146"/>
      <c r="AH1635" s="146"/>
      <c r="AI1635" s="146"/>
      <c r="AJ1635" s="146"/>
    </row>
    <row r="1636" spans="1:52" x14ac:dyDescent="0.3">
      <c r="B1636" s="146"/>
      <c r="C1636" s="146"/>
      <c r="D1636" s="146"/>
      <c r="E1636" s="146"/>
      <c r="F1636" s="146"/>
      <c r="G1636" s="146"/>
      <c r="H1636" s="146"/>
      <c r="I1636" s="146"/>
      <c r="J1636" s="146"/>
      <c r="K1636" s="146"/>
      <c r="L1636" s="146"/>
      <c r="M1636" s="146"/>
      <c r="N1636" s="146"/>
      <c r="O1636" s="146"/>
      <c r="P1636" s="146"/>
      <c r="Q1636" s="146"/>
      <c r="R1636" s="146"/>
      <c r="S1636" s="146"/>
      <c r="T1636" s="146"/>
      <c r="U1636" s="146"/>
      <c r="V1636" s="146"/>
      <c r="W1636" s="146"/>
      <c r="X1636" s="146"/>
      <c r="Y1636" s="146"/>
      <c r="Z1636" s="146"/>
      <c r="AA1636" s="146"/>
      <c r="AB1636" s="146"/>
      <c r="AC1636" s="146"/>
      <c r="AD1636" s="146"/>
      <c r="AE1636" s="146"/>
      <c r="AF1636" s="146"/>
      <c r="AG1636" s="146"/>
      <c r="AH1636" s="146"/>
      <c r="AI1636" s="146"/>
      <c r="AJ1636" s="146"/>
    </row>
    <row r="1637" spans="1:52" x14ac:dyDescent="0.3">
      <c r="B1637" s="146"/>
      <c r="C1637" s="146"/>
      <c r="D1637" s="146"/>
      <c r="E1637" s="146"/>
      <c r="F1637" s="146"/>
      <c r="G1637" s="146"/>
      <c r="H1637" s="146"/>
      <c r="I1637" s="146"/>
      <c r="J1637" s="146"/>
      <c r="K1637" s="146"/>
      <c r="L1637" s="146"/>
      <c r="M1637" s="146"/>
      <c r="N1637" s="146"/>
      <c r="O1637" s="146"/>
      <c r="P1637" s="146"/>
      <c r="Q1637" s="146"/>
      <c r="R1637" s="146"/>
      <c r="S1637" s="146"/>
      <c r="T1637" s="146"/>
      <c r="U1637" s="146"/>
      <c r="V1637" s="146"/>
      <c r="W1637" s="146"/>
      <c r="X1637" s="146"/>
      <c r="Y1637" s="146"/>
      <c r="Z1637" s="146"/>
      <c r="AA1637" s="146"/>
      <c r="AB1637" s="146"/>
      <c r="AC1637" s="146"/>
      <c r="AD1637" s="146"/>
      <c r="AE1637" s="146"/>
      <c r="AF1637" s="146"/>
      <c r="AG1637" s="146"/>
      <c r="AH1637" s="146"/>
      <c r="AI1637" s="146"/>
      <c r="AJ1637" s="146"/>
    </row>
    <row r="1638" spans="1:52" x14ac:dyDescent="0.3">
      <c r="B1638" s="146"/>
      <c r="C1638" s="146"/>
      <c r="D1638" s="146"/>
      <c r="E1638" s="146"/>
      <c r="F1638" s="146"/>
      <c r="G1638" s="146"/>
      <c r="H1638" s="146"/>
      <c r="I1638" s="146"/>
      <c r="J1638" s="146"/>
      <c r="K1638" s="146"/>
      <c r="L1638" s="146"/>
      <c r="M1638" s="146"/>
      <c r="N1638" s="146"/>
      <c r="O1638" s="146"/>
      <c r="P1638" s="146"/>
      <c r="Q1638" s="146"/>
      <c r="R1638" s="146"/>
      <c r="S1638" s="146"/>
      <c r="T1638" s="146"/>
      <c r="U1638" s="146"/>
      <c r="V1638" s="146"/>
      <c r="W1638" s="146"/>
      <c r="X1638" s="146"/>
      <c r="Y1638" s="146"/>
      <c r="Z1638" s="146"/>
      <c r="AA1638" s="146"/>
      <c r="AB1638" s="146"/>
      <c r="AC1638" s="146"/>
      <c r="AD1638" s="146"/>
      <c r="AE1638" s="146"/>
      <c r="AF1638" s="146"/>
      <c r="AG1638" s="146"/>
      <c r="AH1638" s="146"/>
      <c r="AI1638" s="146"/>
      <c r="AJ1638" s="146"/>
    </row>
    <row r="1639" spans="1:52" x14ac:dyDescent="0.3">
      <c r="B1639" s="146"/>
      <c r="C1639" s="146"/>
      <c r="D1639" s="146"/>
      <c r="E1639" s="146"/>
      <c r="F1639" s="146"/>
      <c r="G1639" s="146"/>
      <c r="H1639" s="146"/>
      <c r="I1639" s="146"/>
      <c r="J1639" s="146"/>
      <c r="K1639" s="146"/>
      <c r="L1639" s="146"/>
      <c r="M1639" s="146"/>
      <c r="N1639" s="146"/>
      <c r="O1639" s="146"/>
      <c r="P1639" s="146"/>
      <c r="Q1639" s="146"/>
      <c r="R1639" s="146"/>
      <c r="S1639" s="146"/>
      <c r="T1639" s="146"/>
      <c r="U1639" s="146"/>
      <c r="V1639" s="146"/>
      <c r="W1639" s="146"/>
      <c r="X1639" s="146"/>
      <c r="Y1639" s="146"/>
      <c r="Z1639" s="146"/>
      <c r="AA1639" s="146"/>
      <c r="AB1639" s="146"/>
      <c r="AC1639" s="146"/>
      <c r="AD1639" s="146"/>
      <c r="AE1639" s="146"/>
      <c r="AF1639" s="146"/>
      <c r="AG1639" s="146"/>
      <c r="AH1639" s="146"/>
      <c r="AI1639" s="146"/>
      <c r="AJ1639" s="146"/>
    </row>
    <row r="1640" spans="1:52" x14ac:dyDescent="0.3">
      <c r="B1640" s="146"/>
      <c r="C1640" s="146"/>
      <c r="D1640" s="146"/>
      <c r="E1640" s="146"/>
      <c r="F1640" s="146"/>
      <c r="G1640" s="146"/>
      <c r="H1640" s="146"/>
      <c r="I1640" s="146"/>
      <c r="J1640" s="146"/>
      <c r="K1640" s="146"/>
      <c r="L1640" s="146"/>
      <c r="M1640" s="146"/>
      <c r="N1640" s="146"/>
      <c r="O1640" s="146"/>
      <c r="P1640" s="146"/>
      <c r="Q1640" s="146"/>
      <c r="R1640" s="146"/>
      <c r="S1640" s="146"/>
      <c r="T1640" s="146"/>
      <c r="U1640" s="146"/>
      <c r="V1640" s="146"/>
      <c r="W1640" s="146"/>
      <c r="X1640" s="146"/>
      <c r="Y1640" s="146"/>
      <c r="Z1640" s="146"/>
      <c r="AA1640" s="146"/>
      <c r="AB1640" s="146"/>
      <c r="AC1640" s="146"/>
      <c r="AD1640" s="146"/>
      <c r="AE1640" s="146"/>
      <c r="AF1640" s="146"/>
      <c r="AG1640" s="146"/>
      <c r="AH1640" s="146"/>
      <c r="AI1640" s="146"/>
      <c r="AJ1640" s="146"/>
    </row>
    <row r="1641" spans="1:52" x14ac:dyDescent="0.3">
      <c r="B1641" s="146"/>
      <c r="C1641" s="146"/>
      <c r="D1641" s="146"/>
      <c r="E1641" s="146"/>
      <c r="F1641" s="146"/>
      <c r="G1641" s="146"/>
      <c r="H1641" s="146"/>
      <c r="I1641" s="146"/>
      <c r="J1641" s="146"/>
      <c r="K1641" s="146"/>
      <c r="L1641" s="146"/>
      <c r="M1641" s="146"/>
      <c r="N1641" s="146"/>
      <c r="O1641" s="146"/>
      <c r="P1641" s="146"/>
      <c r="Q1641" s="146"/>
      <c r="R1641" s="146"/>
      <c r="S1641" s="146"/>
      <c r="T1641" s="146"/>
      <c r="U1641" s="146"/>
      <c r="V1641" s="146"/>
      <c r="W1641" s="146"/>
      <c r="X1641" s="146"/>
      <c r="Y1641" s="146"/>
      <c r="Z1641" s="146"/>
      <c r="AA1641" s="146"/>
      <c r="AB1641" s="146"/>
      <c r="AC1641" s="146"/>
      <c r="AD1641" s="146"/>
      <c r="AE1641" s="146"/>
      <c r="AF1641" s="146"/>
      <c r="AG1641" s="146"/>
      <c r="AH1641" s="146"/>
      <c r="AI1641" s="146"/>
      <c r="AJ1641" s="146"/>
    </row>
    <row r="1642" spans="1:52" x14ac:dyDescent="0.3">
      <c r="A1642" s="140"/>
      <c r="B1642" s="140"/>
      <c r="C1642" s="140"/>
      <c r="D1642" s="140"/>
      <c r="E1642" s="146"/>
      <c r="F1642" s="146"/>
      <c r="G1642" s="146"/>
      <c r="H1642" s="146"/>
      <c r="I1642" s="146"/>
      <c r="J1642" s="146"/>
      <c r="K1642" s="146"/>
      <c r="L1642" s="146"/>
      <c r="M1642" s="146"/>
      <c r="N1642" s="146"/>
      <c r="O1642" s="146"/>
      <c r="P1642" s="146"/>
      <c r="Q1642" s="146"/>
      <c r="R1642" s="146"/>
      <c r="S1642" s="146"/>
      <c r="T1642" s="146"/>
      <c r="U1642" s="146"/>
      <c r="V1642" s="146"/>
      <c r="W1642" s="146"/>
      <c r="X1642" s="146"/>
      <c r="Y1642" s="146"/>
      <c r="Z1642" s="146"/>
      <c r="AA1642" s="146"/>
      <c r="AB1642" s="146"/>
      <c r="AC1642" s="146"/>
      <c r="AD1642" s="146"/>
      <c r="AE1642" s="146"/>
      <c r="AF1642" s="146"/>
      <c r="AG1642" s="146"/>
      <c r="AH1642" s="146"/>
      <c r="AI1642" s="146"/>
      <c r="AJ1642" s="146"/>
    </row>
    <row r="1643" spans="1:52" x14ac:dyDescent="0.3">
      <c r="B1643" s="146"/>
      <c r="C1643" s="146"/>
      <c r="D1643" s="146"/>
      <c r="E1643" s="146"/>
      <c r="F1643" s="146"/>
      <c r="G1643" s="146"/>
      <c r="H1643" s="146"/>
      <c r="I1643" s="146"/>
      <c r="J1643" s="146"/>
      <c r="K1643" s="146"/>
      <c r="L1643" s="146"/>
      <c r="M1643" s="146"/>
      <c r="N1643" s="146"/>
      <c r="O1643" s="146"/>
      <c r="P1643" s="146"/>
      <c r="Q1643" s="146"/>
      <c r="R1643" s="146"/>
      <c r="S1643" s="146"/>
      <c r="T1643" s="146"/>
      <c r="U1643" s="146"/>
      <c r="V1643" s="146"/>
      <c r="W1643" s="146"/>
      <c r="X1643" s="146"/>
      <c r="Y1643" s="146"/>
      <c r="Z1643" s="146"/>
      <c r="AA1643" s="146"/>
      <c r="AB1643" s="146"/>
      <c r="AC1643" s="146"/>
      <c r="AD1643" s="146"/>
      <c r="AE1643" s="146"/>
      <c r="AF1643" s="146"/>
      <c r="AG1643" s="146"/>
      <c r="AH1643" s="146"/>
      <c r="AI1643" s="146"/>
      <c r="AJ1643" s="146"/>
    </row>
    <row r="1644" spans="1:52" x14ac:dyDescent="0.3">
      <c r="B1644" s="146"/>
      <c r="C1644" s="146"/>
      <c r="D1644" s="146"/>
      <c r="E1644" s="146"/>
      <c r="F1644" s="146"/>
      <c r="G1644" s="146"/>
      <c r="H1644" s="146"/>
      <c r="I1644" s="146"/>
      <c r="J1644" s="146"/>
      <c r="K1644" s="146"/>
      <c r="L1644" s="146"/>
      <c r="M1644" s="146"/>
      <c r="N1644" s="146"/>
      <c r="O1644" s="146"/>
      <c r="P1644" s="146"/>
      <c r="Q1644" s="146"/>
      <c r="R1644" s="146"/>
      <c r="S1644" s="146"/>
      <c r="T1644" s="146"/>
      <c r="U1644" s="146"/>
      <c r="V1644" s="146"/>
      <c r="W1644" s="146"/>
      <c r="X1644" s="146"/>
      <c r="Y1644" s="146"/>
      <c r="Z1644" s="146"/>
      <c r="AA1644" s="146"/>
      <c r="AB1644" s="146"/>
      <c r="AC1644" s="146"/>
      <c r="AD1644" s="146"/>
      <c r="AE1644" s="146"/>
      <c r="AF1644" s="146"/>
      <c r="AG1644" s="146"/>
      <c r="AH1644" s="146"/>
      <c r="AI1644" s="146"/>
      <c r="AJ1644" s="146"/>
    </row>
    <row r="1645" spans="1:52" x14ac:dyDescent="0.3">
      <c r="B1645" s="146"/>
      <c r="C1645" s="146"/>
      <c r="D1645" s="146"/>
      <c r="E1645" s="146"/>
      <c r="F1645" s="146"/>
      <c r="G1645" s="146"/>
      <c r="H1645" s="146"/>
      <c r="I1645" s="146"/>
      <c r="J1645" s="146"/>
      <c r="K1645" s="146"/>
      <c r="L1645" s="146"/>
      <c r="M1645" s="146"/>
      <c r="N1645" s="146"/>
      <c r="O1645" s="146"/>
      <c r="P1645" s="146"/>
      <c r="Q1645" s="146"/>
      <c r="R1645" s="146"/>
      <c r="S1645" s="146"/>
      <c r="T1645" s="146"/>
      <c r="U1645" s="146"/>
      <c r="V1645" s="146"/>
      <c r="W1645" s="146"/>
      <c r="X1645" s="146"/>
      <c r="Y1645" s="146"/>
      <c r="Z1645" s="146"/>
      <c r="AA1645" s="146"/>
      <c r="AB1645" s="146"/>
      <c r="AC1645" s="146"/>
      <c r="AD1645" s="146"/>
      <c r="AE1645" s="146"/>
      <c r="AF1645" s="146"/>
      <c r="AG1645" s="146"/>
      <c r="AH1645" s="146"/>
      <c r="AI1645" s="146"/>
      <c r="AJ1645" s="146"/>
    </row>
    <row r="1646" spans="1:52" x14ac:dyDescent="0.3">
      <c r="B1646" s="146"/>
      <c r="C1646" s="146"/>
      <c r="D1646" s="146"/>
      <c r="E1646" s="146"/>
      <c r="F1646" s="146"/>
      <c r="G1646" s="146"/>
      <c r="H1646" s="146"/>
      <c r="I1646" s="146"/>
      <c r="J1646" s="146"/>
      <c r="K1646" s="146"/>
      <c r="L1646" s="146"/>
      <c r="M1646" s="146"/>
      <c r="N1646" s="146"/>
      <c r="O1646" s="146"/>
      <c r="P1646" s="146"/>
      <c r="Q1646" s="146"/>
      <c r="R1646" s="146"/>
      <c r="S1646" s="146"/>
      <c r="T1646" s="146"/>
      <c r="U1646" s="146"/>
      <c r="V1646" s="146"/>
      <c r="W1646" s="146"/>
      <c r="X1646" s="146"/>
      <c r="Y1646" s="146"/>
      <c r="Z1646" s="146"/>
      <c r="AA1646" s="146"/>
      <c r="AB1646" s="146"/>
      <c r="AC1646" s="146"/>
      <c r="AD1646" s="146"/>
      <c r="AE1646" s="146"/>
      <c r="AF1646" s="146"/>
      <c r="AG1646" s="146"/>
      <c r="AH1646" s="146"/>
      <c r="AI1646" s="146"/>
      <c r="AJ1646" s="146"/>
    </row>
    <row r="1647" spans="1:52" x14ac:dyDescent="0.3">
      <c r="B1647" s="146"/>
      <c r="C1647" s="146"/>
      <c r="D1647" s="146"/>
      <c r="E1647" s="146"/>
      <c r="F1647" s="146"/>
      <c r="G1647" s="146"/>
      <c r="H1647" s="146"/>
      <c r="I1647" s="146"/>
      <c r="J1647" s="146"/>
      <c r="K1647" s="146"/>
      <c r="L1647" s="146"/>
      <c r="M1647" s="146"/>
      <c r="N1647" s="146"/>
      <c r="O1647" s="146"/>
      <c r="P1647" s="146"/>
      <c r="Q1647" s="146"/>
      <c r="R1647" s="146"/>
      <c r="S1647" s="146"/>
      <c r="T1647" s="146"/>
      <c r="U1647" s="146"/>
      <c r="V1647" s="146"/>
      <c r="W1647" s="146"/>
      <c r="X1647" s="146"/>
      <c r="Y1647" s="146"/>
      <c r="Z1647" s="146"/>
      <c r="AA1647" s="146"/>
      <c r="AB1647" s="146"/>
      <c r="AC1647" s="146"/>
      <c r="AD1647" s="146"/>
      <c r="AE1647" s="146"/>
      <c r="AF1647" s="146"/>
      <c r="AG1647" s="146"/>
      <c r="AH1647" s="146"/>
      <c r="AI1647" s="146"/>
      <c r="AJ1647" s="146"/>
    </row>
    <row r="1648" spans="1:52" x14ac:dyDescent="0.3">
      <c r="B1648" s="146"/>
      <c r="C1648" s="146"/>
      <c r="D1648" s="146"/>
      <c r="E1648" s="146"/>
      <c r="F1648" s="146"/>
      <c r="G1648" s="146"/>
      <c r="H1648" s="146"/>
      <c r="I1648" s="146"/>
      <c r="J1648" s="146"/>
      <c r="K1648" s="146"/>
      <c r="L1648" s="146"/>
      <c r="M1648" s="146"/>
      <c r="N1648" s="146"/>
      <c r="O1648" s="146"/>
      <c r="P1648" s="146"/>
      <c r="Q1648" s="146"/>
      <c r="R1648" s="146"/>
      <c r="S1648" s="146"/>
      <c r="T1648" s="146"/>
      <c r="U1648" s="146"/>
      <c r="V1648" s="146"/>
      <c r="W1648" s="146"/>
      <c r="X1648" s="146"/>
      <c r="Y1648" s="146"/>
      <c r="Z1648" s="146"/>
      <c r="AA1648" s="146"/>
      <c r="AB1648" s="146"/>
      <c r="AC1648" s="146"/>
      <c r="AD1648" s="146"/>
      <c r="AE1648" s="146"/>
      <c r="AF1648" s="146"/>
      <c r="AG1648" s="146"/>
      <c r="AH1648" s="146"/>
      <c r="AI1648" s="146"/>
      <c r="AJ1648" s="146"/>
    </row>
    <row r="1649" spans="1:52" x14ac:dyDescent="0.3">
      <c r="B1649" s="146"/>
      <c r="C1649" s="146"/>
      <c r="D1649" s="146"/>
      <c r="E1649" s="146"/>
      <c r="F1649" s="146"/>
      <c r="G1649" s="146"/>
      <c r="H1649" s="146"/>
      <c r="I1649" s="146"/>
      <c r="J1649" s="146"/>
      <c r="K1649" s="146"/>
      <c r="L1649" s="146"/>
      <c r="M1649" s="146"/>
      <c r="N1649" s="146"/>
      <c r="O1649" s="146"/>
      <c r="P1649" s="146"/>
      <c r="Q1649" s="146"/>
      <c r="R1649" s="146"/>
      <c r="S1649" s="146"/>
      <c r="T1649" s="146"/>
      <c r="U1649" s="146"/>
      <c r="V1649" s="146"/>
      <c r="W1649" s="146"/>
      <c r="X1649" s="146"/>
      <c r="Y1649" s="146"/>
      <c r="Z1649" s="146"/>
      <c r="AA1649" s="146"/>
      <c r="AB1649" s="146"/>
      <c r="AC1649" s="146"/>
      <c r="AD1649" s="146"/>
      <c r="AE1649" s="146"/>
      <c r="AF1649" s="146"/>
      <c r="AG1649" s="146"/>
      <c r="AH1649" s="146"/>
      <c r="AI1649" s="146"/>
      <c r="AJ1649" s="146"/>
    </row>
    <row r="1650" spans="1:52" x14ac:dyDescent="0.3">
      <c r="B1650" s="146"/>
      <c r="C1650" s="146"/>
      <c r="D1650" s="146"/>
      <c r="E1650" s="146"/>
      <c r="F1650" s="146"/>
      <c r="G1650" s="146"/>
      <c r="H1650" s="146"/>
      <c r="I1650" s="146"/>
      <c r="J1650" s="146"/>
      <c r="K1650" s="146"/>
      <c r="L1650" s="146"/>
      <c r="M1650" s="146"/>
      <c r="N1650" s="146"/>
      <c r="O1650" s="146"/>
      <c r="P1650" s="146"/>
      <c r="Q1650" s="146"/>
      <c r="R1650" s="146"/>
      <c r="S1650" s="146"/>
      <c r="T1650" s="146"/>
      <c r="U1650" s="146"/>
      <c r="V1650" s="146"/>
      <c r="W1650" s="146"/>
      <c r="X1650" s="146"/>
      <c r="Y1650" s="146"/>
      <c r="Z1650" s="146"/>
      <c r="AA1650" s="146"/>
      <c r="AB1650" s="146"/>
      <c r="AC1650" s="146"/>
      <c r="AD1650" s="146"/>
      <c r="AE1650" s="146"/>
      <c r="AF1650" s="146"/>
      <c r="AG1650" s="146"/>
      <c r="AH1650" s="146"/>
      <c r="AI1650" s="146"/>
      <c r="AJ1650" s="146"/>
    </row>
    <row r="1651" spans="1:52" x14ac:dyDescent="0.3">
      <c r="B1651" s="146"/>
      <c r="C1651" s="146"/>
      <c r="D1651" s="146"/>
      <c r="E1651" s="146"/>
      <c r="F1651" s="146"/>
      <c r="G1651" s="146"/>
      <c r="H1651" s="146"/>
      <c r="I1651" s="146"/>
      <c r="J1651" s="146"/>
      <c r="K1651" s="146"/>
      <c r="L1651" s="146"/>
      <c r="M1651" s="146"/>
      <c r="N1651" s="146"/>
      <c r="O1651" s="146"/>
      <c r="P1651" s="146"/>
      <c r="Q1651" s="146"/>
      <c r="R1651" s="146"/>
      <c r="S1651" s="146"/>
      <c r="T1651" s="146"/>
      <c r="U1651" s="146"/>
      <c r="V1651" s="146"/>
      <c r="W1651" s="146"/>
      <c r="X1651" s="146"/>
      <c r="Y1651" s="146"/>
      <c r="Z1651" s="146"/>
      <c r="AA1651" s="146"/>
      <c r="AB1651" s="146"/>
      <c r="AC1651" s="146"/>
      <c r="AD1651" s="146"/>
      <c r="AE1651" s="146"/>
      <c r="AF1651" s="146"/>
      <c r="AG1651" s="146"/>
      <c r="AH1651" s="146"/>
      <c r="AI1651" s="146"/>
      <c r="AJ1651" s="146"/>
    </row>
    <row r="1652" spans="1:52" s="140" customFormat="1" x14ac:dyDescent="0.3">
      <c r="E1652" s="146"/>
      <c r="F1652" s="146"/>
      <c r="G1652" s="146"/>
      <c r="H1652" s="146"/>
      <c r="I1652" s="146"/>
      <c r="J1652" s="146"/>
      <c r="K1652" s="146"/>
      <c r="L1652" s="146"/>
      <c r="M1652" s="146"/>
      <c r="N1652" s="146"/>
      <c r="O1652" s="146"/>
      <c r="P1652" s="146"/>
      <c r="Q1652" s="146"/>
      <c r="R1652" s="146"/>
      <c r="S1652" s="146"/>
      <c r="T1652" s="146"/>
      <c r="U1652" s="146"/>
      <c r="V1652" s="146"/>
      <c r="W1652" s="146"/>
      <c r="X1652" s="146"/>
      <c r="Y1652" s="146"/>
      <c r="Z1652" s="146"/>
      <c r="AA1652" s="146"/>
      <c r="AB1652" s="146"/>
      <c r="AC1652" s="146"/>
      <c r="AD1652" s="146"/>
      <c r="AE1652" s="146"/>
      <c r="AF1652" s="146"/>
      <c r="AG1652" s="146"/>
      <c r="AH1652" s="146"/>
      <c r="AI1652" s="146"/>
      <c r="AJ1652" s="146"/>
      <c r="AQ1652"/>
      <c r="AR1652"/>
      <c r="AS1652"/>
      <c r="AT1652"/>
      <c r="AU1652"/>
      <c r="AV1652"/>
      <c r="AW1652"/>
      <c r="AX1652"/>
      <c r="AY1652"/>
      <c r="AZ1652"/>
    </row>
    <row r="1653" spans="1:52" s="146" customFormat="1" x14ac:dyDescent="0.3">
      <c r="A1653"/>
      <c r="AQ1653"/>
      <c r="AR1653"/>
      <c r="AS1653"/>
      <c r="AT1653"/>
      <c r="AU1653"/>
      <c r="AV1653"/>
      <c r="AW1653"/>
      <c r="AX1653"/>
      <c r="AY1653"/>
      <c r="AZ1653"/>
    </row>
    <row r="1654" spans="1:52" s="146" customFormat="1" x14ac:dyDescent="0.3">
      <c r="A1654"/>
      <c r="AQ1654"/>
      <c r="AR1654"/>
      <c r="AS1654"/>
      <c r="AT1654"/>
      <c r="AU1654"/>
      <c r="AV1654"/>
      <c r="AW1654"/>
      <c r="AX1654"/>
      <c r="AY1654"/>
      <c r="AZ1654"/>
    </row>
    <row r="1655" spans="1:52" s="146" customFormat="1" x14ac:dyDescent="0.3">
      <c r="A1655"/>
      <c r="AQ1655"/>
      <c r="AR1655"/>
      <c r="AS1655"/>
      <c r="AT1655"/>
      <c r="AU1655"/>
      <c r="AV1655"/>
      <c r="AW1655"/>
      <c r="AX1655"/>
      <c r="AY1655"/>
      <c r="AZ1655"/>
    </row>
    <row r="1656" spans="1:52" s="146" customFormat="1" x14ac:dyDescent="0.3">
      <c r="A1656"/>
      <c r="AQ1656"/>
      <c r="AR1656"/>
      <c r="AS1656"/>
      <c r="AT1656"/>
      <c r="AU1656"/>
      <c r="AV1656"/>
      <c r="AW1656"/>
      <c r="AX1656"/>
      <c r="AY1656"/>
      <c r="AZ1656"/>
    </row>
    <row r="1657" spans="1:52" s="146" customFormat="1" x14ac:dyDescent="0.3">
      <c r="A1657"/>
      <c r="AQ1657"/>
      <c r="AR1657"/>
      <c r="AS1657"/>
      <c r="AT1657"/>
      <c r="AU1657"/>
      <c r="AV1657"/>
      <c r="AW1657"/>
      <c r="AX1657"/>
      <c r="AY1657"/>
      <c r="AZ1657"/>
    </row>
    <row r="1658" spans="1:52" s="146" customFormat="1" x14ac:dyDescent="0.3">
      <c r="A1658"/>
      <c r="AQ1658"/>
      <c r="AR1658"/>
      <c r="AS1658"/>
      <c r="AT1658"/>
      <c r="AU1658"/>
      <c r="AV1658"/>
      <c r="AW1658"/>
      <c r="AX1658"/>
      <c r="AY1658"/>
      <c r="AZ1658"/>
    </row>
    <row r="1659" spans="1:52" s="146" customFormat="1" x14ac:dyDescent="0.3">
      <c r="A1659"/>
      <c r="AQ1659"/>
      <c r="AR1659"/>
      <c r="AS1659"/>
      <c r="AT1659"/>
      <c r="AU1659"/>
      <c r="AV1659"/>
      <c r="AW1659"/>
      <c r="AX1659"/>
      <c r="AY1659"/>
      <c r="AZ1659"/>
    </row>
    <row r="1660" spans="1:52" s="146" customFormat="1" x14ac:dyDescent="0.3">
      <c r="A1660"/>
      <c r="AQ1660"/>
      <c r="AR1660"/>
      <c r="AS1660"/>
      <c r="AT1660"/>
      <c r="AU1660"/>
      <c r="AV1660"/>
      <c r="AW1660"/>
      <c r="AX1660"/>
      <c r="AY1660"/>
      <c r="AZ1660"/>
    </row>
    <row r="1661" spans="1:52" s="146" customFormat="1" x14ac:dyDescent="0.3">
      <c r="A1661"/>
      <c r="AQ1661"/>
      <c r="AR1661"/>
      <c r="AS1661"/>
      <c r="AT1661"/>
      <c r="AU1661"/>
      <c r="AV1661"/>
      <c r="AW1661"/>
      <c r="AX1661"/>
      <c r="AY1661"/>
      <c r="AZ1661"/>
    </row>
    <row r="1662" spans="1:52" s="146" customFormat="1" x14ac:dyDescent="0.3">
      <c r="A1662" s="140"/>
      <c r="B1662" s="140"/>
      <c r="C1662" s="140"/>
      <c r="D1662" s="140"/>
      <c r="AQ1662"/>
      <c r="AR1662"/>
      <c r="AS1662"/>
      <c r="AT1662"/>
      <c r="AU1662"/>
      <c r="AV1662"/>
      <c r="AW1662"/>
      <c r="AX1662"/>
      <c r="AY1662"/>
      <c r="AZ1662"/>
    </row>
    <row r="1663" spans="1:52" s="146" customFormat="1" x14ac:dyDescent="0.3">
      <c r="A1663"/>
      <c r="AQ1663"/>
      <c r="AR1663"/>
      <c r="AS1663"/>
      <c r="AT1663"/>
      <c r="AU1663"/>
      <c r="AV1663"/>
      <c r="AW1663"/>
      <c r="AX1663"/>
      <c r="AY1663"/>
      <c r="AZ1663"/>
    </row>
    <row r="1664" spans="1:52" s="146" customFormat="1" x14ac:dyDescent="0.3">
      <c r="A1664"/>
      <c r="AQ1664"/>
      <c r="AR1664"/>
      <c r="AS1664"/>
      <c r="AT1664"/>
      <c r="AU1664"/>
      <c r="AV1664"/>
      <c r="AW1664"/>
      <c r="AX1664"/>
      <c r="AY1664"/>
      <c r="AZ1664"/>
    </row>
    <row r="1665" spans="1:52" s="146" customFormat="1" x14ac:dyDescent="0.3">
      <c r="A1665"/>
      <c r="AQ1665"/>
      <c r="AR1665"/>
      <c r="AS1665"/>
      <c r="AT1665"/>
      <c r="AU1665"/>
      <c r="AV1665"/>
      <c r="AW1665"/>
      <c r="AX1665"/>
      <c r="AY1665"/>
      <c r="AZ1665"/>
    </row>
    <row r="1666" spans="1:52" s="146" customFormat="1" x14ac:dyDescent="0.3">
      <c r="A1666"/>
      <c r="AQ1666"/>
      <c r="AR1666"/>
      <c r="AS1666"/>
      <c r="AT1666"/>
      <c r="AU1666"/>
      <c r="AV1666"/>
      <c r="AW1666"/>
      <c r="AX1666"/>
      <c r="AY1666"/>
      <c r="AZ1666"/>
    </row>
    <row r="1667" spans="1:52" s="146" customFormat="1" x14ac:dyDescent="0.3">
      <c r="A1667"/>
      <c r="AQ1667"/>
      <c r="AR1667"/>
      <c r="AS1667"/>
      <c r="AT1667"/>
      <c r="AU1667"/>
      <c r="AV1667"/>
      <c r="AW1667"/>
      <c r="AX1667"/>
      <c r="AY1667"/>
      <c r="AZ1667"/>
    </row>
    <row r="1668" spans="1:52" s="146" customFormat="1" x14ac:dyDescent="0.3">
      <c r="A1668"/>
      <c r="AQ1668"/>
      <c r="AR1668"/>
      <c r="AS1668"/>
      <c r="AT1668"/>
      <c r="AU1668"/>
      <c r="AV1668"/>
      <c r="AW1668"/>
      <c r="AX1668"/>
      <c r="AY1668"/>
      <c r="AZ1668"/>
    </row>
    <row r="1669" spans="1:52" s="146" customFormat="1" x14ac:dyDescent="0.3">
      <c r="A1669"/>
      <c r="AQ1669"/>
      <c r="AR1669"/>
      <c r="AS1669"/>
      <c r="AT1669"/>
      <c r="AU1669"/>
      <c r="AV1669"/>
      <c r="AW1669"/>
      <c r="AX1669"/>
      <c r="AY1669"/>
      <c r="AZ1669"/>
    </row>
    <row r="1670" spans="1:52" s="160" customFormat="1" ht="15" thickBot="1" x14ac:dyDescent="0.35">
      <c r="A1670"/>
      <c r="B1670" s="146"/>
      <c r="C1670" s="146"/>
      <c r="D1670" s="146"/>
      <c r="E1670" s="146"/>
      <c r="F1670" s="146"/>
      <c r="G1670" s="146"/>
      <c r="H1670" s="146"/>
      <c r="I1670" s="146"/>
      <c r="J1670" s="146"/>
      <c r="K1670" s="146"/>
      <c r="L1670" s="146"/>
      <c r="M1670" s="146"/>
      <c r="N1670" s="146"/>
      <c r="O1670" s="146"/>
      <c r="P1670" s="146"/>
      <c r="Q1670" s="146"/>
      <c r="R1670" s="146"/>
      <c r="S1670" s="146"/>
      <c r="T1670" s="146"/>
      <c r="U1670" s="146"/>
      <c r="V1670" s="146"/>
      <c r="W1670" s="146"/>
      <c r="X1670" s="146"/>
      <c r="Y1670" s="146"/>
      <c r="Z1670" s="146"/>
      <c r="AA1670" s="146"/>
      <c r="AB1670" s="146"/>
      <c r="AC1670" s="146"/>
      <c r="AD1670" s="146"/>
      <c r="AE1670" s="146"/>
      <c r="AF1670" s="146"/>
      <c r="AG1670" s="146"/>
      <c r="AH1670" s="146"/>
      <c r="AI1670" s="146"/>
      <c r="AJ1670" s="146"/>
      <c r="AQ1670"/>
      <c r="AR1670"/>
      <c r="AS1670"/>
      <c r="AT1670"/>
      <c r="AU1670"/>
      <c r="AV1670"/>
      <c r="AW1670"/>
      <c r="AX1670"/>
      <c r="AY1670"/>
      <c r="AZ1670"/>
    </row>
    <row r="1671" spans="1:52" x14ac:dyDescent="0.3">
      <c r="B1671" s="146"/>
      <c r="C1671" s="146"/>
      <c r="D1671" s="146"/>
      <c r="E1671" s="146"/>
      <c r="F1671" s="146"/>
      <c r="G1671" s="146"/>
      <c r="H1671" s="146"/>
      <c r="I1671" s="146"/>
      <c r="J1671" s="146"/>
      <c r="K1671" s="146"/>
      <c r="L1671" s="146"/>
      <c r="M1671" s="146"/>
      <c r="N1671" s="146"/>
      <c r="O1671" s="146"/>
      <c r="P1671" s="146"/>
      <c r="Q1671" s="146"/>
      <c r="R1671" s="146"/>
      <c r="S1671" s="146"/>
      <c r="T1671" s="146"/>
      <c r="U1671" s="146"/>
      <c r="V1671" s="146"/>
      <c r="W1671" s="146"/>
      <c r="X1671" s="146"/>
      <c r="Y1671" s="146"/>
      <c r="Z1671" s="146"/>
      <c r="AA1671" s="146"/>
      <c r="AB1671" s="146"/>
      <c r="AC1671" s="146"/>
      <c r="AD1671" s="146"/>
      <c r="AE1671" s="146"/>
      <c r="AF1671" s="146"/>
      <c r="AG1671" s="146"/>
      <c r="AH1671" s="146"/>
      <c r="AI1671" s="146"/>
      <c r="AJ1671" s="146"/>
    </row>
    <row r="1672" spans="1:52" x14ac:dyDescent="0.3">
      <c r="A1672" s="140"/>
      <c r="B1672" s="140"/>
      <c r="C1672" s="140"/>
      <c r="D1672" s="140"/>
      <c r="E1672" s="146"/>
      <c r="F1672" s="146"/>
      <c r="G1672" s="146"/>
      <c r="H1672" s="146"/>
      <c r="I1672" s="146"/>
      <c r="J1672" s="146"/>
      <c r="K1672" s="146"/>
      <c r="L1672" s="146"/>
      <c r="M1672" s="146"/>
      <c r="N1672" s="146"/>
      <c r="O1672" s="146"/>
      <c r="P1672" s="146"/>
      <c r="Q1672" s="146"/>
      <c r="R1672" s="146"/>
      <c r="S1672" s="146"/>
      <c r="T1672" s="146"/>
      <c r="U1672" s="146"/>
      <c r="V1672" s="146"/>
      <c r="W1672" s="146"/>
      <c r="X1672" s="146"/>
      <c r="Y1672" s="146"/>
      <c r="Z1672" s="146"/>
      <c r="AA1672" s="146"/>
      <c r="AB1672" s="146"/>
      <c r="AC1672" s="146"/>
      <c r="AD1672" s="146"/>
      <c r="AE1672" s="146"/>
      <c r="AF1672" s="146"/>
      <c r="AG1672" s="146"/>
      <c r="AH1672" s="146"/>
      <c r="AI1672" s="146"/>
      <c r="AJ1672" s="146"/>
    </row>
    <row r="1673" spans="1:52" x14ac:dyDescent="0.3">
      <c r="B1673" s="146"/>
      <c r="C1673" s="146"/>
      <c r="D1673" s="146"/>
      <c r="E1673" s="146"/>
      <c r="F1673" s="146"/>
      <c r="G1673" s="146"/>
      <c r="H1673" s="146"/>
      <c r="I1673" s="146"/>
      <c r="J1673" s="146"/>
      <c r="K1673" s="146"/>
      <c r="L1673" s="146"/>
      <c r="M1673" s="146"/>
      <c r="N1673" s="146"/>
      <c r="O1673" s="146"/>
      <c r="P1673" s="146"/>
      <c r="Q1673" s="146"/>
      <c r="R1673" s="146"/>
      <c r="S1673" s="146"/>
      <c r="T1673" s="146"/>
      <c r="U1673" s="146"/>
      <c r="V1673" s="146"/>
      <c r="W1673" s="146"/>
      <c r="X1673" s="146"/>
      <c r="Y1673" s="146"/>
      <c r="Z1673" s="146"/>
      <c r="AA1673" s="146"/>
      <c r="AB1673" s="146"/>
      <c r="AC1673" s="146"/>
      <c r="AD1673" s="146"/>
      <c r="AE1673" s="146"/>
      <c r="AF1673" s="146"/>
      <c r="AG1673" s="146"/>
      <c r="AH1673" s="146"/>
      <c r="AI1673" s="146"/>
      <c r="AJ1673" s="146"/>
    </row>
    <row r="1674" spans="1:52" x14ac:dyDescent="0.3">
      <c r="B1674" s="146"/>
      <c r="C1674" s="146"/>
      <c r="D1674" s="146"/>
      <c r="E1674" s="146"/>
      <c r="F1674" s="146"/>
      <c r="G1674" s="146"/>
      <c r="H1674" s="146"/>
      <c r="I1674" s="146"/>
      <c r="J1674" s="146"/>
      <c r="K1674" s="146"/>
      <c r="L1674" s="146"/>
      <c r="M1674" s="146"/>
      <c r="N1674" s="146"/>
      <c r="O1674" s="146"/>
      <c r="P1674" s="146"/>
      <c r="Q1674" s="146"/>
      <c r="R1674" s="146"/>
      <c r="S1674" s="146"/>
      <c r="T1674" s="146"/>
      <c r="U1674" s="146"/>
      <c r="V1674" s="146"/>
      <c r="W1674" s="146"/>
      <c r="X1674" s="146"/>
      <c r="Y1674" s="146"/>
      <c r="Z1674" s="146"/>
      <c r="AA1674" s="146"/>
      <c r="AB1674" s="146"/>
      <c r="AC1674" s="146"/>
      <c r="AD1674" s="146"/>
      <c r="AE1674" s="146"/>
      <c r="AF1674" s="146"/>
      <c r="AG1674" s="146"/>
      <c r="AH1674" s="146"/>
      <c r="AI1674" s="146"/>
      <c r="AJ1674" s="146"/>
    </row>
    <row r="1675" spans="1:52" x14ac:dyDescent="0.3">
      <c r="B1675" s="146"/>
      <c r="C1675" s="146"/>
      <c r="D1675" s="146"/>
      <c r="E1675" s="146"/>
      <c r="F1675" s="146"/>
      <c r="G1675" s="146"/>
      <c r="H1675" s="146"/>
      <c r="I1675" s="146"/>
      <c r="J1675" s="146"/>
      <c r="K1675" s="146"/>
      <c r="L1675" s="146"/>
      <c r="M1675" s="146"/>
      <c r="N1675" s="146"/>
      <c r="O1675" s="146"/>
      <c r="P1675" s="146"/>
      <c r="Q1675" s="146"/>
      <c r="R1675" s="146"/>
      <c r="S1675" s="146"/>
      <c r="T1675" s="146"/>
      <c r="U1675" s="146"/>
      <c r="V1675" s="146"/>
      <c r="W1675" s="146"/>
      <c r="X1675" s="146"/>
      <c r="Y1675" s="146"/>
      <c r="Z1675" s="146"/>
      <c r="AA1675" s="146"/>
      <c r="AB1675" s="146"/>
      <c r="AC1675" s="146"/>
      <c r="AD1675" s="146"/>
      <c r="AE1675" s="146"/>
      <c r="AF1675" s="146"/>
      <c r="AG1675" s="146"/>
      <c r="AH1675" s="146"/>
      <c r="AI1675" s="146"/>
      <c r="AJ1675" s="146"/>
    </row>
    <row r="1676" spans="1:52" x14ac:dyDescent="0.3">
      <c r="B1676" s="146"/>
      <c r="C1676" s="146"/>
      <c r="D1676" s="146"/>
      <c r="E1676" s="146"/>
      <c r="F1676" s="146"/>
      <c r="G1676" s="146"/>
      <c r="H1676" s="146"/>
      <c r="I1676" s="146"/>
      <c r="J1676" s="146"/>
      <c r="K1676" s="146"/>
      <c r="L1676" s="146"/>
      <c r="M1676" s="146"/>
      <c r="N1676" s="146"/>
      <c r="O1676" s="146"/>
      <c r="P1676" s="146"/>
      <c r="Q1676" s="146"/>
      <c r="R1676" s="146"/>
      <c r="S1676" s="146"/>
      <c r="T1676" s="146"/>
      <c r="U1676" s="146"/>
      <c r="V1676" s="146"/>
      <c r="W1676" s="146"/>
      <c r="X1676" s="146"/>
      <c r="Y1676" s="146"/>
      <c r="Z1676" s="146"/>
      <c r="AA1676" s="146"/>
      <c r="AB1676" s="146"/>
      <c r="AC1676" s="146"/>
      <c r="AD1676" s="146"/>
      <c r="AE1676" s="146"/>
      <c r="AF1676" s="146"/>
      <c r="AG1676" s="146"/>
      <c r="AH1676" s="146"/>
      <c r="AI1676" s="146"/>
      <c r="AJ1676" s="146"/>
    </row>
    <row r="1677" spans="1:52" x14ac:dyDescent="0.3">
      <c r="B1677" s="146"/>
      <c r="C1677" s="146"/>
      <c r="D1677" s="146"/>
      <c r="E1677" s="146"/>
      <c r="F1677" s="146"/>
      <c r="G1677" s="146"/>
      <c r="H1677" s="146"/>
      <c r="I1677" s="146"/>
      <c r="J1677" s="146"/>
      <c r="K1677" s="146"/>
      <c r="L1677" s="146"/>
      <c r="M1677" s="146"/>
      <c r="N1677" s="146"/>
      <c r="O1677" s="146"/>
      <c r="P1677" s="146"/>
      <c r="Q1677" s="146"/>
      <c r="R1677" s="146"/>
      <c r="S1677" s="146"/>
      <c r="T1677" s="146"/>
      <c r="U1677" s="146"/>
      <c r="V1677" s="146"/>
      <c r="W1677" s="146"/>
      <c r="X1677" s="146"/>
      <c r="Y1677" s="146"/>
      <c r="Z1677" s="146"/>
      <c r="AA1677" s="146"/>
      <c r="AB1677" s="146"/>
      <c r="AC1677" s="146"/>
      <c r="AD1677" s="146"/>
      <c r="AE1677" s="146"/>
      <c r="AF1677" s="146"/>
      <c r="AG1677" s="146"/>
      <c r="AH1677" s="146"/>
      <c r="AI1677" s="146"/>
      <c r="AJ1677" s="146"/>
    </row>
    <row r="1678" spans="1:52" x14ac:dyDescent="0.3">
      <c r="B1678" s="146"/>
      <c r="C1678" s="146"/>
      <c r="D1678" s="146"/>
      <c r="E1678" s="146"/>
      <c r="F1678" s="146"/>
      <c r="G1678" s="146"/>
      <c r="H1678" s="146"/>
      <c r="I1678" s="146"/>
      <c r="J1678" s="146"/>
      <c r="K1678" s="146"/>
      <c r="L1678" s="146"/>
      <c r="M1678" s="146"/>
      <c r="N1678" s="146"/>
      <c r="O1678" s="146"/>
      <c r="P1678" s="146"/>
      <c r="Q1678" s="146"/>
      <c r="R1678" s="146"/>
      <c r="S1678" s="146"/>
      <c r="T1678" s="146"/>
      <c r="U1678" s="146"/>
      <c r="V1678" s="146"/>
      <c r="W1678" s="146"/>
      <c r="X1678" s="146"/>
      <c r="Y1678" s="146"/>
      <c r="Z1678" s="146"/>
      <c r="AA1678" s="146"/>
      <c r="AB1678" s="146"/>
      <c r="AC1678" s="146"/>
      <c r="AD1678" s="146"/>
      <c r="AE1678" s="146"/>
      <c r="AF1678" s="146"/>
      <c r="AG1678" s="146"/>
      <c r="AH1678" s="146"/>
      <c r="AI1678" s="146"/>
      <c r="AJ1678" s="146"/>
    </row>
    <row r="1679" spans="1:52" x14ac:dyDescent="0.3">
      <c r="B1679" s="146"/>
      <c r="C1679" s="146"/>
      <c r="D1679" s="146"/>
      <c r="E1679" s="146"/>
      <c r="F1679" s="146"/>
      <c r="G1679" s="146"/>
      <c r="H1679" s="146"/>
      <c r="I1679" s="146"/>
      <c r="J1679" s="146"/>
      <c r="K1679" s="146"/>
      <c r="L1679" s="146"/>
      <c r="M1679" s="146"/>
      <c r="N1679" s="146"/>
      <c r="O1679" s="146"/>
      <c r="P1679" s="146"/>
      <c r="Q1679" s="146"/>
      <c r="R1679" s="146"/>
      <c r="S1679" s="146"/>
      <c r="T1679" s="146"/>
      <c r="U1679" s="146"/>
      <c r="V1679" s="146"/>
      <c r="W1679" s="146"/>
      <c r="X1679" s="146"/>
      <c r="Y1679" s="146"/>
      <c r="Z1679" s="146"/>
      <c r="AA1679" s="146"/>
      <c r="AB1679" s="146"/>
      <c r="AC1679" s="146"/>
      <c r="AD1679" s="146"/>
      <c r="AE1679" s="146"/>
      <c r="AF1679" s="146"/>
      <c r="AG1679" s="146"/>
      <c r="AH1679" s="146"/>
      <c r="AI1679" s="146"/>
      <c r="AJ1679" s="146"/>
    </row>
    <row r="1680" spans="1:52" x14ac:dyDescent="0.3">
      <c r="B1680" s="146"/>
      <c r="C1680" s="146"/>
      <c r="D1680" s="146"/>
      <c r="E1680" s="146"/>
      <c r="F1680" s="146"/>
      <c r="G1680" s="146"/>
      <c r="H1680" s="146"/>
      <c r="I1680" s="146"/>
      <c r="J1680" s="146"/>
      <c r="K1680" s="146"/>
      <c r="L1680" s="146"/>
      <c r="M1680" s="146"/>
      <c r="N1680" s="146"/>
      <c r="O1680" s="146"/>
      <c r="P1680" s="146"/>
      <c r="Q1680" s="146"/>
      <c r="R1680" s="146"/>
      <c r="S1680" s="146"/>
      <c r="T1680" s="146"/>
      <c r="U1680" s="146"/>
      <c r="V1680" s="146"/>
      <c r="W1680" s="146"/>
      <c r="X1680" s="146"/>
      <c r="Y1680" s="146"/>
      <c r="Z1680" s="146"/>
      <c r="AA1680" s="146"/>
      <c r="AB1680" s="146"/>
      <c r="AC1680" s="146"/>
      <c r="AD1680" s="146"/>
      <c r="AE1680" s="146"/>
      <c r="AF1680" s="146"/>
      <c r="AG1680" s="146"/>
      <c r="AH1680" s="146"/>
      <c r="AI1680" s="146"/>
      <c r="AJ1680" s="146"/>
    </row>
    <row r="1681" spans="1:36" x14ac:dyDescent="0.3">
      <c r="B1681" s="146"/>
      <c r="C1681" s="146"/>
      <c r="D1681" s="146"/>
      <c r="E1681" s="146"/>
      <c r="F1681" s="146"/>
      <c r="G1681" s="146"/>
      <c r="H1681" s="146"/>
      <c r="I1681" s="146"/>
      <c r="J1681" s="146"/>
      <c r="K1681" s="146"/>
      <c r="L1681" s="146"/>
      <c r="M1681" s="146"/>
      <c r="N1681" s="146"/>
      <c r="O1681" s="146"/>
      <c r="P1681" s="146"/>
      <c r="Q1681" s="146"/>
      <c r="R1681" s="146"/>
      <c r="S1681" s="146"/>
      <c r="T1681" s="146"/>
      <c r="U1681" s="146"/>
      <c r="V1681" s="146"/>
      <c r="W1681" s="146"/>
      <c r="X1681" s="146"/>
      <c r="Y1681" s="146"/>
      <c r="Z1681" s="146"/>
      <c r="AA1681" s="146"/>
      <c r="AB1681" s="146"/>
      <c r="AC1681" s="146"/>
      <c r="AD1681" s="146"/>
      <c r="AE1681" s="146"/>
      <c r="AF1681" s="146"/>
      <c r="AG1681" s="146"/>
      <c r="AH1681" s="146"/>
      <c r="AI1681" s="146"/>
      <c r="AJ1681" s="146"/>
    </row>
    <row r="1682" spans="1:36" x14ac:dyDescent="0.3">
      <c r="A1682" s="140"/>
      <c r="B1682" s="140"/>
      <c r="C1682" s="140"/>
      <c r="D1682" s="140"/>
      <c r="E1682" s="146"/>
      <c r="F1682" s="146"/>
      <c r="G1682" s="146"/>
      <c r="H1682" s="146"/>
      <c r="I1682" s="146"/>
      <c r="J1682" s="146"/>
      <c r="K1682" s="146"/>
      <c r="L1682" s="146"/>
      <c r="M1682" s="146"/>
      <c r="N1682" s="146"/>
      <c r="O1682" s="146"/>
      <c r="P1682" s="146"/>
      <c r="Q1682" s="146"/>
      <c r="R1682" s="146"/>
      <c r="S1682" s="146"/>
      <c r="T1682" s="146"/>
      <c r="U1682" s="146"/>
      <c r="V1682" s="146"/>
      <c r="W1682" s="146"/>
      <c r="X1682" s="146"/>
      <c r="Y1682" s="146"/>
      <c r="Z1682" s="146"/>
      <c r="AA1682" s="146"/>
      <c r="AB1682" s="146"/>
      <c r="AC1682" s="146"/>
      <c r="AD1682" s="146"/>
      <c r="AE1682" s="146"/>
      <c r="AF1682" s="146"/>
      <c r="AG1682" s="146"/>
      <c r="AH1682" s="146"/>
      <c r="AI1682" s="146"/>
      <c r="AJ1682" s="146"/>
    </row>
    <row r="1683" spans="1:36" x14ac:dyDescent="0.3">
      <c r="B1683" s="146"/>
      <c r="C1683" s="146"/>
      <c r="D1683" s="146"/>
      <c r="E1683" s="146"/>
      <c r="F1683" s="146"/>
      <c r="G1683" s="146"/>
      <c r="H1683" s="146"/>
      <c r="I1683" s="146"/>
      <c r="J1683" s="146"/>
      <c r="K1683" s="146"/>
      <c r="L1683" s="146"/>
      <c r="M1683" s="146"/>
      <c r="N1683" s="146"/>
      <c r="O1683" s="146"/>
      <c r="P1683" s="146"/>
      <c r="Q1683" s="146"/>
      <c r="R1683" s="146"/>
      <c r="S1683" s="146"/>
      <c r="T1683" s="146"/>
      <c r="U1683" s="146"/>
      <c r="V1683" s="146"/>
      <c r="W1683" s="146"/>
      <c r="X1683" s="146"/>
      <c r="Y1683" s="146"/>
      <c r="Z1683" s="146"/>
      <c r="AA1683" s="146"/>
      <c r="AB1683" s="146"/>
      <c r="AC1683" s="146"/>
      <c r="AD1683" s="146"/>
      <c r="AE1683" s="146"/>
      <c r="AF1683" s="146"/>
      <c r="AG1683" s="146"/>
      <c r="AH1683" s="146"/>
      <c r="AI1683" s="146"/>
      <c r="AJ1683" s="146"/>
    </row>
    <row r="1684" spans="1:36" x14ac:dyDescent="0.3">
      <c r="B1684" s="146"/>
      <c r="C1684" s="146"/>
      <c r="D1684" s="146"/>
      <c r="E1684" s="146"/>
      <c r="F1684" s="146"/>
      <c r="G1684" s="146"/>
      <c r="H1684" s="146"/>
      <c r="I1684" s="146"/>
      <c r="J1684" s="146"/>
      <c r="K1684" s="146"/>
      <c r="L1684" s="146"/>
      <c r="M1684" s="146"/>
      <c r="N1684" s="146"/>
      <c r="O1684" s="146"/>
      <c r="P1684" s="146"/>
      <c r="Q1684" s="146"/>
      <c r="R1684" s="146"/>
      <c r="S1684" s="146"/>
      <c r="T1684" s="146"/>
      <c r="U1684" s="146"/>
      <c r="V1684" s="146"/>
      <c r="W1684" s="146"/>
      <c r="X1684" s="146"/>
      <c r="Y1684" s="146"/>
      <c r="Z1684" s="146"/>
      <c r="AA1684" s="146"/>
      <c r="AB1684" s="146"/>
      <c r="AC1684" s="146"/>
      <c r="AD1684" s="146"/>
      <c r="AE1684" s="146"/>
      <c r="AF1684" s="146"/>
      <c r="AG1684" s="146"/>
      <c r="AH1684" s="146"/>
      <c r="AI1684" s="146"/>
      <c r="AJ1684" s="146"/>
    </row>
    <row r="1685" spans="1:36" x14ac:dyDescent="0.3">
      <c r="B1685" s="146"/>
      <c r="C1685" s="146"/>
      <c r="D1685" s="146"/>
      <c r="E1685" s="146"/>
      <c r="F1685" s="146"/>
      <c r="G1685" s="146"/>
      <c r="H1685" s="146"/>
      <c r="I1685" s="146"/>
      <c r="J1685" s="146"/>
      <c r="K1685" s="146"/>
      <c r="L1685" s="146"/>
      <c r="M1685" s="146"/>
      <c r="N1685" s="146"/>
      <c r="O1685" s="146"/>
      <c r="P1685" s="146"/>
      <c r="Q1685" s="146"/>
      <c r="R1685" s="146"/>
      <c r="S1685" s="146"/>
      <c r="T1685" s="146"/>
      <c r="U1685" s="146"/>
      <c r="V1685" s="146"/>
      <c r="W1685" s="146"/>
      <c r="X1685" s="146"/>
      <c r="Y1685" s="146"/>
      <c r="Z1685" s="146"/>
      <c r="AA1685" s="146"/>
      <c r="AB1685" s="146"/>
      <c r="AC1685" s="146"/>
      <c r="AD1685" s="146"/>
      <c r="AE1685" s="146"/>
      <c r="AF1685" s="146"/>
      <c r="AG1685" s="146"/>
      <c r="AH1685" s="146"/>
      <c r="AI1685" s="146"/>
      <c r="AJ1685" s="146"/>
    </row>
    <row r="1686" spans="1:36" x14ac:dyDescent="0.3">
      <c r="B1686" s="146"/>
      <c r="C1686" s="146"/>
      <c r="D1686" s="146"/>
      <c r="E1686" s="146"/>
      <c r="F1686" s="146"/>
      <c r="G1686" s="146"/>
      <c r="H1686" s="146"/>
      <c r="I1686" s="146"/>
      <c r="J1686" s="146"/>
      <c r="K1686" s="146"/>
      <c r="L1686" s="146"/>
      <c r="M1686" s="146"/>
      <c r="N1686" s="146"/>
      <c r="O1686" s="146"/>
      <c r="P1686" s="146"/>
      <c r="Q1686" s="146"/>
      <c r="R1686" s="146"/>
      <c r="S1686" s="146"/>
      <c r="T1686" s="146"/>
      <c r="U1686" s="146"/>
      <c r="V1686" s="146"/>
      <c r="W1686" s="146"/>
      <c r="X1686" s="146"/>
      <c r="Y1686" s="146"/>
      <c r="Z1686" s="146"/>
      <c r="AA1686" s="146"/>
      <c r="AB1686" s="146"/>
      <c r="AC1686" s="146"/>
      <c r="AD1686" s="146"/>
      <c r="AE1686" s="146"/>
      <c r="AF1686" s="146"/>
      <c r="AG1686" s="146"/>
      <c r="AH1686" s="146"/>
      <c r="AI1686" s="146"/>
      <c r="AJ1686" s="146"/>
    </row>
    <row r="1687" spans="1:36" x14ac:dyDescent="0.3">
      <c r="B1687" s="146"/>
      <c r="C1687" s="146"/>
      <c r="D1687" s="146"/>
      <c r="E1687" s="146"/>
      <c r="F1687" s="146"/>
      <c r="G1687" s="146"/>
      <c r="H1687" s="146"/>
      <c r="I1687" s="146"/>
      <c r="J1687" s="146"/>
      <c r="K1687" s="146"/>
      <c r="L1687" s="146"/>
      <c r="M1687" s="146"/>
      <c r="N1687" s="146"/>
      <c r="O1687" s="146"/>
      <c r="P1687" s="146"/>
      <c r="Q1687" s="146"/>
      <c r="R1687" s="146"/>
      <c r="S1687" s="146"/>
      <c r="T1687" s="146"/>
      <c r="U1687" s="146"/>
      <c r="V1687" s="146"/>
      <c r="W1687" s="146"/>
      <c r="X1687" s="146"/>
      <c r="Y1687" s="146"/>
      <c r="Z1687" s="146"/>
      <c r="AA1687" s="146"/>
      <c r="AB1687" s="146"/>
      <c r="AC1687" s="146"/>
      <c r="AD1687" s="146"/>
      <c r="AE1687" s="146"/>
      <c r="AF1687" s="146"/>
      <c r="AG1687" s="146"/>
      <c r="AH1687" s="146"/>
      <c r="AI1687" s="146"/>
      <c r="AJ1687" s="146"/>
    </row>
    <row r="1688" spans="1:36" x14ac:dyDescent="0.3">
      <c r="B1688" s="146"/>
      <c r="C1688" s="146"/>
      <c r="D1688" s="146"/>
      <c r="E1688" s="146"/>
      <c r="F1688" s="146"/>
      <c r="G1688" s="146"/>
      <c r="H1688" s="146"/>
      <c r="I1688" s="146"/>
      <c r="J1688" s="146"/>
      <c r="K1688" s="146"/>
      <c r="L1688" s="146"/>
      <c r="M1688" s="146"/>
      <c r="N1688" s="146"/>
      <c r="O1688" s="146"/>
      <c r="P1688" s="146"/>
      <c r="Q1688" s="146"/>
      <c r="R1688" s="146"/>
      <c r="S1688" s="146"/>
      <c r="T1688" s="146"/>
      <c r="U1688" s="146"/>
      <c r="V1688" s="146"/>
      <c r="W1688" s="146"/>
      <c r="X1688" s="146"/>
      <c r="Y1688" s="146"/>
      <c r="Z1688" s="146"/>
      <c r="AA1688" s="146"/>
      <c r="AB1688" s="146"/>
      <c r="AC1688" s="146"/>
      <c r="AD1688" s="146"/>
      <c r="AE1688" s="146"/>
      <c r="AF1688" s="146"/>
      <c r="AG1688" s="146"/>
      <c r="AH1688" s="146"/>
      <c r="AI1688" s="146"/>
      <c r="AJ1688" s="146"/>
    </row>
    <row r="1689" spans="1:36" x14ac:dyDescent="0.3">
      <c r="B1689" s="146"/>
      <c r="C1689" s="146"/>
      <c r="D1689" s="146"/>
      <c r="E1689" s="146"/>
      <c r="F1689" s="146"/>
      <c r="G1689" s="146"/>
      <c r="H1689" s="146"/>
      <c r="I1689" s="146"/>
      <c r="J1689" s="146"/>
      <c r="K1689" s="146"/>
      <c r="L1689" s="146"/>
      <c r="M1689" s="146"/>
      <c r="N1689" s="146"/>
      <c r="O1689" s="146"/>
      <c r="P1689" s="146"/>
      <c r="Q1689" s="146"/>
      <c r="R1689" s="146"/>
      <c r="S1689" s="146"/>
      <c r="T1689" s="146"/>
      <c r="U1689" s="146"/>
      <c r="V1689" s="146"/>
      <c r="W1689" s="146"/>
      <c r="X1689" s="146"/>
      <c r="Y1689" s="146"/>
      <c r="Z1689" s="146"/>
      <c r="AA1689" s="146"/>
      <c r="AB1689" s="146"/>
      <c r="AC1689" s="146"/>
      <c r="AD1689" s="146"/>
      <c r="AE1689" s="146"/>
      <c r="AF1689" s="146"/>
      <c r="AG1689" s="146"/>
      <c r="AH1689" s="146"/>
      <c r="AI1689" s="146"/>
      <c r="AJ1689" s="146"/>
    </row>
    <row r="1690" spans="1:36" x14ac:dyDescent="0.3">
      <c r="B1690" s="146"/>
      <c r="C1690" s="146"/>
      <c r="D1690" s="146"/>
      <c r="E1690" s="146"/>
      <c r="F1690" s="146"/>
      <c r="G1690" s="146"/>
      <c r="H1690" s="146"/>
      <c r="I1690" s="146"/>
      <c r="J1690" s="146"/>
      <c r="K1690" s="146"/>
      <c r="L1690" s="146"/>
      <c r="M1690" s="146"/>
      <c r="N1690" s="146"/>
      <c r="O1690" s="146"/>
      <c r="P1690" s="146"/>
      <c r="Q1690" s="146"/>
      <c r="R1690" s="146"/>
      <c r="S1690" s="146"/>
      <c r="T1690" s="146"/>
      <c r="U1690" s="146"/>
      <c r="V1690" s="146"/>
      <c r="W1690" s="146"/>
      <c r="X1690" s="146"/>
      <c r="Y1690" s="146"/>
      <c r="Z1690" s="146"/>
      <c r="AA1690" s="146"/>
      <c r="AB1690" s="146"/>
      <c r="AC1690" s="146"/>
      <c r="AD1690" s="146"/>
      <c r="AE1690" s="146"/>
      <c r="AF1690" s="146"/>
      <c r="AG1690" s="146"/>
      <c r="AH1690" s="146"/>
      <c r="AI1690" s="146"/>
      <c r="AJ1690" s="146"/>
    </row>
    <row r="1691" spans="1:36" x14ac:dyDescent="0.3">
      <c r="B1691" s="146"/>
      <c r="C1691" s="146"/>
      <c r="D1691" s="146"/>
      <c r="E1691" s="146"/>
      <c r="F1691" s="146"/>
      <c r="G1691" s="146"/>
      <c r="H1691" s="146"/>
      <c r="I1691" s="146"/>
      <c r="J1691" s="146"/>
      <c r="K1691" s="146"/>
      <c r="L1691" s="146"/>
      <c r="M1691" s="146"/>
      <c r="N1691" s="146"/>
      <c r="O1691" s="146"/>
      <c r="P1691" s="146"/>
      <c r="Q1691" s="146"/>
      <c r="R1691" s="146"/>
      <c r="S1691" s="146"/>
      <c r="T1691" s="146"/>
      <c r="U1691" s="146"/>
      <c r="V1691" s="146"/>
      <c r="W1691" s="146"/>
      <c r="X1691" s="146"/>
      <c r="Y1691" s="146"/>
      <c r="Z1691" s="146"/>
      <c r="AA1691" s="146"/>
      <c r="AB1691" s="146"/>
      <c r="AC1691" s="146"/>
      <c r="AD1691" s="146"/>
      <c r="AE1691" s="146"/>
      <c r="AF1691" s="146"/>
      <c r="AG1691" s="146"/>
      <c r="AH1691" s="146"/>
      <c r="AI1691" s="146"/>
      <c r="AJ1691" s="146"/>
    </row>
    <row r="1692" spans="1:36" x14ac:dyDescent="0.3">
      <c r="A1692" s="140"/>
      <c r="B1692" s="140"/>
      <c r="C1692" s="140"/>
      <c r="D1692" s="140"/>
      <c r="E1692" s="146"/>
      <c r="F1692" s="146"/>
      <c r="G1692" s="146"/>
      <c r="H1692" s="146"/>
      <c r="I1692" s="146"/>
      <c r="J1692" s="146"/>
      <c r="K1692" s="146"/>
      <c r="L1692" s="146"/>
      <c r="M1692" s="146"/>
      <c r="N1692" s="146"/>
      <c r="O1692" s="146"/>
      <c r="P1692" s="146"/>
      <c r="Q1692" s="146"/>
      <c r="R1692" s="146"/>
      <c r="S1692" s="146"/>
      <c r="T1692" s="146"/>
      <c r="U1692" s="146"/>
      <c r="V1692" s="146"/>
      <c r="W1692" s="146"/>
      <c r="X1692" s="146"/>
      <c r="Y1692" s="146"/>
      <c r="Z1692" s="146"/>
      <c r="AA1692" s="146"/>
      <c r="AB1692" s="146"/>
      <c r="AC1692" s="146"/>
      <c r="AD1692" s="146"/>
      <c r="AE1692" s="146"/>
      <c r="AF1692" s="146"/>
      <c r="AG1692" s="146"/>
      <c r="AH1692" s="146"/>
      <c r="AI1692" s="146"/>
      <c r="AJ1692" s="146"/>
    </row>
    <row r="1693" spans="1:36" x14ac:dyDescent="0.3">
      <c r="B1693" s="146"/>
      <c r="C1693" s="146"/>
      <c r="D1693" s="146"/>
      <c r="E1693" s="146"/>
      <c r="F1693" s="146"/>
      <c r="G1693" s="146"/>
      <c r="H1693" s="146"/>
      <c r="I1693" s="146"/>
      <c r="J1693" s="146"/>
      <c r="K1693" s="146"/>
      <c r="L1693" s="146"/>
      <c r="M1693" s="146"/>
      <c r="N1693" s="146"/>
      <c r="O1693" s="146"/>
      <c r="P1693" s="146"/>
      <c r="Q1693" s="146"/>
      <c r="R1693" s="146"/>
      <c r="S1693" s="146"/>
      <c r="T1693" s="146"/>
      <c r="U1693" s="146"/>
      <c r="V1693" s="146"/>
      <c r="W1693" s="146"/>
      <c r="X1693" s="146"/>
      <c r="Y1693" s="146"/>
      <c r="Z1693" s="146"/>
      <c r="AA1693" s="146"/>
      <c r="AB1693" s="146"/>
      <c r="AC1693" s="146"/>
      <c r="AD1693" s="146"/>
      <c r="AE1693" s="146"/>
      <c r="AF1693" s="146"/>
      <c r="AG1693" s="146"/>
      <c r="AH1693" s="146"/>
      <c r="AI1693" s="146"/>
      <c r="AJ1693" s="146"/>
    </row>
    <row r="1694" spans="1:36" x14ac:dyDescent="0.3">
      <c r="B1694" s="146"/>
      <c r="C1694" s="146"/>
      <c r="D1694" s="146"/>
      <c r="E1694" s="146"/>
      <c r="F1694" s="146"/>
      <c r="G1694" s="146"/>
      <c r="H1694" s="146"/>
      <c r="I1694" s="146"/>
      <c r="J1694" s="146"/>
      <c r="K1694" s="146"/>
      <c r="L1694" s="146"/>
      <c r="M1694" s="146"/>
      <c r="N1694" s="146"/>
      <c r="O1694" s="146"/>
      <c r="P1694" s="146"/>
      <c r="Q1694" s="146"/>
      <c r="R1694" s="146"/>
      <c r="S1694" s="146"/>
      <c r="T1694" s="146"/>
      <c r="U1694" s="146"/>
      <c r="V1694" s="146"/>
      <c r="W1694" s="146"/>
      <c r="X1694" s="146"/>
      <c r="Y1694" s="146"/>
      <c r="Z1694" s="146"/>
      <c r="AA1694" s="146"/>
      <c r="AB1694" s="146"/>
      <c r="AC1694" s="146"/>
      <c r="AD1694" s="146"/>
      <c r="AE1694" s="146"/>
      <c r="AF1694" s="146"/>
      <c r="AG1694" s="146"/>
      <c r="AH1694" s="146"/>
      <c r="AI1694" s="146"/>
      <c r="AJ1694" s="146"/>
    </row>
    <row r="1695" spans="1:36" x14ac:dyDescent="0.3">
      <c r="B1695" s="146"/>
      <c r="C1695" s="146"/>
      <c r="D1695" s="146"/>
      <c r="E1695" s="146"/>
      <c r="F1695" s="146"/>
      <c r="G1695" s="146"/>
      <c r="H1695" s="146"/>
      <c r="I1695" s="146"/>
      <c r="J1695" s="146"/>
      <c r="K1695" s="146"/>
      <c r="L1695" s="146"/>
      <c r="M1695" s="146"/>
      <c r="N1695" s="146"/>
      <c r="O1695" s="146"/>
      <c r="P1695" s="146"/>
      <c r="Q1695" s="146"/>
      <c r="R1695" s="146"/>
      <c r="S1695" s="146"/>
      <c r="T1695" s="146"/>
      <c r="U1695" s="146"/>
      <c r="V1695" s="146"/>
      <c r="W1695" s="146"/>
      <c r="X1695" s="146"/>
      <c r="Y1695" s="146"/>
      <c r="Z1695" s="146"/>
      <c r="AA1695" s="146"/>
      <c r="AB1695" s="146"/>
      <c r="AC1695" s="146"/>
      <c r="AD1695" s="146"/>
      <c r="AE1695" s="146"/>
      <c r="AF1695" s="146"/>
      <c r="AG1695" s="146"/>
      <c r="AH1695" s="146"/>
      <c r="AI1695" s="146"/>
      <c r="AJ1695" s="146"/>
    </row>
    <row r="1696" spans="1:36" x14ac:dyDescent="0.3">
      <c r="B1696" s="146"/>
      <c r="C1696" s="146"/>
      <c r="D1696" s="146"/>
      <c r="E1696" s="146"/>
      <c r="F1696" s="146"/>
      <c r="G1696" s="146"/>
      <c r="H1696" s="146"/>
      <c r="I1696" s="146"/>
      <c r="J1696" s="146"/>
      <c r="K1696" s="146"/>
      <c r="L1696" s="146"/>
      <c r="M1696" s="146"/>
      <c r="N1696" s="146"/>
      <c r="O1696" s="146"/>
      <c r="P1696" s="146"/>
      <c r="Q1696" s="146"/>
      <c r="R1696" s="146"/>
      <c r="S1696" s="146"/>
      <c r="T1696" s="146"/>
      <c r="U1696" s="146"/>
      <c r="V1696" s="146"/>
      <c r="W1696" s="146"/>
      <c r="X1696" s="146"/>
      <c r="Y1696" s="146"/>
      <c r="Z1696" s="146"/>
      <c r="AA1696" s="146"/>
      <c r="AB1696" s="146"/>
      <c r="AC1696" s="146"/>
      <c r="AD1696" s="146"/>
      <c r="AE1696" s="146"/>
      <c r="AF1696" s="146"/>
      <c r="AG1696" s="146"/>
      <c r="AH1696" s="146"/>
      <c r="AI1696" s="146"/>
      <c r="AJ1696" s="146"/>
    </row>
    <row r="1697" spans="2:52" x14ac:dyDescent="0.3">
      <c r="B1697" s="146"/>
      <c r="C1697" s="146"/>
      <c r="D1697" s="146"/>
      <c r="E1697" s="146"/>
      <c r="F1697" s="146"/>
      <c r="G1697" s="146"/>
      <c r="H1697" s="146"/>
      <c r="I1697" s="146"/>
      <c r="J1697" s="146"/>
      <c r="K1697" s="146"/>
      <c r="L1697" s="146"/>
      <c r="M1697" s="146"/>
      <c r="N1697" s="146"/>
      <c r="O1697" s="146"/>
      <c r="P1697" s="146"/>
      <c r="Q1697" s="146"/>
      <c r="R1697" s="146"/>
      <c r="S1697" s="146"/>
      <c r="T1697" s="146"/>
      <c r="U1697" s="146"/>
      <c r="V1697" s="146"/>
      <c r="W1697" s="146"/>
      <c r="X1697" s="146"/>
      <c r="Y1697" s="146"/>
      <c r="Z1697" s="146"/>
      <c r="AA1697" s="146"/>
      <c r="AB1697" s="146"/>
      <c r="AC1697" s="146"/>
      <c r="AD1697" s="146"/>
      <c r="AE1697" s="146"/>
      <c r="AF1697" s="146"/>
      <c r="AG1697" s="146"/>
      <c r="AH1697" s="146"/>
      <c r="AI1697" s="146"/>
      <c r="AJ1697" s="146"/>
    </row>
    <row r="1698" spans="2:52" x14ac:dyDescent="0.3">
      <c r="B1698" s="146"/>
      <c r="C1698" s="146"/>
      <c r="D1698" s="146"/>
      <c r="E1698" s="146"/>
      <c r="F1698" s="146"/>
      <c r="G1698" s="146"/>
      <c r="H1698" s="146"/>
      <c r="I1698" s="146"/>
      <c r="J1698" s="146"/>
      <c r="K1698" s="146"/>
      <c r="L1698" s="146"/>
      <c r="M1698" s="146"/>
      <c r="N1698" s="146"/>
      <c r="O1698" s="146"/>
      <c r="P1698" s="146"/>
      <c r="Q1698" s="146"/>
      <c r="R1698" s="146"/>
      <c r="S1698" s="146"/>
      <c r="T1698" s="146"/>
      <c r="U1698" s="146"/>
      <c r="V1698" s="146"/>
      <c r="W1698" s="146"/>
      <c r="X1698" s="146"/>
      <c r="Y1698" s="146"/>
      <c r="Z1698" s="146"/>
      <c r="AA1698" s="146"/>
      <c r="AB1698" s="146"/>
      <c r="AC1698" s="146"/>
      <c r="AD1698" s="146"/>
      <c r="AE1698" s="146"/>
      <c r="AF1698" s="146"/>
      <c r="AG1698" s="146"/>
      <c r="AH1698" s="146"/>
      <c r="AI1698" s="146"/>
      <c r="AJ1698" s="146"/>
    </row>
    <row r="1699" spans="2:52" x14ac:dyDescent="0.3">
      <c r="B1699" s="146"/>
      <c r="C1699" s="146"/>
      <c r="D1699" s="146"/>
      <c r="E1699" s="146"/>
      <c r="F1699" s="146"/>
      <c r="G1699" s="146"/>
      <c r="H1699" s="146"/>
      <c r="I1699" s="146"/>
      <c r="J1699" s="146"/>
      <c r="K1699" s="146"/>
      <c r="L1699" s="146"/>
      <c r="M1699" s="146"/>
      <c r="N1699" s="146"/>
      <c r="O1699" s="146"/>
      <c r="P1699" s="146"/>
      <c r="Q1699" s="146"/>
      <c r="R1699" s="146"/>
      <c r="S1699" s="146"/>
      <c r="T1699" s="146"/>
      <c r="U1699" s="146"/>
      <c r="V1699" s="146"/>
      <c r="W1699" s="146"/>
      <c r="X1699" s="146"/>
      <c r="Y1699" s="146"/>
      <c r="Z1699" s="146"/>
      <c r="AA1699" s="146"/>
      <c r="AB1699" s="146"/>
      <c r="AC1699" s="146"/>
      <c r="AD1699" s="146"/>
      <c r="AE1699" s="146"/>
      <c r="AF1699" s="146"/>
      <c r="AG1699" s="146"/>
      <c r="AH1699" s="146"/>
      <c r="AI1699" s="146"/>
      <c r="AJ1699" s="146"/>
    </row>
    <row r="1700" spans="2:52" x14ac:dyDescent="0.3">
      <c r="B1700" s="146"/>
      <c r="C1700" s="146"/>
      <c r="D1700" s="146"/>
      <c r="E1700" s="146"/>
      <c r="F1700" s="146"/>
      <c r="G1700" s="146"/>
      <c r="H1700" s="146"/>
      <c r="I1700" s="146"/>
      <c r="J1700" s="146"/>
      <c r="K1700" s="146"/>
      <c r="L1700" s="146"/>
      <c r="M1700" s="146"/>
      <c r="N1700" s="146"/>
      <c r="O1700" s="146"/>
      <c r="P1700" s="146"/>
      <c r="Q1700" s="146"/>
      <c r="R1700" s="146"/>
      <c r="S1700" s="146"/>
      <c r="T1700" s="146"/>
      <c r="U1700" s="146"/>
      <c r="V1700" s="146"/>
      <c r="W1700" s="146"/>
      <c r="X1700" s="146"/>
      <c r="Y1700" s="146"/>
      <c r="Z1700" s="146"/>
      <c r="AA1700" s="146"/>
      <c r="AB1700" s="146"/>
      <c r="AC1700" s="146"/>
      <c r="AD1700" s="146"/>
      <c r="AE1700" s="146"/>
      <c r="AF1700" s="146"/>
      <c r="AG1700" s="146"/>
      <c r="AH1700" s="146"/>
      <c r="AI1700" s="146"/>
      <c r="AJ1700" s="146"/>
    </row>
    <row r="1701" spans="2:52" x14ac:dyDescent="0.3">
      <c r="B1701" s="146"/>
      <c r="C1701" s="146"/>
      <c r="D1701" s="146"/>
      <c r="E1701" s="146"/>
      <c r="F1701" s="146"/>
      <c r="G1701" s="146"/>
      <c r="H1701" s="146"/>
      <c r="I1701" s="146"/>
      <c r="J1701" s="146"/>
      <c r="K1701" s="146"/>
      <c r="L1701" s="146"/>
      <c r="M1701" s="146"/>
      <c r="N1701" s="146"/>
      <c r="O1701" s="146"/>
      <c r="P1701" s="146"/>
      <c r="Q1701" s="146"/>
      <c r="R1701" s="146"/>
      <c r="S1701" s="146"/>
      <c r="T1701" s="146"/>
      <c r="U1701" s="146"/>
      <c r="V1701" s="146"/>
      <c r="W1701" s="146"/>
      <c r="X1701" s="146"/>
      <c r="Y1701" s="146"/>
      <c r="Z1701" s="146"/>
      <c r="AA1701" s="146"/>
      <c r="AB1701" s="146"/>
      <c r="AC1701" s="146"/>
      <c r="AD1701" s="146"/>
      <c r="AE1701" s="146"/>
      <c r="AF1701" s="146"/>
      <c r="AG1701" s="146"/>
      <c r="AH1701" s="146"/>
      <c r="AI1701" s="146"/>
      <c r="AJ1701" s="146"/>
    </row>
    <row r="1702" spans="2:52" s="160" customFormat="1" ht="15" thickBot="1" x14ac:dyDescent="0.35">
      <c r="B1702" s="140"/>
      <c r="AX1702"/>
    </row>
    <row r="1703" spans="2:52" x14ac:dyDescent="0.3">
      <c r="B1703" s="146"/>
      <c r="C1703" s="146"/>
      <c r="D1703" s="146"/>
    </row>
    <row r="1704" spans="2:52" x14ac:dyDescent="0.3">
      <c r="B1704" s="146"/>
      <c r="C1704" s="146"/>
      <c r="D1704" s="146"/>
    </row>
    <row r="1705" spans="2:52" x14ac:dyDescent="0.3">
      <c r="B1705" s="146"/>
      <c r="C1705" s="146"/>
      <c r="D1705" s="146"/>
    </row>
    <row r="1706" spans="2:52" x14ac:dyDescent="0.3">
      <c r="B1706" s="146"/>
      <c r="C1706" s="146"/>
      <c r="D1706" s="146"/>
    </row>
    <row r="1707" spans="2:52" x14ac:dyDescent="0.3">
      <c r="B1707" s="146"/>
      <c r="C1707" s="146"/>
      <c r="D1707" s="146"/>
    </row>
    <row r="1708" spans="2:52" x14ac:dyDescent="0.3">
      <c r="B1708" s="146"/>
      <c r="C1708" s="146"/>
      <c r="D1708" s="146"/>
    </row>
    <row r="1709" spans="2:52" x14ac:dyDescent="0.3">
      <c r="B1709" s="146"/>
      <c r="C1709" s="146"/>
      <c r="D1709" s="146"/>
    </row>
    <row r="1710" spans="2:52" x14ac:dyDescent="0.3">
      <c r="B1710" s="146"/>
      <c r="C1710" s="146"/>
      <c r="D1710" s="146"/>
    </row>
    <row r="1711" spans="2:52" x14ac:dyDescent="0.3">
      <c r="B1711" s="146"/>
      <c r="C1711" s="146"/>
      <c r="D1711" s="146"/>
    </row>
    <row r="1712" spans="2:52" s="140" customFormat="1" x14ac:dyDescent="0.3">
      <c r="C1712" s="146"/>
      <c r="AX1712"/>
      <c r="AZ1712"/>
    </row>
    <row r="1713" spans="2:53" x14ac:dyDescent="0.3">
      <c r="B1713" s="146"/>
      <c r="C1713" s="146"/>
      <c r="D1713" s="146"/>
      <c r="BA1713" s="198"/>
    </row>
    <row r="1714" spans="2:53" x14ac:dyDescent="0.3">
      <c r="B1714" s="146"/>
      <c r="C1714" s="146"/>
      <c r="D1714" s="146"/>
    </row>
    <row r="1715" spans="2:53" x14ac:dyDescent="0.3">
      <c r="B1715" s="146"/>
      <c r="C1715" s="146"/>
      <c r="D1715" s="146"/>
    </row>
    <row r="1716" spans="2:53" x14ac:dyDescent="0.3">
      <c r="B1716" s="146"/>
      <c r="C1716" s="146"/>
      <c r="D1716" s="146"/>
    </row>
    <row r="1717" spans="2:53" x14ac:dyDescent="0.3">
      <c r="B1717" s="146"/>
      <c r="C1717" s="146"/>
      <c r="D1717" s="146"/>
    </row>
    <row r="1718" spans="2:53" x14ac:dyDescent="0.3">
      <c r="B1718" s="146"/>
      <c r="C1718" s="146"/>
      <c r="D1718" s="146"/>
    </row>
    <row r="1719" spans="2:53" x14ac:dyDescent="0.3">
      <c r="B1719" s="146"/>
      <c r="C1719" s="146"/>
      <c r="D1719" s="146"/>
    </row>
    <row r="1720" spans="2:53" x14ac:dyDescent="0.3">
      <c r="B1720" s="146"/>
      <c r="C1720" s="146"/>
      <c r="D1720" s="146"/>
    </row>
    <row r="1721" spans="2:53" x14ac:dyDescent="0.3">
      <c r="B1721" s="146"/>
      <c r="C1721" s="146"/>
      <c r="D1721" s="146"/>
    </row>
    <row r="1722" spans="2:53" s="140" customFormat="1" x14ac:dyDescent="0.3">
      <c r="C1722" s="146"/>
      <c r="AX1722"/>
      <c r="AZ1722"/>
    </row>
    <row r="1723" spans="2:53" x14ac:dyDescent="0.3">
      <c r="B1723" s="146"/>
      <c r="C1723" s="146"/>
      <c r="D1723" s="146"/>
    </row>
    <row r="1724" spans="2:53" x14ac:dyDescent="0.3">
      <c r="B1724" s="146"/>
      <c r="C1724" s="146"/>
      <c r="D1724" s="146"/>
    </row>
    <row r="1725" spans="2:53" x14ac:dyDescent="0.3">
      <c r="B1725" s="146"/>
      <c r="C1725" s="146"/>
      <c r="D1725" s="146"/>
    </row>
    <row r="1726" spans="2:53" x14ac:dyDescent="0.3">
      <c r="B1726" s="146"/>
      <c r="C1726" s="146"/>
      <c r="D1726" s="146"/>
    </row>
    <row r="1727" spans="2:53" x14ac:dyDescent="0.3">
      <c r="B1727" s="146"/>
      <c r="C1727" s="146"/>
      <c r="D1727" s="146"/>
    </row>
    <row r="1728" spans="2:53" x14ac:dyDescent="0.3">
      <c r="B1728" s="146"/>
      <c r="C1728" s="146"/>
      <c r="D1728" s="146"/>
    </row>
    <row r="1729" spans="2:52" x14ac:dyDescent="0.3">
      <c r="B1729" s="146"/>
      <c r="C1729" s="146"/>
      <c r="D1729" s="146"/>
    </row>
    <row r="1730" spans="2:52" x14ac:dyDescent="0.3">
      <c r="B1730" s="146"/>
      <c r="C1730" s="146"/>
      <c r="D1730" s="146"/>
    </row>
    <row r="1731" spans="2:52" x14ac:dyDescent="0.3">
      <c r="B1731" s="146"/>
      <c r="C1731" s="146"/>
      <c r="D1731" s="146"/>
    </row>
    <row r="1732" spans="2:52" s="140" customFormat="1" x14ac:dyDescent="0.3">
      <c r="C1732" s="146"/>
      <c r="AX1732"/>
      <c r="AZ1732"/>
    </row>
    <row r="1733" spans="2:52" x14ac:dyDescent="0.3">
      <c r="B1733" s="146"/>
      <c r="C1733" s="146"/>
      <c r="D1733" s="146"/>
    </row>
    <row r="1734" spans="2:52" x14ac:dyDescent="0.3">
      <c r="B1734" s="146"/>
      <c r="C1734" s="146"/>
      <c r="D1734" s="146"/>
    </row>
    <row r="1735" spans="2:52" x14ac:dyDescent="0.3">
      <c r="B1735" s="146"/>
      <c r="C1735" s="146"/>
      <c r="D1735" s="146"/>
    </row>
    <row r="1736" spans="2:52" x14ac:dyDescent="0.3">
      <c r="B1736" s="146"/>
      <c r="C1736" s="146"/>
      <c r="D1736" s="146"/>
    </row>
    <row r="1737" spans="2:52" x14ac:dyDescent="0.3">
      <c r="B1737" s="146"/>
      <c r="C1737" s="146"/>
      <c r="D1737" s="146"/>
    </row>
    <row r="1738" spans="2:52" x14ac:dyDescent="0.3">
      <c r="B1738" s="146"/>
      <c r="C1738" s="146"/>
      <c r="D1738" s="146"/>
    </row>
    <row r="1739" spans="2:52" x14ac:dyDescent="0.3">
      <c r="B1739" s="146"/>
      <c r="C1739" s="146"/>
      <c r="D1739" s="146"/>
    </row>
    <row r="1740" spans="2:52" x14ac:dyDescent="0.3">
      <c r="B1740" s="146"/>
      <c r="C1740" s="146"/>
      <c r="D1740" s="146"/>
    </row>
    <row r="1741" spans="2:52" x14ac:dyDescent="0.3">
      <c r="B1741" s="146"/>
      <c r="C1741" s="146"/>
      <c r="D1741" s="146"/>
    </row>
    <row r="1742" spans="2:52" s="140" customFormat="1" x14ac:dyDescent="0.3">
      <c r="C1742" s="146"/>
      <c r="AX1742"/>
      <c r="AZ1742"/>
    </row>
    <row r="1743" spans="2:52" x14ac:dyDescent="0.3">
      <c r="B1743" s="146"/>
      <c r="C1743" s="146"/>
      <c r="D1743" s="146"/>
    </row>
    <row r="1744" spans="2:52" x14ac:dyDescent="0.3">
      <c r="B1744" s="146"/>
      <c r="C1744" s="146"/>
      <c r="D1744" s="146"/>
    </row>
    <row r="1745" spans="2:52" x14ac:dyDescent="0.3">
      <c r="B1745" s="146"/>
      <c r="C1745" s="146"/>
      <c r="D1745" s="146"/>
    </row>
    <row r="1746" spans="2:52" x14ac:dyDescent="0.3">
      <c r="B1746" s="146"/>
      <c r="C1746" s="146"/>
      <c r="D1746" s="146"/>
    </row>
    <row r="1747" spans="2:52" x14ac:dyDescent="0.3">
      <c r="B1747" s="146"/>
      <c r="C1747" s="146"/>
      <c r="D1747" s="146"/>
    </row>
    <row r="1748" spans="2:52" x14ac:dyDescent="0.3">
      <c r="B1748" s="146"/>
      <c r="C1748" s="146"/>
      <c r="D1748" s="146"/>
    </row>
    <row r="1749" spans="2:52" x14ac:dyDescent="0.3">
      <c r="B1749" s="146"/>
      <c r="C1749" s="146"/>
      <c r="D1749" s="146"/>
    </row>
    <row r="1750" spans="2:52" x14ac:dyDescent="0.3">
      <c r="B1750" s="146"/>
      <c r="C1750" s="146"/>
      <c r="D1750" s="146"/>
    </row>
    <row r="1751" spans="2:52" x14ac:dyDescent="0.3">
      <c r="B1751" s="146"/>
      <c r="C1751" s="146"/>
      <c r="D1751" s="146"/>
    </row>
    <row r="1752" spans="2:52" s="140" customFormat="1" x14ac:dyDescent="0.3">
      <c r="C1752" s="146"/>
      <c r="AX1752"/>
      <c r="AZ1752"/>
    </row>
    <row r="1753" spans="2:52" x14ac:dyDescent="0.3">
      <c r="B1753" s="146"/>
      <c r="C1753" s="146"/>
      <c r="D1753" s="146"/>
    </row>
    <row r="1754" spans="2:52" x14ac:dyDescent="0.3">
      <c r="B1754" s="146"/>
      <c r="C1754" s="146"/>
      <c r="D1754" s="146"/>
    </row>
    <row r="1755" spans="2:52" x14ac:dyDescent="0.3">
      <c r="B1755" s="146"/>
      <c r="C1755" s="146"/>
      <c r="D1755" s="146"/>
    </row>
    <row r="1756" spans="2:52" x14ac:dyDescent="0.3">
      <c r="B1756" s="146"/>
      <c r="C1756" s="146"/>
      <c r="D1756" s="146"/>
    </row>
    <row r="1757" spans="2:52" x14ac:dyDescent="0.3">
      <c r="B1757" s="146"/>
      <c r="C1757" s="146"/>
      <c r="D1757" s="146"/>
    </row>
    <row r="1758" spans="2:52" x14ac:dyDescent="0.3">
      <c r="B1758" s="146"/>
      <c r="C1758" s="146"/>
      <c r="D1758" s="146"/>
    </row>
    <row r="1759" spans="2:52" x14ac:dyDescent="0.3">
      <c r="B1759" s="146"/>
      <c r="C1759" s="146"/>
      <c r="D1759" s="146"/>
    </row>
    <row r="1760" spans="2:52" x14ac:dyDescent="0.3">
      <c r="B1760" s="146"/>
      <c r="C1760" s="146"/>
      <c r="D1760" s="146"/>
    </row>
    <row r="1761" spans="2:52" x14ac:dyDescent="0.3">
      <c r="B1761" s="146"/>
      <c r="C1761" s="146"/>
      <c r="D1761" s="146"/>
    </row>
    <row r="1762" spans="2:52" s="140" customFormat="1" x14ac:dyDescent="0.3">
      <c r="C1762" s="146"/>
      <c r="AX1762"/>
      <c r="AZ1762"/>
    </row>
    <row r="1763" spans="2:52" x14ac:dyDescent="0.3">
      <c r="B1763" s="146"/>
      <c r="C1763" s="146"/>
      <c r="D1763" s="146"/>
    </row>
    <row r="1764" spans="2:52" x14ac:dyDescent="0.3">
      <c r="B1764" s="146"/>
      <c r="C1764" s="146"/>
      <c r="D1764" s="146"/>
    </row>
    <row r="1765" spans="2:52" x14ac:dyDescent="0.3">
      <c r="B1765" s="146"/>
      <c r="C1765" s="146"/>
      <c r="D1765" s="146"/>
    </row>
    <row r="1766" spans="2:52" x14ac:dyDescent="0.3">
      <c r="B1766" s="146"/>
      <c r="C1766" s="146"/>
      <c r="D1766" s="146"/>
    </row>
    <row r="1767" spans="2:52" x14ac:dyDescent="0.3">
      <c r="B1767" s="146"/>
      <c r="C1767" s="146"/>
      <c r="D1767" s="146"/>
    </row>
    <row r="1768" spans="2:52" x14ac:dyDescent="0.3">
      <c r="B1768" s="146"/>
      <c r="C1768" s="146"/>
      <c r="D1768" s="146"/>
    </row>
    <row r="1769" spans="2:52" x14ac:dyDescent="0.3">
      <c r="B1769" s="146"/>
      <c r="C1769" s="146"/>
      <c r="D1769" s="146"/>
    </row>
    <row r="1770" spans="2:52" x14ac:dyDescent="0.3">
      <c r="B1770" s="146"/>
      <c r="C1770" s="146"/>
      <c r="D1770" s="146"/>
    </row>
    <row r="1771" spans="2:52" x14ac:dyDescent="0.3">
      <c r="B1771" s="146"/>
      <c r="C1771" s="146"/>
      <c r="D1771" s="146"/>
    </row>
    <row r="1772" spans="2:52" s="140" customFormat="1" x14ac:dyDescent="0.3">
      <c r="C1772" s="146"/>
      <c r="AX1772"/>
      <c r="AZ1772"/>
    </row>
    <row r="1773" spans="2:52" x14ac:dyDescent="0.3">
      <c r="B1773" s="146"/>
      <c r="C1773" s="146"/>
      <c r="D1773" s="146"/>
    </row>
    <row r="1774" spans="2:52" x14ac:dyDescent="0.3">
      <c r="B1774" s="146"/>
      <c r="C1774" s="146"/>
      <c r="D1774" s="146"/>
    </row>
    <row r="1775" spans="2:52" x14ac:dyDescent="0.3">
      <c r="B1775" s="146"/>
      <c r="C1775" s="146"/>
      <c r="D1775" s="146"/>
    </row>
    <row r="1776" spans="2:52" x14ac:dyDescent="0.3">
      <c r="B1776" s="146"/>
      <c r="C1776" s="146"/>
      <c r="D1776" s="146"/>
    </row>
    <row r="1777" spans="2:52" x14ac:dyDescent="0.3">
      <c r="B1777" s="146"/>
      <c r="C1777" s="146"/>
      <c r="D1777" s="146"/>
    </row>
    <row r="1778" spans="2:52" x14ac:dyDescent="0.3">
      <c r="B1778" s="146"/>
      <c r="C1778" s="146"/>
      <c r="D1778" s="146"/>
    </row>
    <row r="1779" spans="2:52" x14ac:dyDescent="0.3">
      <c r="B1779" s="146"/>
      <c r="C1779" s="146"/>
      <c r="D1779" s="146"/>
    </row>
    <row r="1780" spans="2:52" x14ac:dyDescent="0.3">
      <c r="B1780" s="146"/>
      <c r="C1780" s="146"/>
      <c r="D1780" s="146"/>
    </row>
    <row r="1781" spans="2:52" x14ac:dyDescent="0.3">
      <c r="B1781" s="146"/>
      <c r="C1781" s="146"/>
      <c r="D1781" s="146"/>
    </row>
    <row r="1782" spans="2:52" s="140" customFormat="1" x14ac:dyDescent="0.3">
      <c r="C1782" s="146"/>
      <c r="AX1782"/>
      <c r="AZ1782"/>
    </row>
    <row r="1783" spans="2:52" x14ac:dyDescent="0.3">
      <c r="B1783" s="146"/>
      <c r="C1783" s="146"/>
      <c r="D1783" s="146"/>
    </row>
    <row r="1784" spans="2:52" x14ac:dyDescent="0.3">
      <c r="B1784" s="146"/>
      <c r="C1784" s="146"/>
      <c r="D1784" s="146"/>
    </row>
    <row r="1785" spans="2:52" x14ac:dyDescent="0.3">
      <c r="B1785" s="146"/>
      <c r="C1785" s="146"/>
      <c r="D1785" s="146"/>
    </row>
    <row r="1786" spans="2:52" x14ac:dyDescent="0.3">
      <c r="B1786" s="146"/>
      <c r="C1786" s="146"/>
      <c r="D1786" s="146"/>
    </row>
    <row r="1787" spans="2:52" x14ac:dyDescent="0.3">
      <c r="B1787" s="146"/>
      <c r="C1787" s="146"/>
      <c r="D1787" s="146"/>
    </row>
    <row r="1788" spans="2:52" x14ac:dyDescent="0.3">
      <c r="B1788" s="146"/>
      <c r="C1788" s="146"/>
      <c r="D1788" s="146"/>
    </row>
    <row r="1789" spans="2:52" x14ac:dyDescent="0.3">
      <c r="B1789" s="146"/>
      <c r="C1789" s="146"/>
      <c r="D1789" s="146"/>
    </row>
    <row r="1790" spans="2:52" x14ac:dyDescent="0.3">
      <c r="B1790" s="146"/>
      <c r="C1790" s="146"/>
      <c r="D1790" s="146"/>
    </row>
    <row r="1791" spans="2:52" x14ac:dyDescent="0.3">
      <c r="B1791" s="146"/>
      <c r="C1791" s="146"/>
      <c r="D1791" s="146"/>
    </row>
    <row r="1792" spans="2:52" s="140" customFormat="1" x14ac:dyDescent="0.3">
      <c r="C1792" s="146"/>
      <c r="AX1792"/>
      <c r="AZ1792"/>
    </row>
    <row r="1793" spans="2:52" x14ac:dyDescent="0.3">
      <c r="B1793" s="146"/>
      <c r="C1793" s="146"/>
      <c r="D1793" s="146"/>
    </row>
    <row r="1794" spans="2:52" x14ac:dyDescent="0.3">
      <c r="B1794" s="146"/>
      <c r="C1794" s="146"/>
      <c r="D1794" s="146"/>
    </row>
    <row r="1795" spans="2:52" x14ac:dyDescent="0.3">
      <c r="B1795" s="146"/>
      <c r="C1795" s="146"/>
      <c r="D1795" s="146"/>
    </row>
    <row r="1796" spans="2:52" x14ac:dyDescent="0.3">
      <c r="B1796" s="146"/>
      <c r="C1796" s="146"/>
      <c r="D1796" s="146"/>
    </row>
    <row r="1797" spans="2:52" x14ac:dyDescent="0.3">
      <c r="B1797" s="146"/>
      <c r="C1797" s="146"/>
      <c r="D1797" s="146"/>
    </row>
    <row r="1798" spans="2:52" x14ac:dyDescent="0.3">
      <c r="B1798" s="146"/>
      <c r="C1798" s="146"/>
      <c r="D1798" s="146"/>
    </row>
    <row r="1799" spans="2:52" x14ac:dyDescent="0.3">
      <c r="B1799" s="146"/>
      <c r="C1799" s="146"/>
      <c r="D1799" s="146"/>
    </row>
    <row r="1800" spans="2:52" x14ac:dyDescent="0.3">
      <c r="B1800" s="146"/>
      <c r="C1800" s="146"/>
      <c r="D1800" s="146"/>
    </row>
    <row r="1801" spans="2:52" x14ac:dyDescent="0.3">
      <c r="B1801" s="146"/>
      <c r="C1801" s="146"/>
      <c r="D1801" s="146"/>
    </row>
    <row r="1802" spans="2:52" s="160" customFormat="1" ht="15" thickBot="1" x14ac:dyDescent="0.35">
      <c r="B1802" s="140"/>
      <c r="AX1802"/>
      <c r="AZ1802"/>
    </row>
    <row r="1803" spans="2:52" x14ac:dyDescent="0.3">
      <c r="B1803" s="146"/>
      <c r="C1803" s="146"/>
      <c r="D1803" s="146"/>
    </row>
    <row r="1804" spans="2:52" x14ac:dyDescent="0.3">
      <c r="B1804" s="146"/>
      <c r="C1804" s="146"/>
      <c r="D1804" s="146"/>
    </row>
    <row r="1805" spans="2:52" x14ac:dyDescent="0.3">
      <c r="B1805" s="146"/>
      <c r="C1805" s="146"/>
      <c r="D1805" s="146"/>
      <c r="E1805" s="146"/>
      <c r="F1805" s="146"/>
      <c r="G1805" s="146"/>
      <c r="H1805" s="146"/>
      <c r="I1805" s="146"/>
      <c r="J1805" s="146"/>
      <c r="K1805" s="146"/>
      <c r="L1805" s="146"/>
      <c r="M1805" s="146"/>
      <c r="N1805" s="146"/>
      <c r="O1805" s="146"/>
      <c r="P1805" s="146"/>
      <c r="Q1805" s="146"/>
      <c r="R1805" s="146"/>
      <c r="S1805" s="146"/>
      <c r="T1805" s="146"/>
      <c r="U1805" s="146"/>
      <c r="V1805" s="146"/>
      <c r="W1805" s="146"/>
      <c r="X1805" s="146"/>
      <c r="Y1805" s="146"/>
      <c r="Z1805" s="146"/>
      <c r="AA1805" s="146"/>
      <c r="AB1805" s="146"/>
      <c r="AC1805" s="146"/>
      <c r="AD1805" s="146"/>
      <c r="AE1805" s="146"/>
      <c r="AF1805" s="146"/>
      <c r="AG1805" s="146"/>
      <c r="AH1805" s="146"/>
      <c r="AI1805" s="146"/>
      <c r="AJ1805" s="146"/>
      <c r="AK1805" s="146"/>
      <c r="AL1805" s="146"/>
      <c r="AM1805" s="146"/>
      <c r="AN1805" s="146"/>
      <c r="AO1805" s="146"/>
      <c r="AP1805" s="146"/>
    </row>
    <row r="1806" spans="2:52" x14ac:dyDescent="0.3">
      <c r="B1806" s="146"/>
      <c r="C1806" s="146"/>
      <c r="D1806" s="146"/>
      <c r="E1806" s="146"/>
      <c r="F1806" s="146"/>
      <c r="G1806" s="146"/>
      <c r="H1806" s="146"/>
      <c r="I1806" s="146"/>
      <c r="J1806" s="146"/>
      <c r="K1806" s="146"/>
      <c r="L1806" s="146"/>
      <c r="M1806" s="146"/>
      <c r="N1806" s="146"/>
      <c r="O1806" s="146"/>
      <c r="P1806" s="146"/>
      <c r="Q1806" s="146"/>
      <c r="R1806" s="146"/>
      <c r="S1806" s="146"/>
      <c r="T1806" s="146"/>
      <c r="U1806" s="146"/>
      <c r="V1806" s="146"/>
      <c r="W1806" s="146"/>
      <c r="X1806" s="146"/>
      <c r="Y1806" s="146"/>
      <c r="Z1806" s="146"/>
      <c r="AA1806" s="146"/>
      <c r="AB1806" s="146"/>
      <c r="AC1806" s="146"/>
      <c r="AD1806" s="146"/>
      <c r="AE1806" s="146"/>
      <c r="AF1806" s="146"/>
      <c r="AG1806" s="146"/>
      <c r="AH1806" s="146"/>
      <c r="AI1806" s="146"/>
      <c r="AJ1806" s="146"/>
      <c r="AK1806" s="146"/>
      <c r="AL1806" s="146"/>
      <c r="AM1806" s="146"/>
      <c r="AN1806" s="146"/>
      <c r="AO1806" s="146"/>
      <c r="AP1806" s="146"/>
    </row>
    <row r="1807" spans="2:52" x14ac:dyDescent="0.3">
      <c r="B1807" s="146"/>
      <c r="C1807" s="146"/>
      <c r="D1807" s="146"/>
      <c r="E1807" s="146"/>
      <c r="F1807" s="146"/>
      <c r="G1807" s="146"/>
      <c r="H1807" s="146"/>
      <c r="I1807" s="146"/>
      <c r="J1807" s="146"/>
      <c r="K1807" s="146"/>
      <c r="L1807" s="146"/>
      <c r="M1807" s="146"/>
      <c r="N1807" s="146"/>
      <c r="O1807" s="146"/>
      <c r="P1807" s="146"/>
      <c r="Q1807" s="146"/>
      <c r="R1807" s="146"/>
      <c r="S1807" s="146"/>
      <c r="T1807" s="146"/>
      <c r="U1807" s="146"/>
      <c r="V1807" s="146"/>
      <c r="W1807" s="146"/>
      <c r="X1807" s="146"/>
      <c r="Y1807" s="146"/>
      <c r="Z1807" s="146"/>
      <c r="AA1807" s="146"/>
      <c r="AB1807" s="146"/>
      <c r="AC1807" s="146"/>
      <c r="AD1807" s="146"/>
      <c r="AE1807" s="146"/>
      <c r="AF1807" s="146"/>
      <c r="AG1807" s="146"/>
      <c r="AH1807" s="146"/>
      <c r="AI1807" s="146"/>
      <c r="AJ1807" s="146"/>
      <c r="AK1807" s="146"/>
      <c r="AL1807" s="146"/>
      <c r="AM1807" s="146"/>
      <c r="AN1807" s="146"/>
      <c r="AO1807" s="146"/>
      <c r="AP1807" s="146"/>
    </row>
    <row r="1808" spans="2:52" x14ac:dyDescent="0.3">
      <c r="B1808" s="146"/>
      <c r="C1808" s="146"/>
      <c r="D1808" s="146"/>
      <c r="E1808" s="146"/>
      <c r="F1808" s="146"/>
      <c r="G1808" s="146"/>
      <c r="H1808" s="146"/>
      <c r="I1808" s="146"/>
      <c r="J1808" s="146"/>
      <c r="K1808" s="146"/>
      <c r="L1808" s="146"/>
      <c r="M1808" s="146"/>
      <c r="N1808" s="146"/>
      <c r="O1808" s="146"/>
      <c r="P1808" s="146"/>
      <c r="Q1808" s="146"/>
      <c r="R1808" s="146"/>
      <c r="S1808" s="146"/>
      <c r="T1808" s="146"/>
      <c r="U1808" s="146"/>
      <c r="V1808" s="146"/>
      <c r="W1808" s="146"/>
      <c r="X1808" s="146"/>
      <c r="Y1808" s="146"/>
      <c r="Z1808" s="146"/>
      <c r="AA1808" s="146"/>
      <c r="AB1808" s="146"/>
      <c r="AC1808" s="146"/>
      <c r="AD1808" s="146"/>
      <c r="AE1808" s="146"/>
      <c r="AF1808" s="146"/>
      <c r="AG1808" s="146"/>
      <c r="AH1808" s="146"/>
      <c r="AI1808" s="146"/>
      <c r="AJ1808" s="146"/>
      <c r="AK1808" s="146"/>
      <c r="AL1808" s="146"/>
      <c r="AM1808" s="146"/>
      <c r="AN1808" s="146"/>
      <c r="AO1808" s="146"/>
      <c r="AP1808" s="146"/>
    </row>
    <row r="1809" spans="2:50" x14ac:dyDescent="0.3">
      <c r="B1809" s="146"/>
      <c r="C1809" s="146"/>
      <c r="D1809" s="146"/>
      <c r="E1809" s="146"/>
      <c r="F1809" s="146"/>
      <c r="G1809" s="146"/>
      <c r="H1809" s="146"/>
      <c r="I1809" s="146"/>
      <c r="J1809" s="146"/>
      <c r="K1809" s="146"/>
      <c r="L1809" s="146"/>
      <c r="M1809" s="146"/>
      <c r="N1809" s="146"/>
      <c r="O1809" s="146"/>
      <c r="P1809" s="146"/>
      <c r="Q1809" s="146"/>
      <c r="R1809" s="146"/>
      <c r="S1809" s="146"/>
      <c r="T1809" s="146"/>
      <c r="U1809" s="146"/>
      <c r="V1809" s="146"/>
      <c r="W1809" s="146"/>
      <c r="X1809" s="146"/>
      <c r="Y1809" s="146"/>
      <c r="Z1809" s="146"/>
      <c r="AA1809" s="146"/>
      <c r="AB1809" s="146"/>
      <c r="AC1809" s="146"/>
      <c r="AD1809" s="146"/>
      <c r="AE1809" s="146"/>
      <c r="AF1809" s="146"/>
      <c r="AG1809" s="146"/>
      <c r="AH1809" s="146"/>
      <c r="AI1809" s="146"/>
      <c r="AJ1809" s="146"/>
      <c r="AK1809" s="146"/>
      <c r="AL1809" s="146"/>
      <c r="AM1809" s="146"/>
      <c r="AN1809" s="146"/>
      <c r="AO1809" s="146"/>
      <c r="AP1809" s="146"/>
    </row>
    <row r="1810" spans="2:50" x14ac:dyDescent="0.3">
      <c r="B1810" s="146"/>
      <c r="C1810" s="146"/>
      <c r="D1810" s="146"/>
      <c r="E1810" s="146"/>
      <c r="F1810" s="146"/>
      <c r="G1810" s="146"/>
      <c r="H1810" s="146"/>
      <c r="I1810" s="146"/>
      <c r="J1810" s="146"/>
      <c r="K1810" s="146"/>
      <c r="L1810" s="146"/>
      <c r="M1810" s="146"/>
      <c r="N1810" s="146"/>
      <c r="O1810" s="146"/>
      <c r="P1810" s="146"/>
      <c r="Q1810" s="146"/>
      <c r="R1810" s="146"/>
      <c r="S1810" s="146"/>
      <c r="T1810" s="146"/>
      <c r="U1810" s="146"/>
      <c r="V1810" s="146"/>
      <c r="W1810" s="146"/>
      <c r="X1810" s="146"/>
      <c r="Y1810" s="146"/>
      <c r="Z1810" s="146"/>
      <c r="AA1810" s="146"/>
      <c r="AB1810" s="146"/>
      <c r="AC1810" s="146"/>
      <c r="AD1810" s="146"/>
      <c r="AE1810" s="146"/>
      <c r="AF1810" s="146"/>
      <c r="AG1810" s="146"/>
      <c r="AH1810" s="146"/>
      <c r="AI1810" s="146"/>
      <c r="AJ1810" s="146"/>
      <c r="AK1810" s="146"/>
      <c r="AL1810" s="146"/>
      <c r="AM1810" s="146"/>
      <c r="AN1810" s="146"/>
      <c r="AO1810" s="146"/>
      <c r="AP1810" s="146"/>
    </row>
    <row r="1811" spans="2:50" x14ac:dyDescent="0.3">
      <c r="B1811" s="146"/>
      <c r="C1811" s="146"/>
      <c r="D1811" s="146"/>
      <c r="E1811" s="146"/>
      <c r="F1811" s="146"/>
      <c r="G1811" s="146"/>
      <c r="H1811" s="146"/>
      <c r="I1811" s="146"/>
      <c r="J1811" s="146"/>
      <c r="K1811" s="146"/>
      <c r="L1811" s="146"/>
      <c r="M1811" s="146"/>
      <c r="N1811" s="146"/>
      <c r="O1811" s="146"/>
      <c r="P1811" s="146"/>
      <c r="Q1811" s="146"/>
      <c r="R1811" s="146"/>
      <c r="S1811" s="146"/>
      <c r="T1811" s="146"/>
      <c r="U1811" s="146"/>
      <c r="V1811" s="146"/>
      <c r="W1811" s="146"/>
      <c r="X1811" s="146"/>
      <c r="Y1811" s="146"/>
      <c r="Z1811" s="146"/>
      <c r="AA1811" s="146"/>
      <c r="AB1811" s="146"/>
      <c r="AC1811" s="146"/>
      <c r="AD1811" s="146"/>
      <c r="AE1811" s="146"/>
      <c r="AF1811" s="146"/>
      <c r="AG1811" s="146"/>
      <c r="AH1811" s="146"/>
      <c r="AI1811" s="146"/>
      <c r="AJ1811" s="146"/>
      <c r="AK1811" s="146"/>
      <c r="AL1811" s="146"/>
      <c r="AM1811" s="146"/>
      <c r="AN1811" s="146"/>
      <c r="AO1811" s="146"/>
      <c r="AP1811" s="146"/>
    </row>
    <row r="1812" spans="2:50" s="140" customFormat="1" x14ac:dyDescent="0.3">
      <c r="AX1812"/>
    </row>
    <row r="1813" spans="2:50" x14ac:dyDescent="0.3">
      <c r="B1813" s="146"/>
      <c r="C1813" s="146"/>
      <c r="D1813" s="146"/>
      <c r="E1813" s="146"/>
      <c r="F1813" s="146"/>
      <c r="G1813" s="146"/>
      <c r="H1813" s="146"/>
      <c r="I1813" s="146"/>
      <c r="J1813" s="146"/>
      <c r="K1813" s="146"/>
      <c r="L1813" s="146"/>
      <c r="M1813" s="146"/>
      <c r="N1813" s="146"/>
      <c r="O1813" s="146"/>
      <c r="P1813" s="146"/>
      <c r="Q1813" s="146"/>
      <c r="R1813" s="146"/>
      <c r="S1813" s="146"/>
      <c r="T1813" s="146"/>
      <c r="U1813" s="146"/>
      <c r="V1813" s="146"/>
      <c r="W1813" s="146"/>
      <c r="X1813" s="146"/>
      <c r="Y1813" s="146"/>
      <c r="Z1813" s="146"/>
      <c r="AA1813" s="146"/>
      <c r="AB1813" s="146"/>
      <c r="AC1813" s="146"/>
      <c r="AD1813" s="146"/>
      <c r="AE1813" s="146"/>
      <c r="AF1813" s="146"/>
      <c r="AG1813" s="146"/>
      <c r="AH1813" s="146"/>
      <c r="AI1813" s="146"/>
      <c r="AJ1813" s="146"/>
      <c r="AK1813" s="146"/>
      <c r="AL1813" s="146"/>
      <c r="AM1813" s="146"/>
      <c r="AN1813" s="146"/>
      <c r="AO1813" s="146"/>
      <c r="AP1813" s="146"/>
    </row>
    <row r="1814" spans="2:50" x14ac:dyDescent="0.3">
      <c r="B1814" s="146"/>
      <c r="C1814" s="146"/>
      <c r="D1814" s="146"/>
      <c r="E1814" s="146"/>
      <c r="F1814" s="146"/>
      <c r="G1814" s="146"/>
      <c r="H1814" s="146"/>
      <c r="I1814" s="146"/>
      <c r="J1814" s="146"/>
      <c r="K1814" s="146"/>
      <c r="L1814" s="146"/>
      <c r="M1814" s="146"/>
      <c r="N1814" s="146"/>
      <c r="O1814" s="146"/>
      <c r="P1814" s="146"/>
      <c r="Q1814" s="146"/>
      <c r="R1814" s="146"/>
      <c r="S1814" s="146"/>
      <c r="T1814" s="146"/>
      <c r="U1814" s="146"/>
      <c r="V1814" s="146"/>
      <c r="W1814" s="146"/>
      <c r="X1814" s="146"/>
      <c r="Y1814" s="146"/>
      <c r="Z1814" s="146"/>
      <c r="AA1814" s="146"/>
      <c r="AB1814" s="146"/>
      <c r="AC1814" s="146"/>
      <c r="AD1814" s="146"/>
      <c r="AE1814" s="146"/>
      <c r="AF1814" s="146"/>
      <c r="AG1814" s="146"/>
      <c r="AH1814" s="146"/>
      <c r="AI1814" s="146"/>
      <c r="AJ1814" s="146"/>
      <c r="AK1814" s="146"/>
      <c r="AL1814" s="146"/>
      <c r="AM1814" s="146"/>
      <c r="AN1814" s="146"/>
      <c r="AO1814" s="146"/>
      <c r="AP1814" s="146"/>
    </row>
    <row r="1815" spans="2:50" x14ac:dyDescent="0.3">
      <c r="B1815" s="146"/>
      <c r="C1815" s="146"/>
      <c r="D1815" s="146"/>
      <c r="E1815" s="146"/>
      <c r="F1815" s="146"/>
      <c r="G1815" s="146"/>
      <c r="H1815" s="146"/>
      <c r="I1815" s="146"/>
      <c r="J1815" s="146"/>
      <c r="K1815" s="146"/>
      <c r="L1815" s="146"/>
      <c r="M1815" s="146"/>
      <c r="N1815" s="146"/>
      <c r="O1815" s="146"/>
      <c r="P1815" s="146"/>
      <c r="Q1815" s="146"/>
      <c r="R1815" s="146"/>
      <c r="S1815" s="146"/>
      <c r="T1815" s="146"/>
      <c r="U1815" s="146"/>
      <c r="V1815" s="146"/>
      <c r="W1815" s="146"/>
      <c r="X1815" s="146"/>
      <c r="Y1815" s="146"/>
      <c r="Z1815" s="146"/>
      <c r="AA1815" s="146"/>
      <c r="AB1815" s="146"/>
      <c r="AC1815" s="146"/>
      <c r="AD1815" s="146"/>
      <c r="AE1815" s="146"/>
      <c r="AF1815" s="146"/>
      <c r="AG1815" s="146"/>
      <c r="AH1815" s="146"/>
      <c r="AI1815" s="146"/>
      <c r="AJ1815" s="146"/>
      <c r="AK1815" s="146"/>
      <c r="AL1815" s="146"/>
      <c r="AM1815" s="146"/>
      <c r="AN1815" s="146"/>
      <c r="AO1815" s="146"/>
      <c r="AP1815" s="146"/>
    </row>
    <row r="1816" spans="2:50" x14ac:dyDescent="0.3">
      <c r="B1816" s="146"/>
      <c r="C1816" s="146"/>
      <c r="D1816" s="146"/>
      <c r="E1816" s="146"/>
      <c r="F1816" s="146"/>
      <c r="G1816" s="146"/>
      <c r="H1816" s="146"/>
      <c r="I1816" s="146"/>
      <c r="J1816" s="146"/>
      <c r="K1816" s="146"/>
      <c r="L1816" s="146"/>
      <c r="M1816" s="146"/>
      <c r="N1816" s="146"/>
      <c r="O1816" s="146"/>
      <c r="P1816" s="146"/>
      <c r="Q1816" s="146"/>
      <c r="R1816" s="146"/>
      <c r="S1816" s="146"/>
      <c r="T1816" s="146"/>
      <c r="U1816" s="146"/>
      <c r="V1816" s="146"/>
      <c r="W1816" s="146"/>
      <c r="X1816" s="146"/>
      <c r="Y1816" s="146"/>
      <c r="Z1816" s="146"/>
      <c r="AA1816" s="146"/>
      <c r="AB1816" s="146"/>
      <c r="AC1816" s="146"/>
      <c r="AD1816" s="146"/>
      <c r="AE1816" s="146"/>
      <c r="AF1816" s="146"/>
      <c r="AG1816" s="146"/>
      <c r="AH1816" s="146"/>
      <c r="AI1816" s="146"/>
      <c r="AJ1816" s="146"/>
      <c r="AK1816" s="146"/>
      <c r="AL1816" s="146"/>
      <c r="AM1816" s="146"/>
      <c r="AN1816" s="146"/>
      <c r="AO1816" s="146"/>
      <c r="AP1816" s="146"/>
    </row>
    <row r="1817" spans="2:50" x14ac:dyDescent="0.3">
      <c r="B1817" s="146"/>
      <c r="C1817" s="146"/>
      <c r="D1817" s="146"/>
      <c r="E1817" s="146"/>
      <c r="F1817" s="146"/>
      <c r="G1817" s="146"/>
      <c r="H1817" s="146"/>
      <c r="I1817" s="146"/>
      <c r="J1817" s="146"/>
      <c r="K1817" s="146"/>
      <c r="L1817" s="146"/>
      <c r="M1817" s="146"/>
      <c r="N1817" s="146"/>
      <c r="O1817" s="146"/>
      <c r="P1817" s="146"/>
      <c r="Q1817" s="146"/>
      <c r="R1817" s="146"/>
      <c r="S1817" s="146"/>
      <c r="T1817" s="146"/>
      <c r="U1817" s="146"/>
      <c r="V1817" s="146"/>
      <c r="W1817" s="146"/>
      <c r="X1817" s="146"/>
      <c r="Y1817" s="146"/>
      <c r="Z1817" s="146"/>
      <c r="AA1817" s="146"/>
      <c r="AB1817" s="146"/>
      <c r="AC1817" s="146"/>
      <c r="AD1817" s="146"/>
      <c r="AE1817" s="146"/>
      <c r="AF1817" s="146"/>
      <c r="AG1817" s="146"/>
      <c r="AH1817" s="146"/>
      <c r="AI1817" s="146"/>
      <c r="AJ1817" s="146"/>
      <c r="AK1817" s="146"/>
      <c r="AL1817" s="146"/>
      <c r="AM1817" s="146"/>
      <c r="AN1817" s="146"/>
      <c r="AO1817" s="146"/>
      <c r="AP1817" s="146"/>
    </row>
    <row r="1818" spans="2:50" x14ac:dyDescent="0.3">
      <c r="B1818" s="146"/>
      <c r="C1818" s="146"/>
      <c r="D1818" s="146"/>
      <c r="E1818" s="146"/>
      <c r="F1818" s="146"/>
      <c r="G1818" s="146"/>
      <c r="H1818" s="146"/>
      <c r="I1818" s="146"/>
      <c r="J1818" s="146"/>
      <c r="K1818" s="146"/>
      <c r="L1818" s="146"/>
      <c r="M1818" s="146"/>
      <c r="N1818" s="146"/>
      <c r="O1818" s="146"/>
      <c r="P1818" s="146"/>
      <c r="Q1818" s="146"/>
      <c r="R1818" s="146"/>
      <c r="S1818" s="146"/>
      <c r="T1818" s="146"/>
      <c r="U1818" s="146"/>
      <c r="V1818" s="146"/>
      <c r="W1818" s="146"/>
      <c r="X1818" s="146"/>
      <c r="Y1818" s="146"/>
      <c r="Z1818" s="146"/>
      <c r="AA1818" s="146"/>
      <c r="AB1818" s="146"/>
      <c r="AC1818" s="146"/>
      <c r="AD1818" s="146"/>
      <c r="AE1818" s="146"/>
      <c r="AF1818" s="146"/>
      <c r="AG1818" s="146"/>
      <c r="AH1818" s="146"/>
      <c r="AI1818" s="146"/>
      <c r="AJ1818" s="146"/>
      <c r="AK1818" s="146"/>
      <c r="AL1818" s="146"/>
      <c r="AM1818" s="146"/>
      <c r="AN1818" s="146"/>
      <c r="AO1818" s="146"/>
      <c r="AP1818" s="146"/>
    </row>
    <row r="1819" spans="2:50" x14ac:dyDescent="0.3">
      <c r="B1819" s="146"/>
      <c r="C1819" s="146"/>
      <c r="D1819" s="146"/>
      <c r="E1819" s="146"/>
      <c r="F1819" s="146"/>
      <c r="G1819" s="146"/>
      <c r="H1819" s="146"/>
      <c r="I1819" s="146"/>
      <c r="J1819" s="146"/>
      <c r="K1819" s="146"/>
      <c r="L1819" s="146"/>
      <c r="M1819" s="146"/>
      <c r="N1819" s="146"/>
      <c r="O1819" s="146"/>
      <c r="P1819" s="146"/>
      <c r="Q1819" s="146"/>
      <c r="R1819" s="146"/>
      <c r="S1819" s="146"/>
      <c r="T1819" s="146"/>
      <c r="U1819" s="146"/>
      <c r="V1819" s="146"/>
      <c r="W1819" s="146"/>
      <c r="X1819" s="146"/>
      <c r="Y1819" s="146"/>
      <c r="Z1819" s="146"/>
      <c r="AA1819" s="146"/>
      <c r="AB1819" s="146"/>
      <c r="AC1819" s="146"/>
      <c r="AD1819" s="146"/>
      <c r="AE1819" s="146"/>
      <c r="AF1819" s="146"/>
      <c r="AG1819" s="146"/>
      <c r="AH1819" s="146"/>
      <c r="AI1819" s="146"/>
      <c r="AJ1819" s="146"/>
      <c r="AK1819" s="146"/>
      <c r="AL1819" s="146"/>
      <c r="AM1819" s="146"/>
      <c r="AN1819" s="146"/>
      <c r="AO1819" s="146"/>
      <c r="AP1819" s="146"/>
    </row>
    <row r="1820" spans="2:50" x14ac:dyDescent="0.3">
      <c r="B1820" s="146"/>
      <c r="C1820" s="146"/>
      <c r="D1820" s="146"/>
      <c r="E1820" s="146"/>
      <c r="F1820" s="146"/>
      <c r="G1820" s="146"/>
      <c r="H1820" s="146"/>
      <c r="I1820" s="146"/>
      <c r="J1820" s="146"/>
      <c r="K1820" s="146"/>
      <c r="L1820" s="146"/>
      <c r="M1820" s="146"/>
      <c r="N1820" s="146"/>
      <c r="O1820" s="146"/>
      <c r="P1820" s="146"/>
      <c r="Q1820" s="146"/>
      <c r="R1820" s="146"/>
      <c r="S1820" s="146"/>
      <c r="T1820" s="146"/>
      <c r="U1820" s="146"/>
      <c r="V1820" s="146"/>
      <c r="W1820" s="146"/>
      <c r="X1820" s="146"/>
      <c r="Y1820" s="146"/>
      <c r="Z1820" s="146"/>
      <c r="AA1820" s="146"/>
      <c r="AB1820" s="146"/>
      <c r="AC1820" s="146"/>
      <c r="AD1820" s="146"/>
      <c r="AE1820" s="146"/>
      <c r="AF1820" s="146"/>
      <c r="AG1820" s="146"/>
      <c r="AH1820" s="146"/>
      <c r="AI1820" s="146"/>
      <c r="AJ1820" s="146"/>
      <c r="AK1820" s="146"/>
      <c r="AL1820" s="146"/>
      <c r="AM1820" s="146"/>
      <c r="AN1820" s="146"/>
      <c r="AO1820" s="146"/>
      <c r="AP1820" s="146"/>
    </row>
    <row r="1821" spans="2:50" x14ac:dyDescent="0.3">
      <c r="B1821" s="146"/>
      <c r="C1821" s="146"/>
      <c r="D1821" s="146"/>
      <c r="E1821" s="146"/>
      <c r="F1821" s="146"/>
      <c r="G1821" s="146"/>
      <c r="H1821" s="146"/>
      <c r="I1821" s="146"/>
      <c r="J1821" s="146"/>
      <c r="K1821" s="146"/>
      <c r="L1821" s="146"/>
      <c r="M1821" s="146"/>
      <c r="N1821" s="146"/>
      <c r="O1821" s="146"/>
      <c r="P1821" s="146"/>
      <c r="Q1821" s="146"/>
      <c r="R1821" s="146"/>
      <c r="S1821" s="146"/>
      <c r="T1821" s="146"/>
      <c r="U1821" s="146"/>
      <c r="V1821" s="146"/>
      <c r="W1821" s="146"/>
      <c r="X1821" s="146"/>
      <c r="Y1821" s="146"/>
      <c r="Z1821" s="146"/>
      <c r="AA1821" s="146"/>
      <c r="AB1821" s="146"/>
      <c r="AC1821" s="146"/>
      <c r="AD1821" s="146"/>
      <c r="AE1821" s="146"/>
      <c r="AF1821" s="146"/>
      <c r="AG1821" s="146"/>
      <c r="AH1821" s="146"/>
      <c r="AI1821" s="146"/>
      <c r="AJ1821" s="146"/>
      <c r="AK1821" s="146"/>
      <c r="AL1821" s="146"/>
      <c r="AM1821" s="146"/>
      <c r="AN1821" s="146"/>
      <c r="AO1821" s="146"/>
      <c r="AP1821" s="146"/>
    </row>
    <row r="1822" spans="2:50" s="140" customFormat="1" x14ac:dyDescent="0.3">
      <c r="AX1822"/>
    </row>
    <row r="1823" spans="2:50" x14ac:dyDescent="0.3">
      <c r="B1823" s="146"/>
      <c r="C1823" s="146"/>
      <c r="D1823" s="146"/>
      <c r="E1823" s="146"/>
      <c r="F1823" s="146"/>
      <c r="G1823" s="146"/>
      <c r="H1823" s="146"/>
      <c r="I1823" s="146"/>
      <c r="J1823" s="146"/>
      <c r="K1823" s="146"/>
      <c r="L1823" s="146"/>
      <c r="M1823" s="146"/>
      <c r="N1823" s="146"/>
      <c r="O1823" s="146"/>
      <c r="P1823" s="146"/>
      <c r="Q1823" s="146"/>
      <c r="R1823" s="146"/>
      <c r="S1823" s="146"/>
      <c r="T1823" s="146"/>
      <c r="U1823" s="146"/>
      <c r="V1823" s="146"/>
      <c r="W1823" s="146"/>
      <c r="X1823" s="146"/>
      <c r="Y1823" s="146"/>
      <c r="Z1823" s="146"/>
      <c r="AA1823" s="146"/>
      <c r="AB1823" s="146"/>
      <c r="AC1823" s="146"/>
      <c r="AD1823" s="146"/>
      <c r="AE1823" s="146"/>
      <c r="AF1823" s="146"/>
      <c r="AG1823" s="146"/>
      <c r="AH1823" s="146"/>
      <c r="AI1823" s="146"/>
      <c r="AJ1823" s="146"/>
      <c r="AK1823" s="146"/>
      <c r="AL1823" s="146"/>
      <c r="AM1823" s="146"/>
      <c r="AN1823" s="146"/>
      <c r="AO1823" s="146"/>
      <c r="AP1823" s="146"/>
    </row>
    <row r="1824" spans="2:50" x14ac:dyDescent="0.3">
      <c r="B1824" s="146"/>
      <c r="C1824" s="146"/>
      <c r="D1824" s="146"/>
      <c r="E1824" s="146"/>
      <c r="F1824" s="146"/>
      <c r="G1824" s="146"/>
      <c r="H1824" s="146"/>
      <c r="I1824" s="146"/>
      <c r="J1824" s="146"/>
      <c r="K1824" s="146"/>
      <c r="L1824" s="146"/>
      <c r="M1824" s="146"/>
      <c r="N1824" s="146"/>
      <c r="O1824" s="146"/>
      <c r="P1824" s="146"/>
      <c r="Q1824" s="146"/>
      <c r="R1824" s="146"/>
      <c r="S1824" s="146"/>
      <c r="T1824" s="146"/>
      <c r="U1824" s="146"/>
      <c r="V1824" s="146"/>
      <c r="W1824" s="146"/>
      <c r="X1824" s="146"/>
      <c r="Y1824" s="146"/>
      <c r="Z1824" s="146"/>
      <c r="AA1824" s="146"/>
      <c r="AB1824" s="146"/>
      <c r="AC1824" s="146"/>
      <c r="AD1824" s="146"/>
      <c r="AE1824" s="146"/>
      <c r="AF1824" s="146"/>
      <c r="AG1824" s="146"/>
      <c r="AH1824" s="146"/>
      <c r="AI1824" s="146"/>
      <c r="AJ1824" s="146"/>
      <c r="AK1824" s="146"/>
      <c r="AL1824" s="146"/>
      <c r="AM1824" s="146"/>
      <c r="AN1824" s="146"/>
      <c r="AO1824" s="146"/>
      <c r="AP1824" s="146"/>
    </row>
    <row r="1825" spans="2:50" x14ac:dyDescent="0.3">
      <c r="B1825" s="146"/>
      <c r="C1825" s="146"/>
      <c r="D1825" s="146"/>
      <c r="E1825" s="146"/>
      <c r="F1825" s="146"/>
      <c r="G1825" s="146"/>
      <c r="H1825" s="146"/>
      <c r="I1825" s="146"/>
      <c r="J1825" s="146"/>
      <c r="K1825" s="146"/>
      <c r="L1825" s="146"/>
      <c r="M1825" s="146"/>
      <c r="N1825" s="146"/>
      <c r="O1825" s="146"/>
      <c r="P1825" s="146"/>
      <c r="Q1825" s="146"/>
      <c r="R1825" s="146"/>
      <c r="S1825" s="146"/>
      <c r="T1825" s="146"/>
      <c r="U1825" s="146"/>
      <c r="V1825" s="146"/>
      <c r="W1825" s="146"/>
      <c r="X1825" s="146"/>
      <c r="Y1825" s="146"/>
      <c r="Z1825" s="146"/>
      <c r="AA1825" s="146"/>
      <c r="AB1825" s="146"/>
      <c r="AC1825" s="146"/>
      <c r="AD1825" s="146"/>
      <c r="AE1825" s="146"/>
      <c r="AF1825" s="146"/>
      <c r="AG1825" s="146"/>
      <c r="AH1825" s="146"/>
      <c r="AI1825" s="146"/>
      <c r="AJ1825" s="146"/>
      <c r="AK1825" s="146"/>
      <c r="AL1825" s="146"/>
      <c r="AM1825" s="146"/>
      <c r="AN1825" s="146"/>
      <c r="AO1825" s="146"/>
      <c r="AP1825" s="146"/>
    </row>
    <row r="1826" spans="2:50" x14ac:dyDescent="0.3">
      <c r="B1826" s="146"/>
      <c r="C1826" s="146"/>
      <c r="D1826" s="146"/>
      <c r="E1826" s="146"/>
      <c r="F1826" s="146"/>
      <c r="G1826" s="146"/>
      <c r="H1826" s="146"/>
      <c r="I1826" s="146"/>
      <c r="J1826" s="146"/>
      <c r="K1826" s="146"/>
      <c r="L1826" s="146"/>
      <c r="M1826" s="146"/>
      <c r="N1826" s="146"/>
      <c r="O1826" s="146"/>
      <c r="P1826" s="146"/>
      <c r="Q1826" s="146"/>
      <c r="R1826" s="146"/>
      <c r="S1826" s="146"/>
      <c r="T1826" s="146"/>
      <c r="U1826" s="146"/>
      <c r="V1826" s="146"/>
      <c r="W1826" s="146"/>
      <c r="X1826" s="146"/>
      <c r="Y1826" s="146"/>
      <c r="Z1826" s="146"/>
      <c r="AA1826" s="146"/>
      <c r="AB1826" s="146"/>
      <c r="AC1826" s="146"/>
      <c r="AD1826" s="146"/>
      <c r="AE1826" s="146"/>
      <c r="AF1826" s="146"/>
      <c r="AG1826" s="146"/>
      <c r="AH1826" s="146"/>
      <c r="AI1826" s="146"/>
      <c r="AJ1826" s="146"/>
      <c r="AK1826" s="146"/>
      <c r="AL1826" s="146"/>
      <c r="AM1826" s="146"/>
      <c r="AN1826" s="146"/>
      <c r="AO1826" s="146"/>
      <c r="AP1826" s="146"/>
    </row>
    <row r="1827" spans="2:50" x14ac:dyDescent="0.3">
      <c r="B1827" s="146"/>
      <c r="C1827" s="146"/>
      <c r="D1827" s="146"/>
      <c r="E1827" s="146"/>
      <c r="F1827" s="146"/>
      <c r="G1827" s="146"/>
      <c r="H1827" s="146"/>
      <c r="I1827" s="146"/>
      <c r="J1827" s="146"/>
      <c r="K1827" s="146"/>
      <c r="L1827" s="146"/>
      <c r="M1827" s="146"/>
      <c r="N1827" s="146"/>
      <c r="O1827" s="146"/>
      <c r="P1827" s="146"/>
      <c r="Q1827" s="146"/>
      <c r="R1827" s="146"/>
      <c r="S1827" s="146"/>
      <c r="T1827" s="146"/>
      <c r="U1827" s="146"/>
      <c r="V1827" s="146"/>
      <c r="W1827" s="146"/>
      <c r="X1827" s="146"/>
      <c r="Y1827" s="146"/>
      <c r="Z1827" s="146"/>
      <c r="AA1827" s="146"/>
      <c r="AB1827" s="146"/>
      <c r="AC1827" s="146"/>
      <c r="AD1827" s="146"/>
      <c r="AE1827" s="146"/>
      <c r="AF1827" s="146"/>
      <c r="AG1827" s="146"/>
      <c r="AH1827" s="146"/>
      <c r="AI1827" s="146"/>
      <c r="AJ1827" s="146"/>
      <c r="AK1827" s="146"/>
      <c r="AL1827" s="146"/>
      <c r="AM1827" s="146"/>
      <c r="AN1827" s="146"/>
      <c r="AO1827" s="146"/>
      <c r="AP1827" s="146"/>
    </row>
    <row r="1828" spans="2:50" x14ac:dyDescent="0.3">
      <c r="B1828" s="146"/>
      <c r="C1828" s="146"/>
      <c r="D1828" s="146"/>
      <c r="E1828" s="146"/>
      <c r="F1828" s="146"/>
      <c r="G1828" s="146"/>
      <c r="H1828" s="146"/>
      <c r="I1828" s="146"/>
      <c r="J1828" s="146"/>
      <c r="K1828" s="146"/>
      <c r="L1828" s="146"/>
      <c r="M1828" s="146"/>
      <c r="N1828" s="146"/>
      <c r="O1828" s="146"/>
      <c r="P1828" s="146"/>
      <c r="Q1828" s="146"/>
      <c r="R1828" s="146"/>
      <c r="S1828" s="146"/>
      <c r="T1828" s="146"/>
      <c r="U1828" s="146"/>
      <c r="V1828" s="146"/>
      <c r="W1828" s="146"/>
      <c r="X1828" s="146"/>
      <c r="Y1828" s="146"/>
      <c r="Z1828" s="146"/>
      <c r="AA1828" s="146"/>
      <c r="AB1828" s="146"/>
      <c r="AC1828" s="146"/>
      <c r="AD1828" s="146"/>
      <c r="AE1828" s="146"/>
      <c r="AF1828" s="146"/>
      <c r="AG1828" s="146"/>
      <c r="AH1828" s="146"/>
      <c r="AI1828" s="146"/>
      <c r="AJ1828" s="146"/>
      <c r="AK1828" s="146"/>
      <c r="AL1828" s="146"/>
      <c r="AM1828" s="146"/>
      <c r="AN1828" s="146"/>
      <c r="AO1828" s="146"/>
      <c r="AP1828" s="146"/>
    </row>
    <row r="1829" spans="2:50" x14ac:dyDescent="0.3">
      <c r="B1829" s="146"/>
      <c r="C1829" s="146"/>
      <c r="D1829" s="146"/>
      <c r="E1829" s="146"/>
      <c r="F1829" s="146"/>
      <c r="G1829" s="146"/>
      <c r="H1829" s="146"/>
      <c r="I1829" s="146"/>
      <c r="J1829" s="146"/>
      <c r="K1829" s="146"/>
      <c r="L1829" s="146"/>
      <c r="M1829" s="146"/>
      <c r="N1829" s="146"/>
      <c r="O1829" s="146"/>
      <c r="P1829" s="146"/>
      <c r="Q1829" s="146"/>
      <c r="R1829" s="146"/>
      <c r="S1829" s="146"/>
      <c r="T1829" s="146"/>
      <c r="U1829" s="146"/>
      <c r="V1829" s="146"/>
      <c r="W1829" s="146"/>
      <c r="X1829" s="146"/>
      <c r="Y1829" s="146"/>
      <c r="Z1829" s="146"/>
      <c r="AA1829" s="146"/>
      <c r="AB1829" s="146"/>
      <c r="AC1829" s="146"/>
      <c r="AD1829" s="146"/>
      <c r="AE1829" s="146"/>
      <c r="AF1829" s="146"/>
      <c r="AG1829" s="146"/>
      <c r="AH1829" s="146"/>
      <c r="AI1829" s="146"/>
      <c r="AJ1829" s="146"/>
      <c r="AK1829" s="146"/>
      <c r="AL1829" s="146"/>
      <c r="AM1829" s="146"/>
      <c r="AN1829" s="146"/>
      <c r="AO1829" s="146"/>
      <c r="AP1829" s="146"/>
    </row>
    <row r="1830" spans="2:50" x14ac:dyDescent="0.3">
      <c r="B1830" s="146"/>
      <c r="C1830" s="146"/>
      <c r="D1830" s="146"/>
      <c r="E1830" s="146"/>
      <c r="F1830" s="146"/>
      <c r="G1830" s="146"/>
      <c r="H1830" s="146"/>
      <c r="I1830" s="146"/>
      <c r="J1830" s="146"/>
      <c r="K1830" s="146"/>
      <c r="L1830" s="146"/>
      <c r="M1830" s="146"/>
      <c r="N1830" s="146"/>
      <c r="O1830" s="146"/>
      <c r="P1830" s="146"/>
      <c r="Q1830" s="146"/>
      <c r="R1830" s="146"/>
      <c r="S1830" s="146"/>
      <c r="T1830" s="146"/>
      <c r="U1830" s="146"/>
      <c r="V1830" s="146"/>
      <c r="W1830" s="146"/>
      <c r="X1830" s="146"/>
      <c r="Y1830" s="146"/>
      <c r="Z1830" s="146"/>
      <c r="AA1830" s="146"/>
      <c r="AB1830" s="146"/>
      <c r="AC1830" s="146"/>
      <c r="AD1830" s="146"/>
      <c r="AE1830" s="146"/>
      <c r="AF1830" s="146"/>
      <c r="AG1830" s="146"/>
      <c r="AH1830" s="146"/>
      <c r="AI1830" s="146"/>
      <c r="AJ1830" s="146"/>
      <c r="AK1830" s="146"/>
      <c r="AL1830" s="146"/>
      <c r="AM1830" s="146"/>
      <c r="AN1830" s="146"/>
      <c r="AO1830" s="146"/>
      <c r="AP1830" s="146"/>
    </row>
    <row r="1831" spans="2:50" x14ac:dyDescent="0.3">
      <c r="B1831" s="146"/>
      <c r="C1831" s="146"/>
      <c r="D1831" s="146"/>
      <c r="E1831" s="146"/>
      <c r="F1831" s="146"/>
      <c r="G1831" s="146"/>
      <c r="H1831" s="146"/>
      <c r="I1831" s="146"/>
      <c r="J1831" s="146"/>
      <c r="K1831" s="146"/>
      <c r="L1831" s="146"/>
      <c r="M1831" s="146"/>
      <c r="N1831" s="146"/>
      <c r="O1831" s="146"/>
      <c r="P1831" s="146"/>
      <c r="Q1831" s="146"/>
      <c r="R1831" s="146"/>
      <c r="S1831" s="146"/>
      <c r="T1831" s="146"/>
      <c r="U1831" s="146"/>
      <c r="V1831" s="146"/>
      <c r="W1831" s="146"/>
      <c r="X1831" s="146"/>
      <c r="Y1831" s="146"/>
      <c r="Z1831" s="146"/>
      <c r="AA1831" s="146"/>
      <c r="AB1831" s="146"/>
      <c r="AC1831" s="146"/>
      <c r="AD1831" s="146"/>
      <c r="AE1831" s="146"/>
      <c r="AF1831" s="146"/>
      <c r="AG1831" s="146"/>
      <c r="AH1831" s="146"/>
      <c r="AI1831" s="146"/>
      <c r="AJ1831" s="146"/>
      <c r="AK1831" s="146"/>
      <c r="AL1831" s="146"/>
      <c r="AM1831" s="146"/>
      <c r="AN1831" s="146"/>
      <c r="AO1831" s="146"/>
      <c r="AP1831" s="146"/>
    </row>
    <row r="1832" spans="2:50" s="140" customFormat="1" x14ac:dyDescent="0.3">
      <c r="AX1832"/>
    </row>
    <row r="1833" spans="2:50" x14ac:dyDescent="0.3">
      <c r="B1833" s="146"/>
      <c r="C1833" s="146"/>
      <c r="D1833" s="146"/>
      <c r="E1833" s="146"/>
      <c r="F1833" s="146"/>
      <c r="G1833" s="146"/>
      <c r="H1833" s="146"/>
      <c r="I1833" s="146"/>
      <c r="J1833" s="146"/>
      <c r="K1833" s="146"/>
      <c r="L1833" s="146"/>
      <c r="M1833" s="146"/>
      <c r="N1833" s="146"/>
      <c r="O1833" s="146"/>
      <c r="P1833" s="146"/>
      <c r="Q1833" s="146"/>
      <c r="R1833" s="146"/>
      <c r="S1833" s="146"/>
      <c r="T1833" s="146"/>
      <c r="U1833" s="146"/>
      <c r="V1833" s="146"/>
      <c r="W1833" s="146"/>
      <c r="X1833" s="146"/>
      <c r="Y1833" s="146"/>
      <c r="Z1833" s="146"/>
      <c r="AA1833" s="146"/>
      <c r="AB1833" s="146"/>
      <c r="AC1833" s="146"/>
      <c r="AD1833" s="146"/>
      <c r="AE1833" s="146"/>
      <c r="AF1833" s="146"/>
      <c r="AG1833" s="146"/>
      <c r="AH1833" s="146"/>
      <c r="AI1833" s="146"/>
      <c r="AJ1833" s="146"/>
      <c r="AK1833" s="146"/>
      <c r="AL1833" s="146"/>
      <c r="AM1833" s="146"/>
      <c r="AN1833" s="146"/>
      <c r="AO1833" s="146"/>
      <c r="AP1833" s="146"/>
    </row>
    <row r="1834" spans="2:50" x14ac:dyDescent="0.3">
      <c r="B1834" s="146"/>
      <c r="C1834" s="146"/>
      <c r="D1834" s="146"/>
      <c r="E1834" s="146"/>
      <c r="F1834" s="146"/>
      <c r="G1834" s="146"/>
      <c r="H1834" s="146"/>
      <c r="I1834" s="146"/>
      <c r="J1834" s="146"/>
      <c r="K1834" s="146"/>
      <c r="L1834" s="146"/>
      <c r="M1834" s="146"/>
      <c r="N1834" s="146"/>
      <c r="O1834" s="146"/>
      <c r="P1834" s="146"/>
      <c r="Q1834" s="146"/>
      <c r="R1834" s="146"/>
      <c r="S1834" s="146"/>
      <c r="T1834" s="146"/>
      <c r="U1834" s="146"/>
      <c r="V1834" s="146"/>
      <c r="W1834" s="146"/>
      <c r="X1834" s="146"/>
      <c r="Y1834" s="146"/>
      <c r="Z1834" s="146"/>
      <c r="AA1834" s="146"/>
      <c r="AB1834" s="146"/>
      <c r="AC1834" s="146"/>
      <c r="AD1834" s="146"/>
      <c r="AE1834" s="146"/>
      <c r="AF1834" s="146"/>
      <c r="AG1834" s="146"/>
      <c r="AH1834" s="146"/>
      <c r="AI1834" s="146"/>
      <c r="AJ1834" s="146"/>
      <c r="AK1834" s="146"/>
      <c r="AL1834" s="146"/>
      <c r="AM1834" s="146"/>
      <c r="AN1834" s="146"/>
      <c r="AO1834" s="146"/>
      <c r="AP1834" s="146"/>
    </row>
    <row r="1835" spans="2:50" x14ac:dyDescent="0.3">
      <c r="B1835" s="146"/>
      <c r="C1835" s="146"/>
      <c r="D1835" s="146"/>
      <c r="E1835" s="146"/>
      <c r="F1835" s="146"/>
      <c r="G1835" s="146"/>
      <c r="H1835" s="146"/>
      <c r="I1835" s="146"/>
      <c r="J1835" s="146"/>
      <c r="K1835" s="146"/>
      <c r="L1835" s="146"/>
      <c r="M1835" s="146"/>
      <c r="N1835" s="146"/>
      <c r="O1835" s="146"/>
      <c r="P1835" s="146"/>
      <c r="Q1835" s="146"/>
      <c r="R1835" s="146"/>
      <c r="S1835" s="146"/>
      <c r="T1835" s="146"/>
      <c r="U1835" s="146"/>
      <c r="V1835" s="146"/>
      <c r="W1835" s="146"/>
      <c r="X1835" s="146"/>
      <c r="Y1835" s="146"/>
      <c r="Z1835" s="146"/>
      <c r="AA1835" s="146"/>
      <c r="AB1835" s="146"/>
      <c r="AC1835" s="146"/>
      <c r="AD1835" s="146"/>
      <c r="AE1835" s="146"/>
      <c r="AF1835" s="146"/>
      <c r="AG1835" s="146"/>
      <c r="AH1835" s="146"/>
      <c r="AI1835" s="146"/>
      <c r="AJ1835" s="146"/>
      <c r="AK1835" s="146"/>
      <c r="AL1835" s="146"/>
      <c r="AM1835" s="146"/>
      <c r="AN1835" s="146"/>
      <c r="AO1835" s="146"/>
      <c r="AP1835" s="146"/>
    </row>
    <row r="1836" spans="2:50" x14ac:dyDescent="0.3">
      <c r="B1836" s="146"/>
      <c r="C1836" s="146"/>
      <c r="D1836" s="146"/>
      <c r="E1836" s="146"/>
      <c r="F1836" s="146"/>
      <c r="G1836" s="146"/>
      <c r="H1836" s="146"/>
      <c r="I1836" s="146"/>
      <c r="J1836" s="146"/>
      <c r="K1836" s="146"/>
      <c r="L1836" s="146"/>
      <c r="M1836" s="146"/>
      <c r="N1836" s="146"/>
      <c r="O1836" s="146"/>
      <c r="P1836" s="146"/>
      <c r="Q1836" s="146"/>
      <c r="R1836" s="146"/>
      <c r="S1836" s="146"/>
      <c r="T1836" s="146"/>
      <c r="U1836" s="146"/>
      <c r="V1836" s="146"/>
      <c r="W1836" s="146"/>
      <c r="X1836" s="146"/>
      <c r="Y1836" s="146"/>
      <c r="Z1836" s="146"/>
      <c r="AA1836" s="146"/>
      <c r="AB1836" s="146"/>
      <c r="AC1836" s="146"/>
      <c r="AD1836" s="146"/>
      <c r="AE1836" s="146"/>
      <c r="AF1836" s="146"/>
      <c r="AG1836" s="146"/>
      <c r="AH1836" s="146"/>
      <c r="AI1836" s="146"/>
      <c r="AJ1836" s="146"/>
      <c r="AK1836" s="146"/>
      <c r="AL1836" s="146"/>
      <c r="AM1836" s="146"/>
      <c r="AN1836" s="146"/>
      <c r="AO1836" s="146"/>
      <c r="AP1836" s="146"/>
    </row>
    <row r="1837" spans="2:50" x14ac:dyDescent="0.3">
      <c r="B1837" s="146"/>
      <c r="C1837" s="146"/>
      <c r="D1837" s="146"/>
      <c r="E1837" s="146"/>
      <c r="F1837" s="146"/>
      <c r="G1837" s="146"/>
      <c r="H1837" s="146"/>
      <c r="I1837" s="146"/>
      <c r="J1837" s="146"/>
      <c r="K1837" s="146"/>
      <c r="L1837" s="146"/>
      <c r="M1837" s="146"/>
      <c r="N1837" s="146"/>
      <c r="O1837" s="146"/>
      <c r="P1837" s="146"/>
      <c r="Q1837" s="146"/>
      <c r="R1837" s="146"/>
      <c r="S1837" s="146"/>
      <c r="T1837" s="146"/>
      <c r="U1837" s="146"/>
      <c r="V1837" s="146"/>
      <c r="W1837" s="146"/>
      <c r="X1837" s="146"/>
      <c r="Y1837" s="146"/>
      <c r="Z1837" s="146"/>
      <c r="AA1837" s="146"/>
      <c r="AB1837" s="146"/>
      <c r="AC1837" s="146"/>
      <c r="AD1837" s="146"/>
      <c r="AE1837" s="146"/>
      <c r="AF1837" s="146"/>
      <c r="AG1837" s="146"/>
      <c r="AH1837" s="146"/>
      <c r="AI1837" s="146"/>
      <c r="AJ1837" s="146"/>
      <c r="AK1837" s="146"/>
      <c r="AL1837" s="146"/>
      <c r="AM1837" s="146"/>
      <c r="AN1837" s="146"/>
      <c r="AO1837" s="146"/>
      <c r="AP1837" s="146"/>
    </row>
    <row r="1838" spans="2:50" x14ac:dyDescent="0.3">
      <c r="B1838" s="146"/>
      <c r="C1838" s="146"/>
      <c r="D1838" s="146"/>
      <c r="E1838" s="146"/>
      <c r="F1838" s="146"/>
      <c r="G1838" s="146"/>
      <c r="H1838" s="146"/>
      <c r="I1838" s="146"/>
      <c r="J1838" s="146"/>
      <c r="K1838" s="146"/>
      <c r="L1838" s="146"/>
      <c r="M1838" s="146"/>
      <c r="N1838" s="146"/>
      <c r="O1838" s="146"/>
      <c r="P1838" s="146"/>
      <c r="Q1838" s="146"/>
      <c r="R1838" s="146"/>
      <c r="S1838" s="146"/>
      <c r="T1838" s="146"/>
      <c r="U1838" s="146"/>
      <c r="V1838" s="146"/>
      <c r="W1838" s="146"/>
      <c r="X1838" s="146"/>
      <c r="Y1838" s="146"/>
      <c r="Z1838" s="146"/>
      <c r="AA1838" s="146"/>
      <c r="AB1838" s="146"/>
      <c r="AC1838" s="146"/>
      <c r="AD1838" s="146"/>
      <c r="AE1838" s="146"/>
      <c r="AF1838" s="146"/>
      <c r="AG1838" s="146"/>
      <c r="AH1838" s="146"/>
      <c r="AI1838" s="146"/>
      <c r="AJ1838" s="146"/>
      <c r="AK1838" s="146"/>
      <c r="AL1838" s="146"/>
      <c r="AM1838" s="146"/>
      <c r="AN1838" s="146"/>
      <c r="AO1838" s="146"/>
      <c r="AP1838" s="146"/>
    </row>
    <row r="1839" spans="2:50" x14ac:dyDescent="0.3">
      <c r="B1839" s="146"/>
      <c r="C1839" s="146"/>
      <c r="D1839" s="146"/>
      <c r="E1839" s="146"/>
      <c r="F1839" s="146"/>
      <c r="G1839" s="146"/>
      <c r="H1839" s="146"/>
      <c r="I1839" s="146"/>
      <c r="J1839" s="146"/>
      <c r="K1839" s="146"/>
      <c r="L1839" s="146"/>
      <c r="M1839" s="146"/>
      <c r="N1839" s="146"/>
      <c r="O1839" s="146"/>
      <c r="P1839" s="146"/>
      <c r="Q1839" s="146"/>
      <c r="R1839" s="146"/>
      <c r="S1839" s="146"/>
      <c r="T1839" s="146"/>
      <c r="U1839" s="146"/>
      <c r="V1839" s="146"/>
      <c r="W1839" s="146"/>
      <c r="X1839" s="146"/>
      <c r="Y1839" s="146"/>
      <c r="Z1839" s="146"/>
      <c r="AA1839" s="146"/>
      <c r="AB1839" s="146"/>
      <c r="AC1839" s="146"/>
      <c r="AD1839" s="146"/>
      <c r="AE1839" s="146"/>
      <c r="AF1839" s="146"/>
      <c r="AG1839" s="146"/>
      <c r="AH1839" s="146"/>
      <c r="AI1839" s="146"/>
      <c r="AJ1839" s="146"/>
      <c r="AK1839" s="146"/>
      <c r="AL1839" s="146"/>
      <c r="AM1839" s="146"/>
      <c r="AN1839" s="146"/>
      <c r="AO1839" s="146"/>
      <c r="AP1839" s="146"/>
    </row>
    <row r="1840" spans="2:50" x14ac:dyDescent="0.3">
      <c r="B1840" s="146"/>
      <c r="C1840" s="146"/>
      <c r="D1840" s="146"/>
      <c r="E1840" s="146"/>
      <c r="F1840" s="146"/>
      <c r="G1840" s="146"/>
      <c r="H1840" s="146"/>
      <c r="I1840" s="146"/>
      <c r="J1840" s="146"/>
      <c r="K1840" s="146"/>
      <c r="L1840" s="146"/>
      <c r="M1840" s="146"/>
      <c r="N1840" s="146"/>
      <c r="O1840" s="146"/>
      <c r="P1840" s="146"/>
      <c r="Q1840" s="146"/>
      <c r="R1840" s="146"/>
      <c r="S1840" s="146"/>
      <c r="T1840" s="146"/>
      <c r="U1840" s="146"/>
      <c r="V1840" s="146"/>
      <c r="W1840" s="146"/>
      <c r="X1840" s="146"/>
      <c r="Y1840" s="146"/>
      <c r="Z1840" s="146"/>
      <c r="AA1840" s="146"/>
      <c r="AB1840" s="146"/>
      <c r="AC1840" s="146"/>
      <c r="AD1840" s="146"/>
      <c r="AE1840" s="146"/>
      <c r="AF1840" s="146"/>
      <c r="AG1840" s="146"/>
      <c r="AH1840" s="146"/>
      <c r="AI1840" s="146"/>
      <c r="AJ1840" s="146"/>
      <c r="AK1840" s="146"/>
      <c r="AL1840" s="146"/>
      <c r="AM1840" s="146"/>
      <c r="AN1840" s="146"/>
      <c r="AO1840" s="146"/>
      <c r="AP1840" s="146"/>
    </row>
    <row r="1841" spans="2:50" x14ac:dyDescent="0.3">
      <c r="B1841" s="146"/>
      <c r="C1841" s="146"/>
      <c r="D1841" s="146"/>
      <c r="E1841" s="146"/>
      <c r="F1841" s="146"/>
      <c r="G1841" s="146"/>
      <c r="H1841" s="146"/>
      <c r="I1841" s="146"/>
      <c r="J1841" s="146"/>
      <c r="K1841" s="146"/>
      <c r="L1841" s="146"/>
      <c r="M1841" s="146"/>
      <c r="N1841" s="146"/>
      <c r="O1841" s="146"/>
      <c r="P1841" s="146"/>
      <c r="Q1841" s="146"/>
      <c r="R1841" s="146"/>
      <c r="S1841" s="146"/>
      <c r="T1841" s="146"/>
      <c r="U1841" s="146"/>
      <c r="V1841" s="146"/>
      <c r="W1841" s="146"/>
      <c r="X1841" s="146"/>
      <c r="Y1841" s="146"/>
      <c r="Z1841" s="146"/>
      <c r="AA1841" s="146"/>
      <c r="AB1841" s="146"/>
      <c r="AC1841" s="146"/>
      <c r="AD1841" s="146"/>
      <c r="AE1841" s="146"/>
      <c r="AF1841" s="146"/>
      <c r="AG1841" s="146"/>
      <c r="AH1841" s="146"/>
      <c r="AI1841" s="146"/>
      <c r="AJ1841" s="146"/>
      <c r="AK1841" s="146"/>
      <c r="AL1841" s="146"/>
      <c r="AM1841" s="146"/>
      <c r="AN1841" s="146"/>
      <c r="AO1841" s="146"/>
      <c r="AP1841" s="146"/>
    </row>
    <row r="1842" spans="2:50" s="140" customFormat="1" x14ac:dyDescent="0.3">
      <c r="AX1842"/>
    </row>
    <row r="1843" spans="2:50" x14ac:dyDescent="0.3">
      <c r="B1843" s="146"/>
      <c r="C1843" s="146"/>
      <c r="D1843" s="146"/>
      <c r="E1843" s="146"/>
      <c r="F1843" s="146"/>
      <c r="G1843" s="146"/>
      <c r="H1843" s="146"/>
      <c r="I1843" s="146"/>
      <c r="J1843" s="146"/>
      <c r="K1843" s="146"/>
      <c r="L1843" s="146"/>
      <c r="M1843" s="146"/>
      <c r="N1843" s="146"/>
      <c r="O1843" s="146"/>
      <c r="P1843" s="146"/>
      <c r="Q1843" s="146"/>
      <c r="R1843" s="146"/>
      <c r="S1843" s="146"/>
      <c r="T1843" s="146"/>
      <c r="U1843" s="146"/>
      <c r="V1843" s="146"/>
      <c r="W1843" s="146"/>
      <c r="X1843" s="146"/>
      <c r="Y1843" s="146"/>
      <c r="Z1843" s="146"/>
      <c r="AA1843" s="146"/>
      <c r="AB1843" s="146"/>
      <c r="AC1843" s="146"/>
      <c r="AD1843" s="146"/>
      <c r="AE1843" s="146"/>
      <c r="AF1843" s="146"/>
      <c r="AG1843" s="146"/>
      <c r="AH1843" s="146"/>
      <c r="AI1843" s="146"/>
      <c r="AJ1843" s="146"/>
      <c r="AK1843" s="146"/>
      <c r="AL1843" s="146"/>
      <c r="AM1843" s="146"/>
      <c r="AN1843" s="146"/>
      <c r="AO1843" s="146"/>
      <c r="AP1843" s="146"/>
    </row>
    <row r="1844" spans="2:50" x14ac:dyDescent="0.3">
      <c r="B1844" s="146"/>
      <c r="C1844" s="146"/>
      <c r="D1844" s="146"/>
      <c r="E1844" s="146"/>
      <c r="F1844" s="146"/>
      <c r="G1844" s="146"/>
      <c r="H1844" s="146"/>
      <c r="I1844" s="146"/>
      <c r="J1844" s="146"/>
      <c r="K1844" s="146"/>
      <c r="L1844" s="146"/>
      <c r="M1844" s="146"/>
      <c r="N1844" s="146"/>
      <c r="O1844" s="146"/>
      <c r="P1844" s="146"/>
      <c r="Q1844" s="146"/>
      <c r="R1844" s="146"/>
      <c r="S1844" s="146"/>
      <c r="T1844" s="146"/>
      <c r="U1844" s="146"/>
      <c r="V1844" s="146"/>
      <c r="W1844" s="146"/>
      <c r="X1844" s="146"/>
      <c r="Y1844" s="146"/>
      <c r="Z1844" s="146"/>
      <c r="AA1844" s="146"/>
      <c r="AB1844" s="146"/>
      <c r="AC1844" s="146"/>
      <c r="AD1844" s="146"/>
      <c r="AE1844" s="146"/>
      <c r="AF1844" s="146"/>
      <c r="AG1844" s="146"/>
      <c r="AH1844" s="146"/>
      <c r="AI1844" s="146"/>
      <c r="AJ1844" s="146"/>
      <c r="AK1844" s="146"/>
      <c r="AL1844" s="146"/>
      <c r="AM1844" s="146"/>
      <c r="AN1844" s="146"/>
      <c r="AO1844" s="146"/>
      <c r="AP1844" s="146"/>
    </row>
    <row r="1845" spans="2:50" x14ac:dyDescent="0.3">
      <c r="B1845" s="146"/>
      <c r="C1845" s="146"/>
      <c r="D1845" s="146"/>
      <c r="E1845" s="146"/>
      <c r="F1845" s="146"/>
      <c r="G1845" s="146"/>
      <c r="H1845" s="146"/>
      <c r="I1845" s="146"/>
      <c r="J1845" s="146"/>
      <c r="K1845" s="146"/>
      <c r="L1845" s="146"/>
      <c r="M1845" s="146"/>
      <c r="N1845" s="146"/>
      <c r="O1845" s="146"/>
      <c r="P1845" s="146"/>
      <c r="Q1845" s="146"/>
      <c r="R1845" s="146"/>
      <c r="S1845" s="146"/>
      <c r="T1845" s="146"/>
      <c r="U1845" s="146"/>
      <c r="V1845" s="146"/>
      <c r="W1845" s="146"/>
      <c r="X1845" s="146"/>
      <c r="Y1845" s="146"/>
      <c r="Z1845" s="146"/>
      <c r="AA1845" s="146"/>
      <c r="AB1845" s="146"/>
      <c r="AC1845" s="146"/>
      <c r="AD1845" s="146"/>
      <c r="AE1845" s="146"/>
      <c r="AF1845" s="146"/>
      <c r="AG1845" s="146"/>
      <c r="AH1845" s="146"/>
      <c r="AI1845" s="146"/>
      <c r="AJ1845" s="146"/>
      <c r="AK1845" s="146"/>
      <c r="AL1845" s="146"/>
      <c r="AM1845" s="146"/>
      <c r="AN1845" s="146"/>
      <c r="AO1845" s="146"/>
      <c r="AP1845" s="146"/>
    </row>
    <row r="1846" spans="2:50" x14ac:dyDescent="0.3">
      <c r="B1846" s="146"/>
      <c r="C1846" s="146"/>
      <c r="D1846" s="146"/>
      <c r="E1846" s="146"/>
      <c r="F1846" s="146"/>
      <c r="G1846" s="146"/>
      <c r="H1846" s="146"/>
      <c r="I1846" s="146"/>
      <c r="J1846" s="146"/>
      <c r="K1846" s="146"/>
      <c r="L1846" s="146"/>
      <c r="M1846" s="146"/>
      <c r="N1846" s="146"/>
      <c r="O1846" s="146"/>
      <c r="P1846" s="146"/>
      <c r="Q1846" s="146"/>
      <c r="R1846" s="146"/>
      <c r="S1846" s="146"/>
      <c r="T1846" s="146"/>
      <c r="U1846" s="146"/>
      <c r="V1846" s="146"/>
      <c r="W1846" s="146"/>
      <c r="X1846" s="146"/>
      <c r="Y1846" s="146"/>
      <c r="Z1846" s="146"/>
      <c r="AA1846" s="146"/>
      <c r="AB1846" s="146"/>
      <c r="AC1846" s="146"/>
      <c r="AD1846" s="146"/>
      <c r="AE1846" s="146"/>
      <c r="AF1846" s="146"/>
      <c r="AG1846" s="146"/>
      <c r="AH1846" s="146"/>
      <c r="AI1846" s="146"/>
      <c r="AJ1846" s="146"/>
      <c r="AK1846" s="146"/>
      <c r="AL1846" s="146"/>
      <c r="AM1846" s="146"/>
      <c r="AN1846" s="146"/>
      <c r="AO1846" s="146"/>
      <c r="AP1846" s="146"/>
    </row>
    <row r="1847" spans="2:50" x14ac:dyDescent="0.3">
      <c r="B1847" s="146"/>
      <c r="C1847" s="146"/>
      <c r="D1847" s="146"/>
      <c r="E1847" s="146"/>
      <c r="F1847" s="146"/>
      <c r="G1847" s="146"/>
      <c r="H1847" s="146"/>
      <c r="I1847" s="146"/>
      <c r="J1847" s="146"/>
      <c r="K1847" s="146"/>
      <c r="L1847" s="146"/>
      <c r="M1847" s="146"/>
      <c r="N1847" s="146"/>
      <c r="O1847" s="146"/>
      <c r="P1847" s="146"/>
      <c r="Q1847" s="146"/>
      <c r="R1847" s="146"/>
      <c r="S1847" s="146"/>
      <c r="T1847" s="146"/>
      <c r="U1847" s="146"/>
      <c r="V1847" s="146"/>
      <c r="W1847" s="146"/>
      <c r="X1847" s="146"/>
      <c r="Y1847" s="146"/>
      <c r="Z1847" s="146"/>
      <c r="AA1847" s="146"/>
      <c r="AB1847" s="146"/>
      <c r="AC1847" s="146"/>
      <c r="AD1847" s="146"/>
      <c r="AE1847" s="146"/>
      <c r="AF1847" s="146"/>
      <c r="AG1847" s="146"/>
      <c r="AH1847" s="146"/>
      <c r="AI1847" s="146"/>
      <c r="AJ1847" s="146"/>
      <c r="AK1847" s="146"/>
      <c r="AL1847" s="146"/>
      <c r="AM1847" s="146"/>
      <c r="AN1847" s="146"/>
      <c r="AO1847" s="146"/>
      <c r="AP1847" s="146"/>
    </row>
    <row r="1848" spans="2:50" x14ac:dyDescent="0.3">
      <c r="B1848" s="146"/>
      <c r="C1848" s="146"/>
      <c r="D1848" s="146"/>
      <c r="E1848" s="146"/>
      <c r="F1848" s="146"/>
      <c r="G1848" s="146"/>
      <c r="H1848" s="146"/>
      <c r="I1848" s="146"/>
      <c r="J1848" s="146"/>
      <c r="K1848" s="146"/>
      <c r="L1848" s="146"/>
      <c r="M1848" s="146"/>
      <c r="N1848" s="146"/>
      <c r="O1848" s="146"/>
      <c r="P1848" s="146"/>
      <c r="Q1848" s="146"/>
      <c r="R1848" s="146"/>
      <c r="S1848" s="146"/>
      <c r="T1848" s="146"/>
      <c r="U1848" s="146"/>
      <c r="V1848" s="146"/>
      <c r="W1848" s="146"/>
      <c r="X1848" s="146"/>
      <c r="Y1848" s="146"/>
      <c r="Z1848" s="146"/>
      <c r="AA1848" s="146"/>
      <c r="AB1848" s="146"/>
      <c r="AC1848" s="146"/>
      <c r="AD1848" s="146"/>
      <c r="AE1848" s="146"/>
      <c r="AF1848" s="146"/>
      <c r="AG1848" s="146"/>
      <c r="AH1848" s="146"/>
      <c r="AI1848" s="146"/>
      <c r="AJ1848" s="146"/>
      <c r="AK1848" s="146"/>
      <c r="AL1848" s="146"/>
      <c r="AM1848" s="146"/>
      <c r="AN1848" s="146"/>
      <c r="AO1848" s="146"/>
      <c r="AP1848" s="146"/>
    </row>
    <row r="1849" spans="2:50" x14ac:dyDescent="0.3">
      <c r="B1849" s="146"/>
      <c r="C1849" s="146"/>
      <c r="D1849" s="146"/>
      <c r="E1849" s="146"/>
      <c r="F1849" s="146"/>
      <c r="G1849" s="146"/>
      <c r="H1849" s="146"/>
      <c r="I1849" s="146"/>
      <c r="J1849" s="146"/>
      <c r="K1849" s="146"/>
      <c r="L1849" s="146"/>
      <c r="M1849" s="146"/>
      <c r="N1849" s="146"/>
      <c r="O1849" s="146"/>
      <c r="P1849" s="146"/>
      <c r="Q1849" s="146"/>
      <c r="R1849" s="146"/>
      <c r="S1849" s="146"/>
      <c r="T1849" s="146"/>
      <c r="U1849" s="146"/>
      <c r="V1849" s="146"/>
      <c r="W1849" s="146"/>
      <c r="X1849" s="146"/>
      <c r="Y1849" s="146"/>
      <c r="Z1849" s="146"/>
      <c r="AA1849" s="146"/>
      <c r="AB1849" s="146"/>
      <c r="AC1849" s="146"/>
      <c r="AD1849" s="146"/>
      <c r="AE1849" s="146"/>
      <c r="AF1849" s="146"/>
      <c r="AG1849" s="146"/>
      <c r="AH1849" s="146"/>
      <c r="AI1849" s="146"/>
      <c r="AJ1849" s="146"/>
      <c r="AK1849" s="146"/>
      <c r="AL1849" s="146"/>
      <c r="AM1849" s="146"/>
      <c r="AN1849" s="146"/>
      <c r="AO1849" s="146"/>
      <c r="AP1849" s="146"/>
    </row>
    <row r="1850" spans="2:50" x14ac:dyDescent="0.3">
      <c r="B1850" s="146"/>
      <c r="C1850" s="146"/>
      <c r="D1850" s="146"/>
      <c r="E1850" s="146"/>
      <c r="F1850" s="146"/>
      <c r="G1850" s="146"/>
      <c r="H1850" s="146"/>
      <c r="I1850" s="146"/>
      <c r="J1850" s="146"/>
      <c r="K1850" s="146"/>
      <c r="L1850" s="146"/>
      <c r="M1850" s="146"/>
      <c r="N1850" s="146"/>
      <c r="O1850" s="146"/>
      <c r="P1850" s="146"/>
      <c r="Q1850" s="146"/>
      <c r="R1850" s="146"/>
      <c r="S1850" s="146"/>
      <c r="T1850" s="146"/>
      <c r="U1850" s="146"/>
      <c r="V1850" s="146"/>
      <c r="W1850" s="146"/>
      <c r="X1850" s="146"/>
      <c r="Y1850" s="146"/>
      <c r="Z1850" s="146"/>
      <c r="AA1850" s="146"/>
      <c r="AB1850" s="146"/>
      <c r="AC1850" s="146"/>
      <c r="AD1850" s="146"/>
      <c r="AE1850" s="146"/>
      <c r="AF1850" s="146"/>
      <c r="AG1850" s="146"/>
      <c r="AH1850" s="146"/>
      <c r="AI1850" s="146"/>
      <c r="AJ1850" s="146"/>
      <c r="AK1850" s="146"/>
      <c r="AL1850" s="146"/>
      <c r="AM1850" s="146"/>
      <c r="AN1850" s="146"/>
      <c r="AO1850" s="146"/>
      <c r="AP1850" s="146"/>
    </row>
    <row r="1851" spans="2:50" x14ac:dyDescent="0.3">
      <c r="B1851" s="146"/>
      <c r="C1851" s="146"/>
      <c r="D1851" s="146"/>
      <c r="E1851" s="146"/>
      <c r="F1851" s="146"/>
      <c r="G1851" s="146"/>
      <c r="H1851" s="146"/>
      <c r="I1851" s="146"/>
      <c r="J1851" s="146"/>
      <c r="K1851" s="146"/>
      <c r="L1851" s="146"/>
      <c r="M1851" s="146"/>
      <c r="N1851" s="146"/>
      <c r="O1851" s="146"/>
      <c r="P1851" s="146"/>
      <c r="Q1851" s="146"/>
      <c r="R1851" s="146"/>
      <c r="S1851" s="146"/>
      <c r="T1851" s="146"/>
      <c r="U1851" s="146"/>
      <c r="V1851" s="146"/>
      <c r="W1851" s="146"/>
      <c r="X1851" s="146"/>
      <c r="Y1851" s="146"/>
      <c r="Z1851" s="146"/>
      <c r="AA1851" s="146"/>
      <c r="AB1851" s="146"/>
      <c r="AC1851" s="146"/>
      <c r="AD1851" s="146"/>
      <c r="AE1851" s="146"/>
      <c r="AF1851" s="146"/>
      <c r="AG1851" s="146"/>
      <c r="AH1851" s="146"/>
      <c r="AI1851" s="146"/>
      <c r="AJ1851" s="146"/>
      <c r="AK1851" s="146"/>
      <c r="AL1851" s="146"/>
      <c r="AM1851" s="146"/>
      <c r="AN1851" s="146"/>
      <c r="AO1851" s="146"/>
      <c r="AP1851" s="146"/>
    </row>
    <row r="1852" spans="2:50" s="140" customFormat="1" x14ac:dyDescent="0.3">
      <c r="AX1852"/>
    </row>
    <row r="1853" spans="2:50" x14ac:dyDescent="0.3">
      <c r="B1853" s="146"/>
      <c r="C1853" s="146"/>
      <c r="D1853" s="146"/>
      <c r="E1853" s="146"/>
      <c r="F1853" s="146"/>
      <c r="G1853" s="146"/>
      <c r="H1853" s="146"/>
      <c r="I1853" s="146"/>
      <c r="J1853" s="146"/>
      <c r="K1853" s="146"/>
      <c r="L1853" s="146"/>
      <c r="M1853" s="146"/>
      <c r="N1853" s="146"/>
      <c r="O1853" s="146"/>
      <c r="P1853" s="146"/>
      <c r="Q1853" s="146"/>
      <c r="R1853" s="146"/>
      <c r="S1853" s="146"/>
      <c r="T1853" s="146"/>
      <c r="U1853" s="146"/>
      <c r="V1853" s="146"/>
      <c r="W1853" s="146"/>
      <c r="X1853" s="146"/>
      <c r="Y1853" s="146"/>
      <c r="Z1853" s="146"/>
      <c r="AA1853" s="146"/>
      <c r="AB1853" s="146"/>
      <c r="AC1853" s="146"/>
      <c r="AD1853" s="146"/>
      <c r="AE1853" s="146"/>
      <c r="AF1853" s="146"/>
      <c r="AG1853" s="146"/>
      <c r="AH1853" s="146"/>
      <c r="AI1853" s="146"/>
      <c r="AJ1853" s="146"/>
      <c r="AK1853" s="146"/>
      <c r="AL1853" s="146"/>
      <c r="AM1853" s="146"/>
      <c r="AN1853" s="146"/>
      <c r="AO1853" s="146"/>
      <c r="AP1853" s="146"/>
    </row>
    <row r="1854" spans="2:50" x14ac:dyDescent="0.3">
      <c r="B1854" s="146"/>
      <c r="C1854" s="146"/>
      <c r="D1854" s="146"/>
      <c r="E1854" s="146"/>
      <c r="F1854" s="146"/>
      <c r="G1854" s="146"/>
      <c r="H1854" s="146"/>
      <c r="I1854" s="146"/>
      <c r="J1854" s="146"/>
      <c r="K1854" s="146"/>
      <c r="L1854" s="146"/>
      <c r="M1854" s="146"/>
      <c r="N1854" s="146"/>
      <c r="O1854" s="146"/>
      <c r="P1854" s="146"/>
      <c r="Q1854" s="146"/>
      <c r="R1854" s="146"/>
      <c r="S1854" s="146"/>
      <c r="T1854" s="146"/>
      <c r="U1854" s="146"/>
      <c r="V1854" s="146"/>
      <c r="W1854" s="146"/>
      <c r="X1854" s="146"/>
      <c r="Y1854" s="146"/>
      <c r="Z1854" s="146"/>
      <c r="AA1854" s="146"/>
      <c r="AB1854" s="146"/>
      <c r="AC1854" s="146"/>
      <c r="AD1854" s="146"/>
      <c r="AE1854" s="146"/>
      <c r="AF1854" s="146"/>
      <c r="AG1854" s="146"/>
      <c r="AH1854" s="146"/>
      <c r="AI1854" s="146"/>
      <c r="AJ1854" s="146"/>
      <c r="AK1854" s="146"/>
      <c r="AL1854" s="146"/>
      <c r="AM1854" s="146"/>
      <c r="AN1854" s="146"/>
      <c r="AO1854" s="146"/>
      <c r="AP1854" s="146"/>
    </row>
    <row r="1855" spans="2:50" x14ac:dyDescent="0.3">
      <c r="B1855" s="146"/>
      <c r="C1855" s="146"/>
      <c r="D1855" s="146"/>
      <c r="E1855" s="146"/>
      <c r="F1855" s="146"/>
      <c r="G1855" s="146"/>
      <c r="H1855" s="146"/>
      <c r="I1855" s="146"/>
      <c r="J1855" s="146"/>
      <c r="K1855" s="146"/>
      <c r="L1855" s="146"/>
      <c r="M1855" s="146"/>
      <c r="N1855" s="146"/>
      <c r="O1855" s="146"/>
      <c r="P1855" s="146"/>
      <c r="Q1855" s="146"/>
      <c r="R1855" s="146"/>
      <c r="S1855" s="146"/>
      <c r="T1855" s="146"/>
      <c r="U1855" s="146"/>
      <c r="V1855" s="146"/>
      <c r="W1855" s="146"/>
      <c r="X1855" s="146"/>
      <c r="Y1855" s="146"/>
      <c r="Z1855" s="146"/>
      <c r="AA1855" s="146"/>
      <c r="AB1855" s="146"/>
      <c r="AC1855" s="146"/>
      <c r="AD1855" s="146"/>
      <c r="AE1855" s="146"/>
      <c r="AF1855" s="146"/>
      <c r="AG1855" s="146"/>
      <c r="AH1855" s="146"/>
      <c r="AI1855" s="146"/>
      <c r="AJ1855" s="146"/>
      <c r="AK1855" s="146"/>
      <c r="AL1855" s="146"/>
      <c r="AM1855" s="146"/>
      <c r="AN1855" s="146"/>
      <c r="AO1855" s="146"/>
      <c r="AP1855" s="146"/>
    </row>
    <row r="1856" spans="2:50" x14ac:dyDescent="0.3">
      <c r="B1856" s="146"/>
      <c r="C1856" s="146"/>
      <c r="D1856" s="146"/>
      <c r="E1856" s="146"/>
      <c r="F1856" s="146"/>
      <c r="G1856" s="146"/>
      <c r="H1856" s="146"/>
      <c r="I1856" s="146"/>
      <c r="J1856" s="146"/>
      <c r="K1856" s="146"/>
      <c r="L1856" s="146"/>
      <c r="M1856" s="146"/>
      <c r="N1856" s="146"/>
      <c r="O1856" s="146"/>
      <c r="P1856" s="146"/>
      <c r="Q1856" s="146"/>
      <c r="R1856" s="146"/>
      <c r="S1856" s="146"/>
      <c r="T1856" s="146"/>
      <c r="U1856" s="146"/>
      <c r="V1856" s="146"/>
      <c r="W1856" s="146"/>
      <c r="X1856" s="146"/>
      <c r="Y1856" s="146"/>
      <c r="Z1856" s="146"/>
      <c r="AA1856" s="146"/>
      <c r="AB1856" s="146"/>
      <c r="AC1856" s="146"/>
      <c r="AD1856" s="146"/>
      <c r="AE1856" s="146"/>
      <c r="AF1856" s="146"/>
      <c r="AG1856" s="146"/>
      <c r="AH1856" s="146"/>
      <c r="AI1856" s="146"/>
      <c r="AJ1856" s="146"/>
      <c r="AK1856" s="146"/>
      <c r="AL1856" s="146"/>
      <c r="AM1856" s="146"/>
      <c r="AN1856" s="146"/>
      <c r="AO1856" s="146"/>
      <c r="AP1856" s="146"/>
    </row>
    <row r="1857" spans="2:50" x14ac:dyDescent="0.3">
      <c r="B1857" s="146"/>
      <c r="C1857" s="146"/>
      <c r="D1857" s="146"/>
      <c r="E1857" s="146"/>
      <c r="F1857" s="146"/>
      <c r="G1857" s="146"/>
      <c r="H1857" s="146"/>
      <c r="I1857" s="146"/>
      <c r="J1857" s="146"/>
      <c r="K1857" s="146"/>
      <c r="L1857" s="146"/>
      <c r="M1857" s="146"/>
      <c r="N1857" s="146"/>
      <c r="O1857" s="146"/>
      <c r="P1857" s="146"/>
      <c r="Q1857" s="146"/>
      <c r="R1857" s="146"/>
      <c r="S1857" s="146"/>
      <c r="T1857" s="146"/>
      <c r="U1857" s="146"/>
      <c r="V1857" s="146"/>
      <c r="W1857" s="146"/>
      <c r="X1857" s="146"/>
      <c r="Y1857" s="146"/>
      <c r="Z1857" s="146"/>
      <c r="AA1857" s="146"/>
      <c r="AB1857" s="146"/>
      <c r="AC1857" s="146"/>
      <c r="AD1857" s="146"/>
      <c r="AE1857" s="146"/>
      <c r="AF1857" s="146"/>
      <c r="AG1857" s="146"/>
      <c r="AH1857" s="146"/>
      <c r="AI1857" s="146"/>
      <c r="AJ1857" s="146"/>
      <c r="AK1857" s="146"/>
      <c r="AL1857" s="146"/>
      <c r="AM1857" s="146"/>
      <c r="AN1857" s="146"/>
      <c r="AO1857" s="146"/>
      <c r="AP1857" s="146"/>
    </row>
    <row r="1858" spans="2:50" x14ac:dyDescent="0.3">
      <c r="B1858" s="146"/>
      <c r="C1858" s="146"/>
      <c r="D1858" s="146"/>
      <c r="E1858" s="146"/>
      <c r="F1858" s="146"/>
      <c r="G1858" s="146"/>
      <c r="H1858" s="146"/>
      <c r="I1858" s="146"/>
      <c r="J1858" s="146"/>
      <c r="K1858" s="146"/>
      <c r="L1858" s="146"/>
      <c r="M1858" s="146"/>
      <c r="N1858" s="146"/>
      <c r="O1858" s="146"/>
      <c r="P1858" s="146"/>
      <c r="Q1858" s="146"/>
      <c r="R1858" s="146"/>
      <c r="S1858" s="146"/>
      <c r="T1858" s="146"/>
      <c r="U1858" s="146"/>
      <c r="V1858" s="146"/>
      <c r="W1858" s="146"/>
      <c r="X1858" s="146"/>
      <c r="Y1858" s="146"/>
      <c r="Z1858" s="146"/>
      <c r="AA1858" s="146"/>
      <c r="AB1858" s="146"/>
      <c r="AC1858" s="146"/>
      <c r="AD1858" s="146"/>
      <c r="AE1858" s="146"/>
      <c r="AF1858" s="146"/>
      <c r="AG1858" s="146"/>
      <c r="AH1858" s="146"/>
      <c r="AI1858" s="146"/>
      <c r="AJ1858" s="146"/>
      <c r="AK1858" s="146"/>
      <c r="AL1858" s="146"/>
      <c r="AM1858" s="146"/>
      <c r="AN1858" s="146"/>
      <c r="AO1858" s="146"/>
      <c r="AP1858" s="146"/>
    </row>
    <row r="1859" spans="2:50" x14ac:dyDescent="0.3">
      <c r="B1859" s="146"/>
      <c r="C1859" s="146"/>
      <c r="D1859" s="146"/>
      <c r="E1859" s="146"/>
      <c r="F1859" s="146"/>
      <c r="G1859" s="146"/>
      <c r="H1859" s="146"/>
      <c r="I1859" s="146"/>
      <c r="J1859" s="146"/>
      <c r="K1859" s="146"/>
      <c r="L1859" s="146"/>
      <c r="M1859" s="146"/>
      <c r="N1859" s="146"/>
      <c r="O1859" s="146"/>
      <c r="P1859" s="146"/>
      <c r="Q1859" s="146"/>
      <c r="R1859" s="146"/>
      <c r="S1859" s="146"/>
      <c r="T1859" s="146"/>
      <c r="U1859" s="146"/>
      <c r="V1859" s="146"/>
      <c r="W1859" s="146"/>
      <c r="X1859" s="146"/>
      <c r="Y1859" s="146"/>
      <c r="Z1859" s="146"/>
      <c r="AA1859" s="146"/>
      <c r="AB1859" s="146"/>
      <c r="AC1859" s="146"/>
      <c r="AD1859" s="146"/>
      <c r="AE1859" s="146"/>
      <c r="AF1859" s="146"/>
      <c r="AG1859" s="146"/>
      <c r="AH1859" s="146"/>
      <c r="AI1859" s="146"/>
      <c r="AJ1859" s="146"/>
      <c r="AK1859" s="146"/>
      <c r="AL1859" s="146"/>
      <c r="AM1859" s="146"/>
      <c r="AN1859" s="146"/>
      <c r="AO1859" s="146"/>
      <c r="AP1859" s="146"/>
    </row>
    <row r="1860" spans="2:50" x14ac:dyDescent="0.3">
      <c r="B1860" s="146"/>
      <c r="C1860" s="146"/>
      <c r="D1860" s="146"/>
      <c r="E1860" s="146"/>
      <c r="F1860" s="146"/>
      <c r="G1860" s="146"/>
      <c r="H1860" s="146"/>
      <c r="I1860" s="146"/>
      <c r="J1860" s="146"/>
      <c r="K1860" s="146"/>
      <c r="L1860" s="146"/>
      <c r="M1860" s="146"/>
      <c r="N1860" s="146"/>
      <c r="O1860" s="146"/>
      <c r="P1860" s="146"/>
      <c r="Q1860" s="146"/>
      <c r="R1860" s="146"/>
      <c r="S1860" s="146"/>
      <c r="T1860" s="146"/>
      <c r="U1860" s="146"/>
      <c r="V1860" s="146"/>
      <c r="W1860" s="146"/>
      <c r="X1860" s="146"/>
      <c r="Y1860" s="146"/>
      <c r="Z1860" s="146"/>
      <c r="AA1860" s="146"/>
      <c r="AB1860" s="146"/>
      <c r="AC1860" s="146"/>
      <c r="AD1860" s="146"/>
      <c r="AE1860" s="146"/>
      <c r="AF1860" s="146"/>
      <c r="AG1860" s="146"/>
      <c r="AH1860" s="146"/>
      <c r="AI1860" s="146"/>
      <c r="AJ1860" s="146"/>
      <c r="AK1860" s="146"/>
      <c r="AL1860" s="146"/>
      <c r="AM1860" s="146"/>
      <c r="AN1860" s="146"/>
      <c r="AO1860" s="146"/>
      <c r="AP1860" s="146"/>
    </row>
    <row r="1861" spans="2:50" x14ac:dyDescent="0.3">
      <c r="B1861" s="146"/>
      <c r="C1861" s="146"/>
      <c r="D1861" s="146"/>
      <c r="E1861" s="146"/>
      <c r="F1861" s="146"/>
      <c r="G1861" s="146"/>
      <c r="H1861" s="146"/>
      <c r="I1861" s="146"/>
      <c r="J1861" s="146"/>
      <c r="K1861" s="146"/>
      <c r="L1861" s="146"/>
      <c r="M1861" s="146"/>
      <c r="N1861" s="146"/>
      <c r="O1861" s="146"/>
      <c r="P1861" s="146"/>
      <c r="Q1861" s="146"/>
      <c r="R1861" s="146"/>
      <c r="S1861" s="146"/>
      <c r="T1861" s="146"/>
      <c r="U1861" s="146"/>
      <c r="V1861" s="146"/>
      <c r="W1861" s="146"/>
      <c r="X1861" s="146"/>
      <c r="Y1861" s="146"/>
      <c r="Z1861" s="146"/>
      <c r="AA1861" s="146"/>
      <c r="AB1861" s="146"/>
      <c r="AC1861" s="146"/>
      <c r="AD1861" s="146"/>
      <c r="AE1861" s="146"/>
      <c r="AF1861" s="146"/>
      <c r="AG1861" s="146"/>
      <c r="AH1861" s="146"/>
      <c r="AI1861" s="146"/>
      <c r="AJ1861" s="146"/>
      <c r="AK1861" s="146"/>
      <c r="AL1861" s="146"/>
      <c r="AM1861" s="146"/>
      <c r="AN1861" s="146"/>
      <c r="AO1861" s="146"/>
      <c r="AP1861" s="146"/>
    </row>
    <row r="1862" spans="2:50" s="140" customFormat="1" x14ac:dyDescent="0.3">
      <c r="AX1862"/>
    </row>
    <row r="1863" spans="2:50" x14ac:dyDescent="0.3">
      <c r="B1863" s="146"/>
      <c r="C1863" s="146"/>
      <c r="D1863" s="146"/>
      <c r="E1863" s="146"/>
      <c r="F1863" s="146"/>
      <c r="G1863" s="146"/>
      <c r="H1863" s="146"/>
      <c r="I1863" s="146"/>
      <c r="J1863" s="146"/>
      <c r="K1863" s="146"/>
      <c r="L1863" s="146"/>
      <c r="M1863" s="146"/>
      <c r="N1863" s="146"/>
      <c r="O1863" s="146"/>
      <c r="P1863" s="146"/>
      <c r="Q1863" s="146"/>
      <c r="R1863" s="146"/>
      <c r="S1863" s="146"/>
      <c r="T1863" s="146"/>
      <c r="U1863" s="146"/>
      <c r="V1863" s="146"/>
      <c r="W1863" s="146"/>
      <c r="X1863" s="146"/>
      <c r="Y1863" s="146"/>
      <c r="Z1863" s="146"/>
      <c r="AA1863" s="146"/>
      <c r="AB1863" s="146"/>
      <c r="AC1863" s="146"/>
      <c r="AD1863" s="146"/>
      <c r="AE1863" s="146"/>
      <c r="AF1863" s="146"/>
      <c r="AG1863" s="146"/>
      <c r="AH1863" s="146"/>
      <c r="AI1863" s="146"/>
      <c r="AJ1863" s="146"/>
      <c r="AK1863" s="146"/>
      <c r="AL1863" s="146"/>
      <c r="AM1863" s="146"/>
      <c r="AN1863" s="146"/>
      <c r="AO1863" s="146"/>
      <c r="AP1863" s="146"/>
    </row>
    <row r="1864" spans="2:50" x14ac:dyDescent="0.3">
      <c r="B1864" s="146"/>
      <c r="C1864" s="146"/>
      <c r="D1864" s="146"/>
      <c r="E1864" s="146"/>
      <c r="F1864" s="146"/>
      <c r="G1864" s="146"/>
      <c r="H1864" s="146"/>
      <c r="I1864" s="146"/>
      <c r="J1864" s="146"/>
      <c r="K1864" s="146"/>
      <c r="L1864" s="146"/>
      <c r="M1864" s="146"/>
      <c r="N1864" s="146"/>
      <c r="O1864" s="146"/>
      <c r="P1864" s="146"/>
      <c r="Q1864" s="146"/>
      <c r="R1864" s="146"/>
      <c r="S1864" s="146"/>
      <c r="T1864" s="146"/>
      <c r="U1864" s="146"/>
      <c r="V1864" s="146"/>
      <c r="W1864" s="146"/>
      <c r="X1864" s="146"/>
      <c r="Y1864" s="146"/>
      <c r="Z1864" s="146"/>
      <c r="AA1864" s="146"/>
      <c r="AB1864" s="146"/>
      <c r="AC1864" s="146"/>
      <c r="AD1864" s="146"/>
      <c r="AE1864" s="146"/>
      <c r="AF1864" s="146"/>
      <c r="AG1864" s="146"/>
      <c r="AH1864" s="146"/>
      <c r="AI1864" s="146"/>
      <c r="AJ1864" s="146"/>
      <c r="AK1864" s="146"/>
      <c r="AL1864" s="146"/>
      <c r="AM1864" s="146"/>
      <c r="AN1864" s="146"/>
      <c r="AO1864" s="146"/>
      <c r="AP1864" s="146"/>
    </row>
    <row r="1865" spans="2:50" x14ac:dyDescent="0.3">
      <c r="B1865" s="146"/>
      <c r="C1865" s="146"/>
      <c r="D1865" s="146"/>
      <c r="E1865" s="146"/>
      <c r="F1865" s="146"/>
      <c r="G1865" s="146"/>
      <c r="H1865" s="146"/>
      <c r="I1865" s="146"/>
      <c r="J1865" s="146"/>
      <c r="K1865" s="146"/>
      <c r="L1865" s="146"/>
      <c r="M1865" s="146"/>
      <c r="N1865" s="146"/>
      <c r="O1865" s="146"/>
      <c r="P1865" s="146"/>
      <c r="Q1865" s="146"/>
      <c r="R1865" s="146"/>
      <c r="S1865" s="146"/>
      <c r="T1865" s="146"/>
      <c r="U1865" s="146"/>
      <c r="V1865" s="146"/>
      <c r="W1865" s="146"/>
      <c r="X1865" s="146"/>
      <c r="Y1865" s="146"/>
      <c r="Z1865" s="146"/>
      <c r="AA1865" s="146"/>
      <c r="AB1865" s="146"/>
      <c r="AC1865" s="146"/>
      <c r="AD1865" s="146"/>
      <c r="AE1865" s="146"/>
      <c r="AF1865" s="146"/>
      <c r="AG1865" s="146"/>
      <c r="AH1865" s="146"/>
      <c r="AI1865" s="146"/>
      <c r="AJ1865" s="146"/>
      <c r="AK1865" s="146"/>
      <c r="AL1865" s="146"/>
      <c r="AM1865" s="146"/>
      <c r="AN1865" s="146"/>
      <c r="AO1865" s="146"/>
      <c r="AP1865" s="146"/>
    </row>
    <row r="1866" spans="2:50" x14ac:dyDescent="0.3">
      <c r="B1866" s="146"/>
      <c r="C1866" s="146"/>
      <c r="D1866" s="146"/>
      <c r="E1866" s="146"/>
      <c r="F1866" s="146"/>
      <c r="G1866" s="146"/>
      <c r="H1866" s="146"/>
      <c r="I1866" s="146"/>
      <c r="J1866" s="146"/>
      <c r="K1866" s="146"/>
      <c r="L1866" s="146"/>
      <c r="M1866" s="146"/>
      <c r="N1866" s="146"/>
      <c r="O1866" s="146"/>
      <c r="P1866" s="146"/>
      <c r="Q1866" s="146"/>
      <c r="R1866" s="146"/>
      <c r="S1866" s="146"/>
      <c r="T1866" s="146"/>
      <c r="U1866" s="146"/>
      <c r="V1866" s="146"/>
      <c r="W1866" s="146"/>
      <c r="X1866" s="146"/>
      <c r="Y1866" s="146"/>
      <c r="Z1866" s="146"/>
      <c r="AA1866" s="146"/>
      <c r="AB1866" s="146"/>
      <c r="AC1866" s="146"/>
      <c r="AD1866" s="146"/>
      <c r="AE1866" s="146"/>
      <c r="AF1866" s="146"/>
      <c r="AG1866" s="146"/>
      <c r="AH1866" s="146"/>
      <c r="AI1866" s="146"/>
      <c r="AJ1866" s="146"/>
      <c r="AK1866" s="146"/>
      <c r="AL1866" s="146"/>
      <c r="AM1866" s="146"/>
      <c r="AN1866" s="146"/>
      <c r="AO1866" s="146"/>
      <c r="AP1866" s="146"/>
    </row>
    <row r="1867" spans="2:50" x14ac:dyDescent="0.3">
      <c r="B1867" s="146"/>
      <c r="C1867" s="146"/>
      <c r="D1867" s="146"/>
      <c r="E1867" s="146"/>
      <c r="F1867" s="146"/>
      <c r="G1867" s="146"/>
      <c r="H1867" s="146"/>
      <c r="I1867" s="146"/>
      <c r="J1867" s="146"/>
      <c r="K1867" s="146"/>
      <c r="L1867" s="146"/>
      <c r="M1867" s="146"/>
      <c r="N1867" s="146"/>
      <c r="O1867" s="146"/>
      <c r="P1867" s="146"/>
      <c r="Q1867" s="146"/>
      <c r="R1867" s="146"/>
      <c r="S1867" s="146"/>
      <c r="T1867" s="146"/>
      <c r="U1867" s="146"/>
      <c r="V1867" s="146"/>
      <c r="W1867" s="146"/>
      <c r="X1867" s="146"/>
      <c r="Y1867" s="146"/>
      <c r="Z1867" s="146"/>
      <c r="AA1867" s="146"/>
      <c r="AB1867" s="146"/>
      <c r="AC1867" s="146"/>
      <c r="AD1867" s="146"/>
      <c r="AE1867" s="146"/>
      <c r="AF1867" s="146"/>
      <c r="AG1867" s="146"/>
      <c r="AH1867" s="146"/>
      <c r="AI1867" s="146"/>
      <c r="AJ1867" s="146"/>
      <c r="AK1867" s="146"/>
      <c r="AL1867" s="146"/>
      <c r="AM1867" s="146"/>
      <c r="AN1867" s="146"/>
      <c r="AO1867" s="146"/>
      <c r="AP1867" s="146"/>
    </row>
    <row r="1868" spans="2:50" x14ac:dyDescent="0.3">
      <c r="B1868" s="146"/>
      <c r="C1868" s="146"/>
      <c r="D1868" s="146"/>
      <c r="E1868" s="146"/>
      <c r="F1868" s="146"/>
      <c r="G1868" s="146"/>
      <c r="H1868" s="146"/>
      <c r="I1868" s="146"/>
      <c r="J1868" s="146"/>
      <c r="K1868" s="146"/>
      <c r="L1868" s="146"/>
      <c r="M1868" s="146"/>
      <c r="N1868" s="146"/>
      <c r="O1868" s="146"/>
      <c r="P1868" s="146"/>
      <c r="Q1868" s="146"/>
      <c r="R1868" s="146"/>
      <c r="S1868" s="146"/>
      <c r="T1868" s="146"/>
      <c r="U1868" s="146"/>
      <c r="V1868" s="146"/>
      <c r="W1868" s="146"/>
      <c r="X1868" s="146"/>
      <c r="Y1868" s="146"/>
      <c r="Z1868" s="146"/>
      <c r="AA1868" s="146"/>
      <c r="AB1868" s="146"/>
      <c r="AC1868" s="146"/>
      <c r="AD1868" s="146"/>
      <c r="AE1868" s="146"/>
      <c r="AF1868" s="146"/>
      <c r="AG1868" s="146"/>
      <c r="AH1868" s="146"/>
      <c r="AI1868" s="146"/>
      <c r="AJ1868" s="146"/>
      <c r="AK1868" s="146"/>
      <c r="AL1868" s="146"/>
      <c r="AM1868" s="146"/>
      <c r="AN1868" s="146"/>
      <c r="AO1868" s="146"/>
      <c r="AP1868" s="146"/>
    </row>
    <row r="1869" spans="2:50" x14ac:dyDescent="0.3">
      <c r="B1869" s="146"/>
      <c r="C1869" s="146"/>
      <c r="D1869" s="146"/>
      <c r="E1869" s="146"/>
      <c r="F1869" s="146"/>
      <c r="G1869" s="146"/>
      <c r="H1869" s="146"/>
      <c r="I1869" s="146"/>
      <c r="J1869" s="146"/>
      <c r="K1869" s="146"/>
      <c r="L1869" s="146"/>
      <c r="M1869" s="146"/>
      <c r="N1869" s="146"/>
      <c r="O1869" s="146"/>
      <c r="P1869" s="146"/>
      <c r="Q1869" s="146"/>
      <c r="R1869" s="146"/>
      <c r="S1869" s="146"/>
      <c r="T1869" s="146"/>
      <c r="U1869" s="146"/>
      <c r="V1869" s="146"/>
      <c r="W1869" s="146"/>
      <c r="X1869" s="146"/>
      <c r="Y1869" s="146"/>
      <c r="Z1869" s="146"/>
      <c r="AA1869" s="146"/>
      <c r="AB1869" s="146"/>
      <c r="AC1869" s="146"/>
      <c r="AD1869" s="146"/>
      <c r="AE1869" s="146"/>
      <c r="AF1869" s="146"/>
      <c r="AG1869" s="146"/>
      <c r="AH1869" s="146"/>
      <c r="AI1869" s="146"/>
      <c r="AJ1869" s="146"/>
      <c r="AK1869" s="146"/>
      <c r="AL1869" s="146"/>
      <c r="AM1869" s="146"/>
      <c r="AN1869" s="146"/>
      <c r="AO1869" s="146"/>
      <c r="AP1869" s="146"/>
    </row>
    <row r="1870" spans="2:50" x14ac:dyDescent="0.3">
      <c r="B1870" s="146"/>
      <c r="C1870" s="146"/>
      <c r="D1870" s="146"/>
      <c r="E1870" s="146"/>
      <c r="F1870" s="146"/>
      <c r="G1870" s="146"/>
      <c r="H1870" s="146"/>
      <c r="I1870" s="146"/>
      <c r="J1870" s="146"/>
      <c r="K1870" s="146"/>
      <c r="L1870" s="146"/>
      <c r="M1870" s="146"/>
      <c r="N1870" s="146"/>
      <c r="O1870" s="146"/>
      <c r="P1870" s="146"/>
      <c r="Q1870" s="146"/>
      <c r="R1870" s="146"/>
      <c r="S1870" s="146"/>
      <c r="T1870" s="146"/>
      <c r="U1870" s="146"/>
      <c r="V1870" s="146"/>
      <c r="W1870" s="146"/>
      <c r="X1870" s="146"/>
      <c r="Y1870" s="146"/>
      <c r="Z1870" s="146"/>
      <c r="AA1870" s="146"/>
      <c r="AB1870" s="146"/>
      <c r="AC1870" s="146"/>
      <c r="AD1870" s="146"/>
      <c r="AE1870" s="146"/>
      <c r="AF1870" s="146"/>
      <c r="AG1870" s="146"/>
      <c r="AH1870" s="146"/>
      <c r="AI1870" s="146"/>
      <c r="AJ1870" s="146"/>
      <c r="AK1870" s="146"/>
      <c r="AL1870" s="146"/>
      <c r="AM1870" s="146"/>
      <c r="AN1870" s="146"/>
      <c r="AO1870" s="146"/>
      <c r="AP1870" s="146"/>
    </row>
    <row r="1871" spans="2:50" x14ac:dyDescent="0.3">
      <c r="B1871" s="146"/>
      <c r="C1871" s="146"/>
      <c r="D1871" s="146"/>
      <c r="E1871" s="146"/>
      <c r="F1871" s="146"/>
      <c r="G1871" s="146"/>
      <c r="H1871" s="146"/>
      <c r="I1871" s="146"/>
      <c r="J1871" s="146"/>
      <c r="K1871" s="146"/>
      <c r="L1871" s="146"/>
      <c r="M1871" s="146"/>
      <c r="N1871" s="146"/>
      <c r="O1871" s="146"/>
      <c r="P1871" s="146"/>
      <c r="Q1871" s="146"/>
      <c r="R1871" s="146"/>
      <c r="S1871" s="146"/>
      <c r="T1871" s="146"/>
      <c r="U1871" s="146"/>
      <c r="V1871" s="146"/>
      <c r="W1871" s="146"/>
      <c r="X1871" s="146"/>
      <c r="Y1871" s="146"/>
      <c r="Z1871" s="146"/>
      <c r="AA1871" s="146"/>
      <c r="AB1871" s="146"/>
      <c r="AC1871" s="146"/>
      <c r="AD1871" s="146"/>
      <c r="AE1871" s="146"/>
      <c r="AF1871" s="146"/>
      <c r="AG1871" s="146"/>
      <c r="AH1871" s="146"/>
      <c r="AI1871" s="146"/>
      <c r="AJ1871" s="146"/>
      <c r="AK1871" s="146"/>
      <c r="AL1871" s="146"/>
      <c r="AM1871" s="146"/>
      <c r="AN1871" s="146"/>
      <c r="AO1871" s="146"/>
      <c r="AP1871" s="146"/>
    </row>
    <row r="1872" spans="2:50" s="140" customFormat="1" x14ac:dyDescent="0.3">
      <c r="AX1872"/>
    </row>
    <row r="1873" spans="1:52" x14ac:dyDescent="0.3">
      <c r="B1873" s="146"/>
      <c r="C1873" s="146"/>
      <c r="D1873" s="146"/>
      <c r="E1873" s="146"/>
      <c r="F1873" s="146"/>
      <c r="G1873" s="146"/>
      <c r="H1873" s="146"/>
      <c r="I1873" s="146"/>
      <c r="J1873" s="146"/>
      <c r="K1873" s="146"/>
      <c r="L1873" s="146"/>
      <c r="M1873" s="146"/>
      <c r="N1873" s="146"/>
      <c r="O1873" s="146"/>
      <c r="P1873" s="146"/>
      <c r="Q1873" s="146"/>
      <c r="R1873" s="146"/>
      <c r="S1873" s="146"/>
      <c r="T1873" s="146"/>
      <c r="U1873" s="146"/>
      <c r="V1873" s="146"/>
      <c r="W1873" s="146"/>
      <c r="X1873" s="146"/>
      <c r="Y1873" s="146"/>
      <c r="Z1873" s="146"/>
      <c r="AA1873" s="146"/>
      <c r="AB1873" s="146"/>
      <c r="AC1873" s="146"/>
      <c r="AD1873" s="146"/>
      <c r="AE1873" s="146"/>
      <c r="AF1873" s="146"/>
      <c r="AG1873" s="146"/>
      <c r="AH1873" s="146"/>
      <c r="AI1873" s="146"/>
      <c r="AJ1873" s="146"/>
      <c r="AK1873" s="146"/>
      <c r="AL1873" s="146"/>
      <c r="AM1873" s="146"/>
      <c r="AN1873" s="146"/>
      <c r="AO1873" s="146"/>
      <c r="AP1873" s="146"/>
    </row>
    <row r="1874" spans="1:52" s="146" customFormat="1" x14ac:dyDescent="0.3">
      <c r="A1874"/>
      <c r="AQ1874"/>
      <c r="AR1874"/>
      <c r="AS1874"/>
      <c r="AT1874"/>
      <c r="AU1874"/>
      <c r="AV1874"/>
      <c r="AW1874"/>
      <c r="AX1874"/>
      <c r="AY1874"/>
      <c r="AZ1874"/>
    </row>
    <row r="1875" spans="1:52" s="140" customFormat="1" x14ac:dyDescent="0.3">
      <c r="A1875"/>
      <c r="B1875" s="146"/>
      <c r="C1875" s="146"/>
      <c r="D1875" s="146"/>
      <c r="E1875" s="146"/>
      <c r="F1875" s="146"/>
      <c r="G1875" s="146"/>
      <c r="H1875" s="146"/>
      <c r="I1875" s="146"/>
      <c r="J1875" s="146"/>
      <c r="K1875" s="146"/>
      <c r="L1875" s="146"/>
      <c r="M1875" s="146"/>
      <c r="N1875" s="146"/>
      <c r="O1875" s="146"/>
      <c r="P1875" s="146"/>
      <c r="Q1875" s="146"/>
      <c r="R1875" s="146"/>
      <c r="S1875" s="146"/>
      <c r="T1875" s="146"/>
      <c r="U1875" s="146"/>
      <c r="V1875" s="146"/>
      <c r="W1875" s="146"/>
      <c r="X1875" s="146"/>
      <c r="Y1875" s="146"/>
      <c r="Z1875" s="146"/>
      <c r="AA1875" s="146"/>
      <c r="AB1875" s="146"/>
      <c r="AC1875" s="146"/>
      <c r="AD1875" s="146"/>
      <c r="AE1875" s="146"/>
      <c r="AF1875" s="146"/>
      <c r="AG1875" s="146"/>
      <c r="AH1875" s="146"/>
      <c r="AI1875" s="146"/>
      <c r="AJ1875" s="146"/>
      <c r="AK1875" s="146"/>
      <c r="AL1875" s="146"/>
      <c r="AM1875" s="146"/>
      <c r="AN1875" s="146"/>
      <c r="AO1875" s="146"/>
      <c r="AP1875" s="146"/>
      <c r="AQ1875"/>
      <c r="AR1875"/>
      <c r="AS1875"/>
      <c r="AT1875"/>
      <c r="AU1875"/>
      <c r="AV1875"/>
      <c r="AW1875"/>
      <c r="AX1875"/>
      <c r="AY1875"/>
      <c r="AZ1875"/>
    </row>
    <row r="1876" spans="1:52" x14ac:dyDescent="0.3">
      <c r="B1876" s="146"/>
      <c r="C1876" s="146"/>
      <c r="D1876" s="146"/>
      <c r="E1876" s="146"/>
      <c r="F1876" s="146"/>
      <c r="G1876" s="146"/>
      <c r="H1876" s="146"/>
      <c r="I1876" s="146"/>
      <c r="J1876" s="146"/>
      <c r="K1876" s="146"/>
      <c r="L1876" s="146"/>
      <c r="M1876" s="146"/>
      <c r="N1876" s="146"/>
      <c r="O1876" s="146"/>
      <c r="P1876" s="146"/>
      <c r="Q1876" s="146"/>
      <c r="R1876" s="146"/>
      <c r="S1876" s="146"/>
      <c r="T1876" s="146"/>
      <c r="U1876" s="146"/>
      <c r="V1876" s="146"/>
      <c r="W1876" s="146"/>
      <c r="X1876" s="146"/>
      <c r="Y1876" s="146"/>
      <c r="Z1876" s="146"/>
      <c r="AA1876" s="146"/>
      <c r="AB1876" s="146"/>
      <c r="AC1876" s="146"/>
      <c r="AD1876" s="146"/>
      <c r="AE1876" s="146"/>
      <c r="AF1876" s="146"/>
      <c r="AG1876" s="146"/>
      <c r="AH1876" s="146"/>
      <c r="AI1876" s="146"/>
      <c r="AJ1876" s="146"/>
      <c r="AK1876" s="146"/>
      <c r="AL1876" s="146"/>
      <c r="AM1876" s="146"/>
      <c r="AN1876" s="146"/>
      <c r="AO1876" s="146"/>
      <c r="AP1876" s="146"/>
    </row>
    <row r="1877" spans="1:52" x14ac:dyDescent="0.3">
      <c r="B1877" s="146"/>
      <c r="C1877" s="146"/>
      <c r="D1877" s="146"/>
      <c r="E1877" s="146"/>
      <c r="F1877" s="146"/>
      <c r="G1877" s="146"/>
      <c r="H1877" s="146"/>
      <c r="I1877" s="146"/>
      <c r="J1877" s="146"/>
      <c r="K1877" s="146"/>
      <c r="L1877" s="146"/>
      <c r="M1877" s="146"/>
      <c r="N1877" s="146"/>
      <c r="O1877" s="146"/>
      <c r="P1877" s="146"/>
      <c r="Q1877" s="146"/>
      <c r="R1877" s="146"/>
      <c r="S1877" s="146"/>
      <c r="T1877" s="146"/>
      <c r="U1877" s="146"/>
      <c r="V1877" s="146"/>
      <c r="W1877" s="146"/>
      <c r="X1877" s="146"/>
      <c r="Y1877" s="146"/>
      <c r="Z1877" s="146"/>
      <c r="AA1877" s="146"/>
      <c r="AB1877" s="146"/>
      <c r="AC1877" s="146"/>
      <c r="AD1877" s="146"/>
      <c r="AE1877" s="146"/>
      <c r="AF1877" s="146"/>
      <c r="AG1877" s="146"/>
      <c r="AH1877" s="146"/>
      <c r="AI1877" s="146"/>
      <c r="AJ1877" s="146"/>
      <c r="AK1877" s="146"/>
      <c r="AL1877" s="146"/>
      <c r="AM1877" s="146"/>
      <c r="AN1877" s="146"/>
      <c r="AO1877" s="146"/>
      <c r="AP1877" s="146"/>
    </row>
    <row r="1878" spans="1:52" x14ac:dyDescent="0.3">
      <c r="B1878" s="146"/>
      <c r="C1878" s="146"/>
      <c r="D1878" s="146"/>
      <c r="E1878" s="146"/>
      <c r="F1878" s="146"/>
      <c r="G1878" s="146"/>
      <c r="H1878" s="146"/>
      <c r="I1878" s="146"/>
      <c r="J1878" s="146"/>
      <c r="K1878" s="146"/>
      <c r="L1878" s="146"/>
      <c r="M1878" s="146"/>
      <c r="N1878" s="146"/>
      <c r="O1878" s="146"/>
      <c r="P1878" s="146"/>
      <c r="Q1878" s="146"/>
      <c r="R1878" s="146"/>
      <c r="S1878" s="146"/>
      <c r="T1878" s="146"/>
      <c r="U1878" s="146"/>
      <c r="V1878" s="146"/>
      <c r="W1878" s="146"/>
      <c r="X1878" s="146"/>
      <c r="Y1878" s="146"/>
      <c r="Z1878" s="146"/>
      <c r="AA1878" s="146"/>
      <c r="AB1878" s="146"/>
      <c r="AC1878" s="146"/>
      <c r="AD1878" s="146"/>
      <c r="AE1878" s="146"/>
      <c r="AF1878" s="146"/>
      <c r="AG1878" s="146"/>
      <c r="AH1878" s="146"/>
      <c r="AI1878" s="146"/>
      <c r="AJ1878" s="146"/>
      <c r="AK1878" s="146"/>
      <c r="AL1878" s="146"/>
      <c r="AM1878" s="146"/>
      <c r="AN1878" s="146"/>
      <c r="AO1878" s="146"/>
      <c r="AP1878" s="146"/>
    </row>
    <row r="1879" spans="1:52" x14ac:dyDescent="0.3">
      <c r="B1879" s="146"/>
      <c r="C1879" s="146"/>
      <c r="D1879" s="146"/>
      <c r="E1879" s="146"/>
      <c r="F1879" s="146"/>
      <c r="G1879" s="146"/>
      <c r="H1879" s="146"/>
      <c r="I1879" s="146"/>
      <c r="J1879" s="146"/>
      <c r="K1879" s="146"/>
      <c r="L1879" s="146"/>
      <c r="M1879" s="146"/>
      <c r="N1879" s="146"/>
      <c r="O1879" s="146"/>
      <c r="P1879" s="146"/>
      <c r="Q1879" s="146"/>
      <c r="R1879" s="146"/>
      <c r="S1879" s="146"/>
      <c r="T1879" s="146"/>
      <c r="U1879" s="146"/>
      <c r="V1879" s="146"/>
      <c r="W1879" s="146"/>
      <c r="X1879" s="146"/>
      <c r="Y1879" s="146"/>
      <c r="Z1879" s="146"/>
      <c r="AA1879" s="146"/>
      <c r="AB1879" s="146"/>
      <c r="AC1879" s="146"/>
      <c r="AD1879" s="146"/>
      <c r="AE1879" s="146"/>
      <c r="AF1879" s="146"/>
      <c r="AG1879" s="146"/>
      <c r="AH1879" s="146"/>
      <c r="AI1879" s="146"/>
      <c r="AJ1879" s="146"/>
      <c r="AK1879" s="146"/>
      <c r="AL1879" s="146"/>
      <c r="AM1879" s="146"/>
      <c r="AN1879" s="146"/>
      <c r="AO1879" s="146"/>
      <c r="AP1879" s="146"/>
    </row>
    <row r="1880" spans="1:52" x14ac:dyDescent="0.3">
      <c r="B1880" s="146"/>
      <c r="C1880" s="146"/>
      <c r="D1880" s="146"/>
      <c r="E1880" s="146"/>
      <c r="F1880" s="146"/>
      <c r="G1880" s="146"/>
      <c r="H1880" s="146"/>
      <c r="I1880" s="146"/>
      <c r="J1880" s="146"/>
      <c r="K1880" s="146"/>
      <c r="L1880" s="146"/>
      <c r="M1880" s="146"/>
      <c r="N1880" s="146"/>
      <c r="O1880" s="146"/>
      <c r="P1880" s="146"/>
      <c r="Q1880" s="146"/>
      <c r="R1880" s="146"/>
      <c r="S1880" s="146"/>
      <c r="T1880" s="146"/>
      <c r="U1880" s="146"/>
      <c r="V1880" s="146"/>
      <c r="W1880" s="146"/>
      <c r="X1880" s="146"/>
      <c r="Y1880" s="146"/>
      <c r="Z1880" s="146"/>
      <c r="AA1880" s="146"/>
      <c r="AB1880" s="146"/>
      <c r="AC1880" s="146"/>
      <c r="AD1880" s="146"/>
      <c r="AE1880" s="146"/>
      <c r="AF1880" s="146"/>
      <c r="AG1880" s="146"/>
      <c r="AH1880" s="146"/>
      <c r="AI1880" s="146"/>
      <c r="AJ1880" s="146"/>
      <c r="AK1880" s="146"/>
      <c r="AL1880" s="146"/>
      <c r="AM1880" s="146"/>
      <c r="AN1880" s="146"/>
      <c r="AO1880" s="146"/>
      <c r="AP1880" s="146"/>
    </row>
    <row r="1881" spans="1:52" x14ac:dyDescent="0.3">
      <c r="B1881" s="146"/>
      <c r="C1881" s="146"/>
      <c r="D1881" s="146"/>
      <c r="E1881" s="146"/>
      <c r="F1881" s="146"/>
      <c r="G1881" s="146"/>
      <c r="H1881" s="146"/>
      <c r="I1881" s="146"/>
      <c r="J1881" s="146"/>
      <c r="K1881" s="146"/>
      <c r="L1881" s="146"/>
      <c r="M1881" s="146"/>
      <c r="N1881" s="146"/>
      <c r="O1881" s="146"/>
      <c r="P1881" s="146"/>
      <c r="Q1881" s="146"/>
      <c r="R1881" s="146"/>
      <c r="S1881" s="146"/>
      <c r="T1881" s="146"/>
      <c r="U1881" s="146"/>
      <c r="V1881" s="146"/>
      <c r="W1881" s="146"/>
      <c r="X1881" s="146"/>
      <c r="Y1881" s="146"/>
      <c r="Z1881" s="146"/>
      <c r="AA1881" s="146"/>
      <c r="AB1881" s="146"/>
      <c r="AC1881" s="146"/>
      <c r="AD1881" s="146"/>
      <c r="AE1881" s="146"/>
      <c r="AF1881" s="146"/>
      <c r="AG1881" s="146"/>
      <c r="AH1881" s="146"/>
      <c r="AI1881" s="146"/>
      <c r="AJ1881" s="146"/>
      <c r="AK1881" s="146"/>
      <c r="AL1881" s="146"/>
      <c r="AM1881" s="146"/>
      <c r="AN1881" s="146"/>
      <c r="AO1881" s="146"/>
      <c r="AP1881" s="146"/>
    </row>
    <row r="1882" spans="1:52" s="140" customFormat="1" x14ac:dyDescent="0.3">
      <c r="AX1882"/>
    </row>
    <row r="1883" spans="1:52" x14ac:dyDescent="0.3">
      <c r="B1883" s="146"/>
      <c r="C1883" s="146"/>
      <c r="D1883" s="146"/>
      <c r="E1883" s="146"/>
      <c r="F1883" s="146"/>
      <c r="G1883" s="146"/>
      <c r="H1883" s="146"/>
      <c r="I1883" s="146"/>
      <c r="J1883" s="146"/>
      <c r="K1883" s="146"/>
      <c r="L1883" s="146"/>
      <c r="M1883" s="146"/>
      <c r="N1883" s="146"/>
      <c r="O1883" s="146"/>
      <c r="P1883" s="146"/>
      <c r="Q1883" s="146"/>
      <c r="R1883" s="146"/>
      <c r="S1883" s="146"/>
      <c r="T1883" s="146"/>
      <c r="U1883" s="146"/>
      <c r="V1883" s="146"/>
      <c r="W1883" s="146"/>
      <c r="X1883" s="146"/>
      <c r="Y1883" s="146"/>
      <c r="Z1883" s="146"/>
      <c r="AA1883" s="146"/>
      <c r="AB1883" s="146"/>
      <c r="AC1883" s="146"/>
      <c r="AD1883" s="146"/>
      <c r="AE1883" s="146"/>
      <c r="AF1883" s="146"/>
      <c r="AG1883" s="146"/>
      <c r="AH1883" s="146"/>
      <c r="AI1883" s="146"/>
      <c r="AJ1883" s="146"/>
      <c r="AK1883" s="146"/>
      <c r="AL1883" s="146"/>
      <c r="AM1883" s="146"/>
      <c r="AN1883" s="146"/>
      <c r="AO1883" s="146"/>
      <c r="AP1883" s="146"/>
    </row>
    <row r="1884" spans="1:52" x14ac:dyDescent="0.3">
      <c r="B1884" s="146"/>
      <c r="C1884" s="146"/>
      <c r="D1884" s="146"/>
      <c r="E1884" s="146"/>
      <c r="F1884" s="146"/>
      <c r="G1884" s="146"/>
      <c r="H1884" s="146"/>
      <c r="I1884" s="146"/>
      <c r="J1884" s="146"/>
      <c r="K1884" s="146"/>
      <c r="L1884" s="146"/>
      <c r="M1884" s="146"/>
      <c r="N1884" s="146"/>
      <c r="O1884" s="146"/>
      <c r="P1884" s="146"/>
      <c r="Q1884" s="146"/>
      <c r="R1884" s="146"/>
      <c r="S1884" s="146"/>
      <c r="T1884" s="146"/>
      <c r="U1884" s="146"/>
      <c r="V1884" s="146"/>
      <c r="W1884" s="146"/>
      <c r="X1884" s="146"/>
      <c r="Y1884" s="146"/>
      <c r="Z1884" s="146"/>
      <c r="AA1884" s="146"/>
      <c r="AB1884" s="146"/>
      <c r="AC1884" s="146"/>
      <c r="AD1884" s="146"/>
      <c r="AE1884" s="146"/>
      <c r="AF1884" s="146"/>
      <c r="AG1884" s="146"/>
      <c r="AH1884" s="146"/>
      <c r="AI1884" s="146"/>
      <c r="AJ1884" s="146"/>
      <c r="AK1884" s="146"/>
      <c r="AL1884" s="146"/>
      <c r="AM1884" s="146"/>
      <c r="AN1884" s="146"/>
      <c r="AO1884" s="146"/>
      <c r="AP1884" s="146"/>
    </row>
    <row r="1885" spans="1:52" x14ac:dyDescent="0.3">
      <c r="B1885" s="146"/>
      <c r="C1885" s="146"/>
      <c r="D1885" s="146"/>
      <c r="E1885" s="146"/>
      <c r="F1885" s="146"/>
      <c r="G1885" s="146"/>
      <c r="H1885" s="146"/>
      <c r="I1885" s="146"/>
      <c r="J1885" s="146"/>
      <c r="K1885" s="146"/>
      <c r="L1885" s="146"/>
      <c r="M1885" s="146"/>
      <c r="N1885" s="146"/>
      <c r="O1885" s="146"/>
      <c r="P1885" s="146"/>
      <c r="Q1885" s="146"/>
      <c r="R1885" s="146"/>
      <c r="S1885" s="146"/>
      <c r="T1885" s="146"/>
      <c r="U1885" s="146"/>
      <c r="V1885" s="146"/>
      <c r="W1885" s="146"/>
      <c r="X1885" s="146"/>
      <c r="Y1885" s="146"/>
      <c r="Z1885" s="146"/>
      <c r="AA1885" s="146"/>
      <c r="AB1885" s="146"/>
      <c r="AC1885" s="146"/>
      <c r="AD1885" s="146"/>
      <c r="AE1885" s="146"/>
      <c r="AF1885" s="146"/>
      <c r="AG1885" s="146"/>
      <c r="AH1885" s="146"/>
      <c r="AI1885" s="146"/>
      <c r="AJ1885" s="146"/>
      <c r="AK1885" s="146"/>
      <c r="AL1885" s="146"/>
      <c r="AM1885" s="146"/>
      <c r="AN1885" s="146"/>
      <c r="AO1885" s="146"/>
      <c r="AP1885" s="146"/>
    </row>
    <row r="1886" spans="1:52" x14ac:dyDescent="0.3">
      <c r="B1886" s="146"/>
      <c r="C1886" s="146"/>
      <c r="D1886" s="146"/>
      <c r="E1886" s="146"/>
      <c r="F1886" s="146"/>
      <c r="G1886" s="146"/>
      <c r="H1886" s="146"/>
      <c r="I1886" s="146"/>
      <c r="J1886" s="146"/>
      <c r="K1886" s="146"/>
      <c r="L1886" s="146"/>
      <c r="M1886" s="146"/>
      <c r="N1886" s="146"/>
      <c r="O1886" s="146"/>
      <c r="P1886" s="146"/>
      <c r="Q1886" s="146"/>
      <c r="R1886" s="146"/>
      <c r="S1886" s="146"/>
      <c r="T1886" s="146"/>
      <c r="U1886" s="146"/>
      <c r="V1886" s="146"/>
      <c r="W1886" s="146"/>
      <c r="X1886" s="146"/>
      <c r="Y1886" s="146"/>
      <c r="Z1886" s="146"/>
      <c r="AA1886" s="146"/>
      <c r="AB1886" s="146"/>
      <c r="AC1886" s="146"/>
      <c r="AD1886" s="146"/>
      <c r="AE1886" s="146"/>
      <c r="AF1886" s="146"/>
      <c r="AG1886" s="146"/>
      <c r="AH1886" s="146"/>
      <c r="AI1886" s="146"/>
      <c r="AJ1886" s="146"/>
      <c r="AK1886" s="146"/>
      <c r="AL1886" s="146"/>
      <c r="AM1886" s="146"/>
      <c r="AN1886" s="146"/>
      <c r="AO1886" s="146"/>
      <c r="AP1886" s="146"/>
    </row>
    <row r="1887" spans="1:52" x14ac:dyDescent="0.3">
      <c r="B1887" s="146"/>
      <c r="C1887" s="146"/>
      <c r="D1887" s="146"/>
      <c r="E1887" s="146"/>
      <c r="F1887" s="146"/>
      <c r="G1887" s="146"/>
      <c r="H1887" s="146"/>
      <c r="I1887" s="146"/>
      <c r="J1887" s="146"/>
      <c r="K1887" s="146"/>
      <c r="L1887" s="146"/>
      <c r="M1887" s="146"/>
      <c r="N1887" s="146"/>
      <c r="O1887" s="146"/>
      <c r="P1887" s="146"/>
      <c r="Q1887" s="146"/>
      <c r="R1887" s="146"/>
      <c r="S1887" s="146"/>
      <c r="T1887" s="146"/>
      <c r="U1887" s="146"/>
      <c r="V1887" s="146"/>
      <c r="W1887" s="146"/>
      <c r="X1887" s="146"/>
      <c r="Y1887" s="146"/>
      <c r="Z1887" s="146"/>
      <c r="AA1887" s="146"/>
      <c r="AB1887" s="146"/>
      <c r="AC1887" s="146"/>
      <c r="AD1887" s="146"/>
      <c r="AE1887" s="146"/>
      <c r="AF1887" s="146"/>
      <c r="AG1887" s="146"/>
      <c r="AH1887" s="146"/>
      <c r="AI1887" s="146"/>
      <c r="AJ1887" s="146"/>
      <c r="AK1887" s="146"/>
      <c r="AL1887" s="146"/>
      <c r="AM1887" s="146"/>
      <c r="AN1887" s="146"/>
      <c r="AO1887" s="146"/>
      <c r="AP1887" s="146"/>
    </row>
    <row r="1888" spans="1:52" x14ac:dyDescent="0.3">
      <c r="B1888" s="146"/>
      <c r="C1888" s="146"/>
      <c r="D1888" s="146"/>
      <c r="E1888" s="146"/>
      <c r="F1888" s="146"/>
      <c r="G1888" s="146"/>
      <c r="H1888" s="146"/>
      <c r="I1888" s="146"/>
      <c r="J1888" s="146"/>
      <c r="K1888" s="146"/>
      <c r="L1888" s="146"/>
      <c r="M1888" s="146"/>
      <c r="N1888" s="146"/>
      <c r="O1888" s="146"/>
      <c r="P1888" s="146"/>
      <c r="Q1888" s="146"/>
      <c r="R1888" s="146"/>
      <c r="S1888" s="146"/>
      <c r="T1888" s="146"/>
      <c r="U1888" s="146"/>
      <c r="V1888" s="146"/>
      <c r="W1888" s="146"/>
      <c r="X1888" s="146"/>
      <c r="Y1888" s="146"/>
      <c r="Z1888" s="146"/>
      <c r="AA1888" s="146"/>
      <c r="AB1888" s="146"/>
      <c r="AC1888" s="146"/>
      <c r="AD1888" s="146"/>
      <c r="AE1888" s="146"/>
      <c r="AF1888" s="146"/>
      <c r="AG1888" s="146"/>
      <c r="AH1888" s="146"/>
      <c r="AI1888" s="146"/>
      <c r="AJ1888" s="146"/>
      <c r="AK1888" s="146"/>
      <c r="AL1888" s="146"/>
      <c r="AM1888" s="146"/>
      <c r="AN1888" s="146"/>
      <c r="AO1888" s="146"/>
      <c r="AP1888" s="146"/>
    </row>
    <row r="1889" spans="1:52" x14ac:dyDescent="0.3">
      <c r="B1889" s="146"/>
      <c r="C1889" s="146"/>
      <c r="D1889" s="146"/>
      <c r="E1889" s="146"/>
      <c r="F1889" s="146"/>
      <c r="G1889" s="146"/>
      <c r="H1889" s="146"/>
      <c r="I1889" s="146"/>
      <c r="J1889" s="146"/>
      <c r="K1889" s="146"/>
      <c r="L1889" s="146"/>
      <c r="M1889" s="146"/>
      <c r="N1889" s="146"/>
      <c r="O1889" s="146"/>
      <c r="P1889" s="146"/>
      <c r="Q1889" s="146"/>
      <c r="R1889" s="146"/>
      <c r="S1889" s="146"/>
      <c r="T1889" s="146"/>
      <c r="U1889" s="146"/>
      <c r="V1889" s="146"/>
      <c r="W1889" s="146"/>
      <c r="X1889" s="146"/>
      <c r="Y1889" s="146"/>
      <c r="Z1889" s="146"/>
      <c r="AA1889" s="146"/>
      <c r="AB1889" s="146"/>
      <c r="AC1889" s="146"/>
      <c r="AD1889" s="146"/>
      <c r="AE1889" s="146"/>
      <c r="AF1889" s="146"/>
      <c r="AG1889" s="146"/>
      <c r="AH1889" s="146"/>
      <c r="AI1889" s="146"/>
      <c r="AJ1889" s="146"/>
      <c r="AK1889" s="146"/>
      <c r="AL1889" s="146"/>
      <c r="AM1889" s="146"/>
      <c r="AN1889" s="146"/>
      <c r="AO1889" s="146"/>
      <c r="AP1889" s="146"/>
    </row>
    <row r="1890" spans="1:52" x14ac:dyDescent="0.3">
      <c r="B1890" s="146"/>
      <c r="C1890" s="146"/>
      <c r="D1890" s="146"/>
      <c r="E1890" s="146"/>
      <c r="F1890" s="146"/>
      <c r="G1890" s="146"/>
      <c r="H1890" s="146"/>
      <c r="I1890" s="146"/>
      <c r="J1890" s="146"/>
      <c r="K1890" s="146"/>
      <c r="L1890" s="146"/>
      <c r="M1890" s="146"/>
      <c r="N1890" s="146"/>
      <c r="O1890" s="146"/>
      <c r="P1890" s="146"/>
      <c r="Q1890" s="146"/>
      <c r="R1890" s="146"/>
      <c r="S1890" s="146"/>
      <c r="T1890" s="146"/>
      <c r="U1890" s="146"/>
      <c r="V1890" s="146"/>
      <c r="W1890" s="146"/>
      <c r="X1890" s="146"/>
      <c r="Y1890" s="146"/>
      <c r="Z1890" s="146"/>
      <c r="AA1890" s="146"/>
      <c r="AB1890" s="146"/>
      <c r="AC1890" s="146"/>
      <c r="AD1890" s="146"/>
      <c r="AE1890" s="146"/>
      <c r="AF1890" s="146"/>
      <c r="AG1890" s="146"/>
      <c r="AH1890" s="146"/>
      <c r="AI1890" s="146"/>
      <c r="AJ1890" s="146"/>
      <c r="AK1890" s="146"/>
      <c r="AL1890" s="146"/>
      <c r="AM1890" s="146"/>
      <c r="AN1890" s="146"/>
      <c r="AO1890" s="146"/>
      <c r="AP1890" s="146"/>
    </row>
    <row r="1891" spans="1:52" s="146" customFormat="1" x14ac:dyDescent="0.3">
      <c r="A1891"/>
      <c r="AQ1891"/>
      <c r="AR1891"/>
      <c r="AS1891"/>
      <c r="AT1891"/>
      <c r="AU1891"/>
      <c r="AV1891"/>
      <c r="AW1891"/>
      <c r="AX1891"/>
      <c r="AY1891"/>
      <c r="AZ1891"/>
    </row>
    <row r="1892" spans="1:52" s="140" customFormat="1" x14ac:dyDescent="0.3">
      <c r="AX1892"/>
    </row>
    <row r="1893" spans="1:52" x14ac:dyDescent="0.3">
      <c r="B1893" s="146"/>
      <c r="C1893" s="146"/>
      <c r="D1893" s="146"/>
      <c r="E1893" s="146"/>
      <c r="F1893" s="146"/>
      <c r="G1893" s="146"/>
      <c r="H1893" s="146"/>
      <c r="I1893" s="146"/>
      <c r="J1893" s="146"/>
      <c r="K1893" s="146"/>
      <c r="L1893" s="146"/>
      <c r="M1893" s="146"/>
      <c r="N1893" s="146"/>
      <c r="O1893" s="146"/>
      <c r="P1893" s="146"/>
      <c r="Q1893" s="146"/>
      <c r="R1893" s="146"/>
      <c r="S1893" s="146"/>
      <c r="T1893" s="146"/>
      <c r="U1893" s="146"/>
      <c r="V1893" s="146"/>
      <c r="W1893" s="146"/>
      <c r="X1893" s="146"/>
      <c r="Y1893" s="146"/>
      <c r="Z1893" s="146"/>
      <c r="AA1893" s="146"/>
      <c r="AB1893" s="146"/>
      <c r="AC1893" s="146"/>
      <c r="AD1893" s="146"/>
      <c r="AE1893" s="146"/>
      <c r="AF1893" s="146"/>
      <c r="AG1893" s="146"/>
      <c r="AH1893" s="146"/>
      <c r="AI1893" s="146"/>
      <c r="AJ1893" s="146"/>
      <c r="AK1893" s="146"/>
      <c r="AL1893" s="146"/>
      <c r="AM1893" s="146"/>
      <c r="AN1893" s="146"/>
      <c r="AO1893" s="146"/>
      <c r="AP1893" s="146"/>
    </row>
    <row r="1894" spans="1:52" x14ac:dyDescent="0.3">
      <c r="B1894" s="146"/>
      <c r="C1894" s="146"/>
      <c r="D1894" s="146"/>
      <c r="E1894" s="146"/>
      <c r="F1894" s="146"/>
      <c r="G1894" s="146"/>
      <c r="H1894" s="146"/>
      <c r="I1894" s="146"/>
      <c r="J1894" s="146"/>
      <c r="K1894" s="146"/>
      <c r="L1894" s="146"/>
      <c r="M1894" s="146"/>
      <c r="N1894" s="146"/>
      <c r="O1894" s="146"/>
      <c r="P1894" s="146"/>
      <c r="Q1894" s="146"/>
      <c r="R1894" s="146"/>
      <c r="S1894" s="146"/>
      <c r="T1894" s="146"/>
      <c r="U1894" s="146"/>
      <c r="V1894" s="146"/>
      <c r="W1894" s="146"/>
      <c r="X1894" s="146"/>
      <c r="Y1894" s="146"/>
      <c r="Z1894" s="146"/>
      <c r="AA1894" s="146"/>
      <c r="AB1894" s="146"/>
      <c r="AC1894" s="146"/>
      <c r="AD1894" s="146"/>
      <c r="AE1894" s="146"/>
      <c r="AF1894" s="146"/>
      <c r="AG1894" s="146"/>
      <c r="AH1894" s="146"/>
      <c r="AI1894" s="146"/>
      <c r="AJ1894" s="146"/>
      <c r="AK1894" s="146"/>
      <c r="AL1894" s="146"/>
      <c r="AM1894" s="146"/>
      <c r="AN1894" s="146"/>
      <c r="AO1894" s="146"/>
      <c r="AP1894" s="146"/>
    </row>
    <row r="1895" spans="1:52" x14ac:dyDescent="0.3">
      <c r="B1895" s="146"/>
      <c r="C1895" s="146"/>
      <c r="D1895" s="146"/>
      <c r="E1895" s="146"/>
      <c r="F1895" s="146"/>
      <c r="G1895" s="146"/>
      <c r="H1895" s="146"/>
      <c r="I1895" s="146"/>
      <c r="J1895" s="146"/>
      <c r="K1895" s="146"/>
      <c r="L1895" s="146"/>
      <c r="M1895" s="146"/>
      <c r="N1895" s="146"/>
      <c r="O1895" s="146"/>
      <c r="P1895" s="146"/>
      <c r="Q1895" s="146"/>
      <c r="R1895" s="146"/>
      <c r="S1895" s="146"/>
      <c r="T1895" s="146"/>
      <c r="U1895" s="146"/>
      <c r="V1895" s="146"/>
      <c r="W1895" s="146"/>
      <c r="X1895" s="146"/>
      <c r="Y1895" s="146"/>
      <c r="Z1895" s="146"/>
      <c r="AA1895" s="146"/>
      <c r="AB1895" s="146"/>
      <c r="AC1895" s="146"/>
      <c r="AD1895" s="146"/>
      <c r="AE1895" s="146"/>
      <c r="AF1895" s="146"/>
      <c r="AG1895" s="146"/>
      <c r="AH1895" s="146"/>
      <c r="AI1895" s="146"/>
      <c r="AJ1895" s="146"/>
      <c r="AK1895" s="146"/>
      <c r="AL1895" s="146"/>
      <c r="AM1895" s="146"/>
      <c r="AN1895" s="146"/>
      <c r="AO1895" s="146"/>
      <c r="AP1895" s="146"/>
    </row>
    <row r="1896" spans="1:52" x14ac:dyDescent="0.3">
      <c r="B1896" s="146"/>
      <c r="C1896" s="146"/>
      <c r="D1896" s="146"/>
      <c r="E1896" s="146"/>
      <c r="F1896" s="146"/>
      <c r="G1896" s="146"/>
      <c r="H1896" s="146"/>
      <c r="I1896" s="146"/>
      <c r="J1896" s="146"/>
      <c r="K1896" s="146"/>
      <c r="L1896" s="146"/>
      <c r="M1896" s="146"/>
      <c r="N1896" s="146"/>
      <c r="O1896" s="146"/>
      <c r="P1896" s="146"/>
      <c r="Q1896" s="146"/>
      <c r="R1896" s="146"/>
      <c r="S1896" s="146"/>
      <c r="T1896" s="146"/>
      <c r="U1896" s="146"/>
      <c r="V1896" s="146"/>
      <c r="W1896" s="146"/>
      <c r="X1896" s="146"/>
      <c r="Y1896" s="146"/>
      <c r="Z1896" s="146"/>
      <c r="AA1896" s="146"/>
      <c r="AB1896" s="146"/>
      <c r="AC1896" s="146"/>
      <c r="AD1896" s="146"/>
      <c r="AE1896" s="146"/>
      <c r="AF1896" s="146"/>
      <c r="AG1896" s="146"/>
      <c r="AH1896" s="146"/>
      <c r="AI1896" s="146"/>
      <c r="AJ1896" s="146"/>
      <c r="AK1896" s="146"/>
      <c r="AL1896" s="146"/>
      <c r="AM1896" s="146"/>
      <c r="AN1896" s="146"/>
      <c r="AO1896" s="146"/>
      <c r="AP1896" s="146"/>
    </row>
    <row r="1897" spans="1:52" x14ac:dyDescent="0.3">
      <c r="B1897" s="146"/>
      <c r="C1897" s="146"/>
      <c r="D1897" s="146"/>
    </row>
    <row r="1898" spans="1:52" x14ac:dyDescent="0.3">
      <c r="B1898" s="146"/>
      <c r="C1898" s="146"/>
      <c r="D1898" s="146"/>
    </row>
    <row r="1899" spans="1:52" x14ac:dyDescent="0.3">
      <c r="B1899" s="146"/>
      <c r="C1899" s="146"/>
      <c r="D1899" s="146"/>
    </row>
    <row r="1900" spans="1:52" x14ac:dyDescent="0.3">
      <c r="B1900" s="146"/>
      <c r="C1900" s="146"/>
      <c r="D1900" s="146"/>
    </row>
    <row r="1901" spans="1:52" x14ac:dyDescent="0.3">
      <c r="B1901" s="146"/>
      <c r="C1901" s="146"/>
      <c r="D1901" s="146"/>
    </row>
    <row r="1902" spans="1:52" s="160" customFormat="1" ht="15" thickBot="1" x14ac:dyDescent="0.35">
      <c r="B1902" s="140"/>
      <c r="AX1902"/>
    </row>
    <row r="1903" spans="1:52" x14ac:dyDescent="0.3">
      <c r="B1903" s="146"/>
      <c r="C1903" s="146"/>
      <c r="D1903" s="146"/>
    </row>
    <row r="1904" spans="1:52" x14ac:dyDescent="0.3">
      <c r="B1904" s="146"/>
      <c r="C1904" s="146"/>
      <c r="D1904" s="146"/>
      <c r="E1904" s="146"/>
      <c r="F1904" s="146"/>
      <c r="G1904" s="146"/>
      <c r="H1904" s="146"/>
      <c r="I1904" s="146"/>
      <c r="J1904" s="146"/>
      <c r="K1904" s="146"/>
      <c r="L1904" s="146"/>
      <c r="M1904" s="146"/>
      <c r="N1904" s="146"/>
      <c r="O1904" s="146"/>
      <c r="P1904" s="146"/>
      <c r="Q1904" s="146"/>
      <c r="R1904" s="146"/>
      <c r="S1904" s="146"/>
      <c r="T1904" s="146"/>
      <c r="U1904" s="146"/>
      <c r="V1904" s="146"/>
      <c r="W1904" s="146"/>
      <c r="X1904" s="146"/>
      <c r="Y1904" s="146"/>
      <c r="Z1904" s="146"/>
      <c r="AA1904" s="146"/>
      <c r="AB1904" s="146"/>
      <c r="AC1904" s="146"/>
      <c r="AD1904" s="146"/>
      <c r="AE1904" s="146"/>
      <c r="AF1904" s="146"/>
      <c r="AG1904" s="146"/>
      <c r="AH1904" s="146"/>
      <c r="AI1904" s="146"/>
      <c r="AJ1904" s="146"/>
      <c r="AK1904" s="146"/>
      <c r="AL1904" s="146"/>
      <c r="AM1904" s="146"/>
      <c r="AN1904" s="146"/>
      <c r="AO1904" s="146"/>
      <c r="AP1904" s="146"/>
      <c r="AQ1904" s="146"/>
    </row>
    <row r="1905" spans="1:52" x14ac:dyDescent="0.3">
      <c r="B1905" s="146"/>
      <c r="C1905" s="146"/>
      <c r="D1905" s="146"/>
      <c r="E1905" s="146"/>
      <c r="F1905" s="146"/>
      <c r="G1905" s="146"/>
      <c r="H1905" s="146"/>
      <c r="I1905" s="146"/>
      <c r="J1905" s="146"/>
      <c r="K1905" s="146"/>
      <c r="L1905" s="146"/>
      <c r="M1905" s="146"/>
      <c r="N1905" s="146"/>
      <c r="O1905" s="146"/>
      <c r="P1905" s="146"/>
      <c r="Q1905" s="146"/>
      <c r="R1905" s="146"/>
      <c r="S1905" s="146"/>
      <c r="T1905" s="146"/>
      <c r="U1905" s="146"/>
      <c r="V1905" s="146"/>
      <c r="W1905" s="146"/>
      <c r="X1905" s="146"/>
      <c r="Y1905" s="146"/>
      <c r="Z1905" s="146"/>
      <c r="AA1905" s="146"/>
      <c r="AB1905" s="146"/>
      <c r="AC1905" s="146"/>
      <c r="AD1905" s="146"/>
      <c r="AE1905" s="146"/>
      <c r="AF1905" s="146"/>
      <c r="AG1905" s="146"/>
      <c r="AH1905" s="146"/>
      <c r="AI1905" s="146"/>
      <c r="AJ1905" s="146"/>
      <c r="AK1905" s="146"/>
      <c r="AL1905" s="146"/>
      <c r="AM1905" s="146"/>
      <c r="AN1905" s="146"/>
      <c r="AO1905" s="146"/>
      <c r="AP1905" s="146"/>
      <c r="AQ1905" s="146"/>
    </row>
    <row r="1906" spans="1:52" x14ac:dyDescent="0.3">
      <c r="B1906" s="146"/>
      <c r="C1906" s="146"/>
      <c r="D1906" s="146"/>
      <c r="E1906" s="146"/>
      <c r="F1906" s="146"/>
      <c r="G1906" s="146"/>
      <c r="H1906" s="146"/>
      <c r="I1906" s="146"/>
      <c r="J1906" s="146"/>
      <c r="K1906" s="146"/>
      <c r="L1906" s="146"/>
      <c r="M1906" s="146"/>
      <c r="N1906" s="146"/>
      <c r="O1906" s="146"/>
      <c r="P1906" s="146"/>
      <c r="Q1906" s="146"/>
      <c r="R1906" s="146"/>
      <c r="S1906" s="146"/>
      <c r="T1906" s="146"/>
      <c r="U1906" s="146"/>
      <c r="V1906" s="146"/>
      <c r="W1906" s="146"/>
      <c r="X1906" s="146"/>
      <c r="Y1906" s="146"/>
      <c r="Z1906" s="146"/>
      <c r="AA1906" s="146"/>
      <c r="AB1906" s="146"/>
      <c r="AC1906" s="146"/>
      <c r="AD1906" s="146"/>
      <c r="AE1906" s="146"/>
      <c r="AF1906" s="146"/>
      <c r="AG1906" s="146"/>
      <c r="AH1906" s="146"/>
      <c r="AI1906" s="146"/>
      <c r="AJ1906" s="146"/>
      <c r="AK1906" s="146"/>
      <c r="AL1906" s="146"/>
      <c r="AM1906" s="146"/>
      <c r="AN1906" s="146"/>
      <c r="AO1906" s="146"/>
      <c r="AP1906" s="146"/>
      <c r="AQ1906" s="146"/>
    </row>
    <row r="1907" spans="1:52" x14ac:dyDescent="0.3">
      <c r="B1907" s="146"/>
      <c r="C1907" s="146"/>
      <c r="D1907" s="146"/>
      <c r="E1907" s="146"/>
      <c r="F1907" s="146"/>
      <c r="G1907" s="146"/>
      <c r="H1907" s="146"/>
      <c r="I1907" s="146"/>
      <c r="J1907" s="146"/>
      <c r="K1907" s="146"/>
      <c r="L1907" s="146"/>
      <c r="M1907" s="146"/>
      <c r="N1907" s="146"/>
      <c r="O1907" s="146"/>
      <c r="P1907" s="146"/>
      <c r="Q1907" s="146"/>
      <c r="R1907" s="146"/>
      <c r="S1907" s="146"/>
      <c r="T1907" s="146"/>
      <c r="U1907" s="146"/>
      <c r="V1907" s="146"/>
      <c r="W1907" s="146"/>
      <c r="X1907" s="146"/>
      <c r="Y1907" s="146"/>
      <c r="Z1907" s="146"/>
      <c r="AA1907" s="146"/>
      <c r="AB1907" s="146"/>
      <c r="AC1907" s="146"/>
      <c r="AD1907" s="146"/>
      <c r="AE1907" s="146"/>
      <c r="AF1907" s="146"/>
      <c r="AG1907" s="146"/>
      <c r="AH1907" s="146"/>
      <c r="AI1907" s="146"/>
      <c r="AJ1907" s="146"/>
      <c r="AK1907" s="146"/>
      <c r="AL1907" s="146"/>
      <c r="AM1907" s="146"/>
      <c r="AN1907" s="146"/>
      <c r="AO1907" s="146"/>
      <c r="AP1907" s="146"/>
      <c r="AQ1907" s="146"/>
    </row>
    <row r="1908" spans="1:52" x14ac:dyDescent="0.3">
      <c r="B1908" s="146"/>
      <c r="C1908" s="146"/>
      <c r="D1908" s="146"/>
      <c r="E1908" s="146"/>
      <c r="F1908" s="146"/>
      <c r="G1908" s="146"/>
      <c r="H1908" s="146"/>
      <c r="I1908" s="146"/>
      <c r="J1908" s="146"/>
      <c r="K1908" s="146"/>
      <c r="L1908" s="146"/>
      <c r="M1908" s="146"/>
      <c r="N1908" s="146"/>
      <c r="O1908" s="146"/>
      <c r="P1908" s="146"/>
      <c r="Q1908" s="146"/>
      <c r="R1908" s="146"/>
      <c r="S1908" s="146"/>
      <c r="T1908" s="146"/>
      <c r="U1908" s="146"/>
      <c r="V1908" s="146"/>
      <c r="W1908" s="146"/>
      <c r="X1908" s="146"/>
      <c r="Y1908" s="146"/>
      <c r="Z1908" s="146"/>
      <c r="AA1908" s="146"/>
      <c r="AB1908" s="146"/>
      <c r="AC1908" s="146"/>
      <c r="AD1908" s="146"/>
      <c r="AE1908" s="146"/>
      <c r="AF1908" s="146"/>
      <c r="AG1908" s="146"/>
      <c r="AH1908" s="146"/>
      <c r="AI1908" s="146"/>
      <c r="AJ1908" s="146"/>
      <c r="AK1908" s="146"/>
      <c r="AL1908" s="146"/>
      <c r="AM1908" s="146"/>
      <c r="AN1908" s="146"/>
      <c r="AO1908" s="146"/>
      <c r="AP1908" s="146"/>
      <c r="AQ1908" s="146"/>
    </row>
    <row r="1909" spans="1:52" x14ac:dyDescent="0.3">
      <c r="B1909" s="146"/>
      <c r="C1909" s="146"/>
      <c r="D1909" s="146"/>
      <c r="E1909" s="146"/>
      <c r="F1909" s="146"/>
      <c r="G1909" s="146"/>
      <c r="H1909" s="146"/>
      <c r="I1909" s="146"/>
      <c r="J1909" s="146"/>
      <c r="K1909" s="146"/>
      <c r="L1909" s="146"/>
      <c r="M1909" s="146"/>
      <c r="N1909" s="146"/>
      <c r="O1909" s="146"/>
      <c r="P1909" s="146"/>
      <c r="Q1909" s="146"/>
      <c r="R1909" s="146"/>
      <c r="S1909" s="146"/>
      <c r="T1909" s="146"/>
      <c r="U1909" s="146"/>
      <c r="V1909" s="146"/>
      <c r="W1909" s="146"/>
      <c r="X1909" s="146"/>
      <c r="Y1909" s="146"/>
      <c r="Z1909" s="146"/>
      <c r="AA1909" s="146"/>
      <c r="AB1909" s="146"/>
      <c r="AC1909" s="146"/>
      <c r="AD1909" s="146"/>
      <c r="AE1909" s="146"/>
      <c r="AF1909" s="146"/>
      <c r="AG1909" s="146"/>
      <c r="AH1909" s="146"/>
      <c r="AI1909" s="146"/>
      <c r="AJ1909" s="146"/>
      <c r="AK1909" s="146"/>
      <c r="AL1909" s="146"/>
      <c r="AM1909" s="146"/>
      <c r="AN1909" s="146"/>
      <c r="AO1909" s="146"/>
      <c r="AP1909" s="146"/>
      <c r="AQ1909" s="146"/>
    </row>
    <row r="1910" spans="1:52" x14ac:dyDescent="0.3">
      <c r="B1910" s="146"/>
      <c r="C1910" s="146"/>
      <c r="D1910" s="146"/>
      <c r="E1910" s="146"/>
      <c r="F1910" s="146"/>
      <c r="G1910" s="146"/>
      <c r="H1910" s="146"/>
      <c r="I1910" s="146"/>
      <c r="J1910" s="146"/>
      <c r="K1910" s="146"/>
      <c r="L1910" s="146"/>
      <c r="M1910" s="146"/>
      <c r="N1910" s="146"/>
      <c r="O1910" s="146"/>
      <c r="P1910" s="146"/>
      <c r="Q1910" s="146"/>
      <c r="R1910" s="146"/>
      <c r="S1910" s="146"/>
      <c r="T1910" s="146"/>
      <c r="U1910" s="146"/>
      <c r="V1910" s="146"/>
      <c r="W1910" s="146"/>
      <c r="X1910" s="146"/>
      <c r="Y1910" s="146"/>
      <c r="Z1910" s="146"/>
      <c r="AA1910" s="146"/>
      <c r="AB1910" s="146"/>
      <c r="AC1910" s="146"/>
      <c r="AD1910" s="146"/>
      <c r="AE1910" s="146"/>
      <c r="AF1910" s="146"/>
      <c r="AG1910" s="146"/>
      <c r="AH1910" s="146"/>
      <c r="AI1910" s="146"/>
      <c r="AJ1910" s="146"/>
      <c r="AK1910" s="146"/>
      <c r="AL1910" s="146"/>
      <c r="AM1910" s="146"/>
      <c r="AN1910" s="146"/>
      <c r="AO1910" s="146"/>
      <c r="AP1910" s="146"/>
      <c r="AQ1910" s="146"/>
    </row>
    <row r="1911" spans="1:52" x14ac:dyDescent="0.3">
      <c r="B1911" s="146"/>
      <c r="C1911" s="146"/>
      <c r="D1911" s="146"/>
      <c r="E1911" s="146"/>
      <c r="F1911" s="146"/>
      <c r="G1911" s="146"/>
      <c r="H1911" s="146"/>
      <c r="I1911" s="146"/>
      <c r="J1911" s="146"/>
      <c r="K1911" s="146"/>
      <c r="L1911" s="146"/>
      <c r="M1911" s="146"/>
      <c r="N1911" s="146"/>
      <c r="O1911" s="146"/>
      <c r="P1911" s="146"/>
      <c r="Q1911" s="146"/>
      <c r="R1911" s="146"/>
      <c r="S1911" s="146"/>
      <c r="T1911" s="146"/>
      <c r="U1911" s="146"/>
      <c r="V1911" s="146"/>
      <c r="W1911" s="146"/>
      <c r="X1911" s="146"/>
      <c r="Y1911" s="146"/>
      <c r="Z1911" s="146"/>
      <c r="AA1911" s="146"/>
      <c r="AB1911" s="146"/>
      <c r="AC1911" s="146"/>
      <c r="AD1911" s="146"/>
      <c r="AE1911" s="146"/>
      <c r="AF1911" s="146"/>
      <c r="AG1911" s="146"/>
      <c r="AH1911" s="146"/>
      <c r="AI1911" s="146"/>
      <c r="AJ1911" s="146"/>
      <c r="AK1911" s="146"/>
      <c r="AL1911" s="146"/>
      <c r="AM1911" s="146"/>
      <c r="AN1911" s="146"/>
      <c r="AO1911" s="146"/>
      <c r="AP1911" s="146"/>
      <c r="AQ1911" s="146"/>
    </row>
    <row r="1912" spans="1:52" s="140" customFormat="1" x14ac:dyDescent="0.3">
      <c r="AX1912"/>
    </row>
    <row r="1913" spans="1:52" x14ac:dyDescent="0.3">
      <c r="B1913" s="146"/>
      <c r="C1913" s="146"/>
      <c r="D1913" s="146"/>
      <c r="E1913" s="146"/>
      <c r="F1913" s="146"/>
      <c r="G1913" s="146"/>
      <c r="H1913" s="146"/>
      <c r="I1913" s="146"/>
      <c r="J1913" s="146"/>
      <c r="K1913" s="146"/>
      <c r="L1913" s="146"/>
      <c r="M1913" s="146"/>
      <c r="N1913" s="146"/>
      <c r="O1913" s="146"/>
      <c r="P1913" s="146"/>
      <c r="Q1913" s="146"/>
      <c r="R1913" s="146"/>
      <c r="S1913" s="146"/>
      <c r="T1913" s="146"/>
      <c r="U1913" s="146"/>
      <c r="V1913" s="146"/>
      <c r="W1913" s="146"/>
      <c r="X1913" s="146"/>
      <c r="Y1913" s="146"/>
      <c r="Z1913" s="146"/>
      <c r="AA1913" s="146"/>
      <c r="AB1913" s="146"/>
      <c r="AC1913" s="146"/>
      <c r="AD1913" s="146"/>
      <c r="AE1913" s="146"/>
      <c r="AF1913" s="146"/>
      <c r="AG1913" s="146"/>
      <c r="AH1913" s="146"/>
      <c r="AI1913" s="146"/>
      <c r="AJ1913" s="146"/>
      <c r="AK1913" s="146"/>
      <c r="AL1913" s="146"/>
      <c r="AM1913" s="146"/>
      <c r="AN1913" s="146"/>
      <c r="AO1913" s="146"/>
      <c r="AP1913" s="146"/>
      <c r="AQ1913" s="146"/>
    </row>
    <row r="1914" spans="1:52" x14ac:dyDescent="0.3">
      <c r="B1914" s="146"/>
      <c r="C1914" s="146"/>
      <c r="D1914" s="146"/>
      <c r="E1914" s="146"/>
      <c r="F1914" s="146"/>
      <c r="G1914" s="146"/>
      <c r="H1914" s="146"/>
      <c r="I1914" s="146"/>
      <c r="J1914" s="146"/>
      <c r="K1914" s="146"/>
      <c r="L1914" s="146"/>
      <c r="M1914" s="146"/>
      <c r="N1914" s="146"/>
      <c r="O1914" s="146"/>
      <c r="P1914" s="146"/>
      <c r="Q1914" s="146"/>
      <c r="R1914" s="146"/>
      <c r="S1914" s="146"/>
      <c r="T1914" s="146"/>
      <c r="U1914" s="146"/>
      <c r="V1914" s="146"/>
      <c r="W1914" s="146"/>
      <c r="X1914" s="146"/>
      <c r="Y1914" s="146"/>
      <c r="Z1914" s="146"/>
      <c r="AA1914" s="146"/>
      <c r="AB1914" s="146"/>
      <c r="AC1914" s="146"/>
      <c r="AD1914" s="146"/>
      <c r="AE1914" s="146"/>
      <c r="AF1914" s="146"/>
      <c r="AG1914" s="146"/>
      <c r="AH1914" s="146"/>
      <c r="AI1914" s="146"/>
      <c r="AJ1914" s="146"/>
      <c r="AK1914" s="146"/>
      <c r="AL1914" s="146"/>
      <c r="AM1914" s="146"/>
      <c r="AN1914" s="146"/>
      <c r="AO1914" s="146"/>
      <c r="AP1914" s="146"/>
      <c r="AQ1914" s="146"/>
    </row>
    <row r="1915" spans="1:52" x14ac:dyDescent="0.3">
      <c r="B1915" s="146"/>
      <c r="C1915" s="146"/>
      <c r="D1915" s="146"/>
      <c r="E1915" s="146"/>
      <c r="F1915" s="146"/>
      <c r="G1915" s="146"/>
      <c r="H1915" s="146"/>
      <c r="I1915" s="146"/>
      <c r="J1915" s="146"/>
      <c r="K1915" s="146"/>
      <c r="L1915" s="146"/>
      <c r="M1915" s="146"/>
      <c r="N1915" s="146"/>
      <c r="O1915" s="146"/>
      <c r="P1915" s="146"/>
      <c r="Q1915" s="146"/>
      <c r="R1915" s="146"/>
      <c r="S1915" s="146"/>
      <c r="T1915" s="146"/>
      <c r="U1915" s="146"/>
      <c r="V1915" s="146"/>
      <c r="W1915" s="146"/>
      <c r="X1915" s="146"/>
      <c r="Y1915" s="146"/>
      <c r="Z1915" s="146"/>
      <c r="AA1915" s="146"/>
      <c r="AB1915" s="146"/>
      <c r="AC1915" s="146"/>
      <c r="AD1915" s="146"/>
      <c r="AE1915" s="146"/>
      <c r="AF1915" s="146"/>
      <c r="AG1915" s="146"/>
      <c r="AH1915" s="146"/>
      <c r="AI1915" s="146"/>
      <c r="AJ1915" s="146"/>
      <c r="AK1915" s="146"/>
      <c r="AL1915" s="146"/>
      <c r="AM1915" s="146"/>
      <c r="AN1915" s="146"/>
      <c r="AO1915" s="146"/>
      <c r="AP1915" s="146"/>
      <c r="AQ1915" s="146"/>
    </row>
    <row r="1916" spans="1:52" x14ac:dyDescent="0.3">
      <c r="B1916" s="146"/>
      <c r="C1916" s="146"/>
      <c r="D1916" s="146"/>
      <c r="E1916" s="146"/>
      <c r="F1916" s="146"/>
      <c r="G1916" s="146"/>
      <c r="H1916" s="146"/>
      <c r="I1916" s="146"/>
      <c r="J1916" s="146"/>
      <c r="K1916" s="146"/>
      <c r="L1916" s="146"/>
      <c r="M1916" s="146"/>
      <c r="N1916" s="146"/>
      <c r="O1916" s="146"/>
      <c r="P1916" s="146"/>
      <c r="Q1916" s="146"/>
      <c r="R1916" s="146"/>
      <c r="S1916" s="146"/>
      <c r="T1916" s="146"/>
      <c r="U1916" s="146"/>
      <c r="V1916" s="146"/>
      <c r="W1916" s="146"/>
      <c r="X1916" s="146"/>
      <c r="Y1916" s="146"/>
      <c r="Z1916" s="146"/>
      <c r="AA1916" s="146"/>
      <c r="AB1916" s="146"/>
      <c r="AC1916" s="146"/>
      <c r="AD1916" s="146"/>
      <c r="AE1916" s="146"/>
      <c r="AF1916" s="146"/>
      <c r="AG1916" s="146"/>
      <c r="AH1916" s="146"/>
      <c r="AI1916" s="146"/>
      <c r="AJ1916" s="146"/>
      <c r="AK1916" s="146"/>
      <c r="AL1916" s="146"/>
      <c r="AM1916" s="146"/>
      <c r="AN1916" s="146"/>
      <c r="AO1916" s="146"/>
      <c r="AP1916" s="146"/>
      <c r="AQ1916" s="146"/>
    </row>
    <row r="1917" spans="1:52" s="146" customFormat="1" x14ac:dyDescent="0.3">
      <c r="A1917"/>
      <c r="AR1917"/>
      <c r="AS1917"/>
      <c r="AT1917"/>
      <c r="AU1917"/>
      <c r="AV1917"/>
      <c r="AW1917"/>
      <c r="AX1917"/>
      <c r="AY1917"/>
      <c r="AZ1917"/>
    </row>
    <row r="1918" spans="1:52" s="140" customFormat="1" x14ac:dyDescent="0.3">
      <c r="A1918"/>
      <c r="B1918" s="146"/>
      <c r="C1918" s="146"/>
      <c r="D1918" s="146"/>
      <c r="E1918" s="146"/>
      <c r="F1918" s="146"/>
      <c r="G1918" s="146"/>
      <c r="H1918" s="146"/>
      <c r="I1918" s="146"/>
      <c r="J1918" s="146"/>
      <c r="K1918" s="146"/>
      <c r="L1918" s="146"/>
      <c r="M1918" s="146"/>
      <c r="N1918" s="146"/>
      <c r="O1918" s="146"/>
      <c r="P1918" s="146"/>
      <c r="Q1918" s="146"/>
      <c r="R1918" s="146"/>
      <c r="S1918" s="146"/>
      <c r="T1918" s="146"/>
      <c r="U1918" s="146"/>
      <c r="V1918" s="146"/>
      <c r="W1918" s="146"/>
      <c r="X1918" s="146"/>
      <c r="Y1918" s="146"/>
      <c r="Z1918" s="146"/>
      <c r="AA1918" s="146"/>
      <c r="AB1918" s="146"/>
      <c r="AC1918" s="146"/>
      <c r="AD1918" s="146"/>
      <c r="AE1918" s="146"/>
      <c r="AF1918" s="146"/>
      <c r="AG1918" s="146"/>
      <c r="AH1918" s="146"/>
      <c r="AI1918" s="146"/>
      <c r="AJ1918" s="146"/>
      <c r="AK1918" s="146"/>
      <c r="AL1918" s="146"/>
      <c r="AM1918" s="146"/>
      <c r="AN1918" s="146"/>
      <c r="AO1918" s="146"/>
      <c r="AP1918" s="146"/>
      <c r="AQ1918" s="146"/>
      <c r="AR1918"/>
      <c r="AS1918"/>
      <c r="AT1918"/>
      <c r="AU1918"/>
      <c r="AV1918"/>
      <c r="AW1918"/>
      <c r="AX1918"/>
      <c r="AY1918"/>
      <c r="AZ1918"/>
    </row>
    <row r="1919" spans="1:52" x14ac:dyDescent="0.3">
      <c r="B1919" s="146"/>
      <c r="C1919" s="146"/>
      <c r="D1919" s="146"/>
      <c r="E1919" s="146"/>
      <c r="F1919" s="146"/>
      <c r="G1919" s="146"/>
      <c r="H1919" s="146"/>
      <c r="I1919" s="146"/>
      <c r="J1919" s="146"/>
      <c r="K1919" s="146"/>
      <c r="L1919" s="146"/>
      <c r="M1919" s="146"/>
      <c r="N1919" s="146"/>
      <c r="O1919" s="146"/>
      <c r="P1919" s="146"/>
      <c r="Q1919" s="146"/>
      <c r="R1919" s="146"/>
      <c r="S1919" s="146"/>
      <c r="T1919" s="146"/>
      <c r="U1919" s="146"/>
      <c r="V1919" s="146"/>
      <c r="W1919" s="146"/>
      <c r="X1919" s="146"/>
      <c r="Y1919" s="146"/>
      <c r="Z1919" s="146"/>
      <c r="AA1919" s="146"/>
      <c r="AB1919" s="146"/>
      <c r="AC1919" s="146"/>
      <c r="AD1919" s="146"/>
      <c r="AE1919" s="146"/>
      <c r="AF1919" s="146"/>
      <c r="AG1919" s="146"/>
      <c r="AH1919" s="146"/>
      <c r="AI1919" s="146"/>
      <c r="AJ1919" s="146"/>
      <c r="AK1919" s="146"/>
      <c r="AL1919" s="146"/>
      <c r="AM1919" s="146"/>
      <c r="AN1919" s="146"/>
      <c r="AO1919" s="146"/>
      <c r="AP1919" s="146"/>
      <c r="AQ1919" s="146"/>
    </row>
    <row r="1920" spans="1:52" x14ac:dyDescent="0.3">
      <c r="B1920" s="146"/>
      <c r="C1920" s="146"/>
      <c r="D1920" s="146"/>
      <c r="E1920" s="146"/>
      <c r="F1920" s="146"/>
      <c r="G1920" s="146"/>
      <c r="H1920" s="146"/>
      <c r="I1920" s="146"/>
      <c r="J1920" s="146"/>
      <c r="K1920" s="146"/>
      <c r="L1920" s="146"/>
      <c r="M1920" s="146"/>
      <c r="N1920" s="146"/>
      <c r="O1920" s="146"/>
      <c r="P1920" s="146"/>
      <c r="Q1920" s="146"/>
      <c r="R1920" s="146"/>
      <c r="S1920" s="146"/>
      <c r="T1920" s="146"/>
      <c r="U1920" s="146"/>
      <c r="V1920" s="146"/>
      <c r="W1920" s="146"/>
      <c r="X1920" s="146"/>
      <c r="Y1920" s="146"/>
      <c r="Z1920" s="146"/>
      <c r="AA1920" s="146"/>
      <c r="AB1920" s="146"/>
      <c r="AC1920" s="146"/>
      <c r="AD1920" s="146"/>
      <c r="AE1920" s="146"/>
      <c r="AF1920" s="146"/>
      <c r="AG1920" s="146"/>
      <c r="AH1920" s="146"/>
      <c r="AI1920" s="146"/>
      <c r="AJ1920" s="146"/>
      <c r="AK1920" s="146"/>
      <c r="AL1920" s="146"/>
      <c r="AM1920" s="146"/>
      <c r="AN1920" s="146"/>
      <c r="AO1920" s="146"/>
      <c r="AP1920" s="146"/>
      <c r="AQ1920" s="146"/>
    </row>
    <row r="1921" spans="1:52" x14ac:dyDescent="0.3">
      <c r="B1921" s="146"/>
      <c r="C1921" s="146"/>
      <c r="D1921" s="146"/>
      <c r="E1921" s="146"/>
      <c r="F1921" s="146"/>
      <c r="G1921" s="146"/>
      <c r="H1921" s="146"/>
      <c r="I1921" s="146"/>
      <c r="J1921" s="146"/>
      <c r="K1921" s="146"/>
      <c r="L1921" s="146"/>
      <c r="M1921" s="146"/>
      <c r="N1921" s="146"/>
      <c r="O1921" s="146"/>
      <c r="P1921" s="146"/>
      <c r="Q1921" s="146"/>
      <c r="R1921" s="146"/>
      <c r="S1921" s="146"/>
      <c r="T1921" s="146"/>
      <c r="U1921" s="146"/>
      <c r="V1921" s="146"/>
      <c r="W1921" s="146"/>
      <c r="X1921" s="146"/>
      <c r="Y1921" s="146"/>
      <c r="Z1921" s="146"/>
      <c r="AA1921" s="146"/>
      <c r="AB1921" s="146"/>
      <c r="AC1921" s="146"/>
      <c r="AD1921" s="146"/>
      <c r="AE1921" s="146"/>
      <c r="AF1921" s="146"/>
      <c r="AG1921" s="146"/>
      <c r="AH1921" s="146"/>
      <c r="AI1921" s="146"/>
      <c r="AJ1921" s="146"/>
      <c r="AK1921" s="146"/>
      <c r="AL1921" s="146"/>
      <c r="AM1921" s="146"/>
      <c r="AN1921" s="146"/>
      <c r="AO1921" s="146"/>
      <c r="AP1921" s="146"/>
      <c r="AQ1921" s="146"/>
    </row>
    <row r="1922" spans="1:52" s="140" customFormat="1" x14ac:dyDescent="0.3">
      <c r="AX1922"/>
    </row>
    <row r="1923" spans="1:52" x14ac:dyDescent="0.3">
      <c r="B1923" s="146"/>
      <c r="C1923" s="146"/>
      <c r="D1923" s="146"/>
      <c r="E1923" s="146"/>
      <c r="F1923" s="146"/>
      <c r="G1923" s="146"/>
      <c r="H1923" s="146"/>
      <c r="I1923" s="146"/>
      <c r="J1923" s="146"/>
      <c r="K1923" s="146"/>
      <c r="L1923" s="146"/>
      <c r="M1923" s="146"/>
      <c r="N1923" s="146"/>
      <c r="O1923" s="146"/>
      <c r="P1923" s="146"/>
      <c r="Q1923" s="146"/>
      <c r="R1923" s="146"/>
      <c r="S1923" s="146"/>
      <c r="T1923" s="146"/>
      <c r="U1923" s="146"/>
      <c r="V1923" s="146"/>
      <c r="W1923" s="146"/>
      <c r="X1923" s="146"/>
      <c r="Y1923" s="146"/>
      <c r="Z1923" s="146"/>
      <c r="AA1923" s="146"/>
      <c r="AB1923" s="146"/>
      <c r="AC1923" s="146"/>
      <c r="AD1923" s="146"/>
      <c r="AE1923" s="146"/>
      <c r="AF1923" s="146"/>
      <c r="AG1923" s="146"/>
      <c r="AH1923" s="146"/>
      <c r="AI1923" s="146"/>
      <c r="AJ1923" s="146"/>
      <c r="AK1923" s="146"/>
      <c r="AL1923" s="146"/>
      <c r="AM1923" s="146"/>
      <c r="AN1923" s="146"/>
      <c r="AO1923" s="146"/>
      <c r="AP1923" s="146"/>
      <c r="AQ1923" s="146"/>
    </row>
    <row r="1924" spans="1:52" x14ac:dyDescent="0.3">
      <c r="B1924" s="146"/>
      <c r="C1924" s="146"/>
      <c r="D1924" s="146"/>
      <c r="E1924" s="146"/>
      <c r="F1924" s="146"/>
      <c r="G1924" s="146"/>
      <c r="H1924" s="146"/>
      <c r="I1924" s="146"/>
      <c r="J1924" s="146"/>
      <c r="K1924" s="146"/>
      <c r="L1924" s="146"/>
      <c r="M1924" s="146"/>
      <c r="N1924" s="146"/>
      <c r="O1924" s="146"/>
      <c r="P1924" s="146"/>
      <c r="Q1924" s="146"/>
      <c r="R1924" s="146"/>
      <c r="S1924" s="146"/>
      <c r="T1924" s="146"/>
      <c r="U1924" s="146"/>
      <c r="V1924" s="146"/>
      <c r="W1924" s="146"/>
      <c r="X1924" s="146"/>
      <c r="Y1924" s="146"/>
      <c r="Z1924" s="146"/>
      <c r="AA1924" s="146"/>
      <c r="AB1924" s="146"/>
      <c r="AC1924" s="146"/>
      <c r="AD1924" s="146"/>
      <c r="AE1924" s="146"/>
      <c r="AF1924" s="146"/>
      <c r="AG1924" s="146"/>
      <c r="AH1924" s="146"/>
      <c r="AI1924" s="146"/>
      <c r="AJ1924" s="146"/>
      <c r="AK1924" s="146"/>
      <c r="AL1924" s="146"/>
      <c r="AM1924" s="146"/>
      <c r="AN1924" s="146"/>
      <c r="AO1924" s="146"/>
      <c r="AP1924" s="146"/>
      <c r="AQ1924" s="146"/>
    </row>
    <row r="1925" spans="1:52" x14ac:dyDescent="0.3">
      <c r="B1925" s="146"/>
      <c r="C1925" s="146"/>
      <c r="D1925" s="146"/>
      <c r="E1925" s="146"/>
      <c r="F1925" s="146"/>
      <c r="G1925" s="146"/>
      <c r="H1925" s="146"/>
      <c r="I1925" s="146"/>
      <c r="J1925" s="146"/>
      <c r="K1925" s="146"/>
      <c r="L1925" s="146"/>
      <c r="M1925" s="146"/>
      <c r="N1925" s="146"/>
      <c r="O1925" s="146"/>
      <c r="P1925" s="146"/>
      <c r="Q1925" s="146"/>
      <c r="R1925" s="146"/>
      <c r="S1925" s="146"/>
      <c r="T1925" s="146"/>
      <c r="U1925" s="146"/>
      <c r="V1925" s="146"/>
      <c r="W1925" s="146"/>
      <c r="X1925" s="146"/>
      <c r="Y1925" s="146"/>
      <c r="Z1925" s="146"/>
      <c r="AA1925" s="146"/>
      <c r="AB1925" s="146"/>
      <c r="AC1925" s="146"/>
      <c r="AD1925" s="146"/>
      <c r="AE1925" s="146"/>
      <c r="AF1925" s="146"/>
      <c r="AG1925" s="146"/>
      <c r="AH1925" s="146"/>
      <c r="AI1925" s="146"/>
      <c r="AJ1925" s="146"/>
      <c r="AK1925" s="146"/>
      <c r="AL1925" s="146"/>
      <c r="AM1925" s="146"/>
      <c r="AN1925" s="146"/>
      <c r="AO1925" s="146"/>
      <c r="AP1925" s="146"/>
      <c r="AQ1925" s="146"/>
    </row>
    <row r="1926" spans="1:52" x14ac:dyDescent="0.3">
      <c r="B1926" s="146"/>
      <c r="C1926" s="146"/>
      <c r="D1926" s="146"/>
      <c r="E1926" s="146"/>
      <c r="F1926" s="146"/>
      <c r="G1926" s="146"/>
      <c r="H1926" s="146"/>
      <c r="I1926" s="146"/>
      <c r="J1926" s="146"/>
      <c r="K1926" s="146"/>
      <c r="L1926" s="146"/>
      <c r="M1926" s="146"/>
      <c r="N1926" s="146"/>
      <c r="O1926" s="146"/>
      <c r="P1926" s="146"/>
      <c r="Q1926" s="146"/>
      <c r="R1926" s="146"/>
      <c r="S1926" s="146"/>
      <c r="T1926" s="146"/>
      <c r="U1926" s="146"/>
      <c r="V1926" s="146"/>
      <c r="W1926" s="146"/>
      <c r="X1926" s="146"/>
      <c r="Y1926" s="146"/>
      <c r="Z1926" s="146"/>
      <c r="AA1926" s="146"/>
      <c r="AB1926" s="146"/>
      <c r="AC1926" s="146"/>
      <c r="AD1926" s="146"/>
      <c r="AE1926" s="146"/>
      <c r="AF1926" s="146"/>
      <c r="AG1926" s="146"/>
      <c r="AH1926" s="146"/>
      <c r="AI1926" s="146"/>
      <c r="AJ1926" s="146"/>
      <c r="AK1926" s="146"/>
      <c r="AL1926" s="146"/>
      <c r="AM1926" s="146"/>
      <c r="AN1926" s="146"/>
      <c r="AO1926" s="146"/>
      <c r="AP1926" s="146"/>
      <c r="AQ1926" s="146"/>
    </row>
    <row r="1927" spans="1:52" x14ac:dyDescent="0.3">
      <c r="B1927" s="146"/>
      <c r="C1927" s="146"/>
      <c r="D1927" s="146"/>
      <c r="E1927" s="146"/>
      <c r="F1927" s="146"/>
      <c r="G1927" s="146"/>
      <c r="H1927" s="146"/>
      <c r="I1927" s="146"/>
      <c r="J1927" s="146"/>
      <c r="K1927" s="146"/>
      <c r="L1927" s="146"/>
      <c r="M1927" s="146"/>
      <c r="N1927" s="146"/>
      <c r="O1927" s="146"/>
      <c r="P1927" s="146"/>
      <c r="Q1927" s="146"/>
      <c r="R1927" s="146"/>
      <c r="S1927" s="146"/>
      <c r="T1927" s="146"/>
      <c r="U1927" s="146"/>
      <c r="V1927" s="146"/>
      <c r="W1927" s="146"/>
      <c r="X1927" s="146"/>
      <c r="Y1927" s="146"/>
      <c r="Z1927" s="146"/>
      <c r="AA1927" s="146"/>
      <c r="AB1927" s="146"/>
      <c r="AC1927" s="146"/>
      <c r="AD1927" s="146"/>
      <c r="AE1927" s="146"/>
      <c r="AF1927" s="146"/>
      <c r="AG1927" s="146"/>
      <c r="AH1927" s="146"/>
      <c r="AI1927" s="146"/>
      <c r="AJ1927" s="146"/>
      <c r="AK1927" s="146"/>
      <c r="AL1927" s="146"/>
      <c r="AM1927" s="146"/>
      <c r="AN1927" s="146"/>
      <c r="AO1927" s="146"/>
      <c r="AP1927" s="146"/>
      <c r="AQ1927" s="146"/>
    </row>
    <row r="1928" spans="1:52" x14ac:dyDescent="0.3">
      <c r="B1928" s="146"/>
      <c r="C1928" s="146"/>
      <c r="D1928" s="146"/>
      <c r="E1928" s="146"/>
      <c r="F1928" s="146"/>
      <c r="G1928" s="146"/>
      <c r="H1928" s="146"/>
      <c r="I1928" s="146"/>
      <c r="J1928" s="146"/>
      <c r="K1928" s="146"/>
      <c r="L1928" s="146"/>
      <c r="M1928" s="146"/>
      <c r="N1928" s="146"/>
      <c r="O1928" s="146"/>
      <c r="P1928" s="146"/>
      <c r="Q1928" s="146"/>
      <c r="R1928" s="146"/>
      <c r="S1928" s="146"/>
      <c r="T1928" s="146"/>
      <c r="U1928" s="146"/>
      <c r="V1928" s="146"/>
      <c r="W1928" s="146"/>
      <c r="X1928" s="146"/>
      <c r="Y1928" s="146"/>
      <c r="Z1928" s="146"/>
      <c r="AA1928" s="146"/>
      <c r="AB1928" s="146"/>
      <c r="AC1928" s="146"/>
      <c r="AD1928" s="146"/>
      <c r="AE1928" s="146"/>
      <c r="AF1928" s="146"/>
      <c r="AG1928" s="146"/>
      <c r="AH1928" s="146"/>
      <c r="AI1928" s="146"/>
      <c r="AJ1928" s="146"/>
      <c r="AK1928" s="146"/>
      <c r="AL1928" s="146"/>
      <c r="AM1928" s="146"/>
      <c r="AN1928" s="146"/>
      <c r="AO1928" s="146"/>
      <c r="AP1928" s="146"/>
      <c r="AQ1928" s="146"/>
    </row>
    <row r="1929" spans="1:52" x14ac:dyDescent="0.3">
      <c r="B1929" s="146"/>
      <c r="C1929" s="146"/>
      <c r="D1929" s="146"/>
      <c r="E1929" s="146"/>
      <c r="F1929" s="146"/>
      <c r="G1929" s="146"/>
      <c r="H1929" s="146"/>
      <c r="I1929" s="146"/>
      <c r="J1929" s="146"/>
      <c r="K1929" s="146"/>
      <c r="L1929" s="146"/>
      <c r="M1929" s="146"/>
      <c r="N1929" s="146"/>
      <c r="O1929" s="146"/>
      <c r="P1929" s="146"/>
      <c r="Q1929" s="146"/>
      <c r="R1929" s="146"/>
      <c r="S1929" s="146"/>
      <c r="T1929" s="146"/>
      <c r="U1929" s="146"/>
      <c r="V1929" s="146"/>
      <c r="W1929" s="146"/>
      <c r="X1929" s="146"/>
      <c r="Y1929" s="146"/>
      <c r="Z1929" s="146"/>
      <c r="AA1929" s="146"/>
      <c r="AB1929" s="146"/>
      <c r="AC1929" s="146"/>
      <c r="AD1929" s="146"/>
      <c r="AE1929" s="146"/>
      <c r="AF1929" s="146"/>
      <c r="AG1929" s="146"/>
      <c r="AH1929" s="146"/>
      <c r="AI1929" s="146"/>
      <c r="AJ1929" s="146"/>
      <c r="AK1929" s="146"/>
      <c r="AL1929" s="146"/>
      <c r="AM1929" s="146"/>
      <c r="AN1929" s="146"/>
      <c r="AO1929" s="146"/>
      <c r="AP1929" s="146"/>
      <c r="AQ1929" s="146"/>
    </row>
    <row r="1930" spans="1:52" x14ac:dyDescent="0.3">
      <c r="B1930" s="146"/>
      <c r="C1930" s="146"/>
      <c r="D1930" s="146"/>
      <c r="E1930" s="146"/>
      <c r="F1930" s="146"/>
      <c r="G1930" s="146"/>
      <c r="H1930" s="146"/>
      <c r="I1930" s="146"/>
      <c r="J1930" s="146"/>
      <c r="K1930" s="146"/>
      <c r="L1930" s="146"/>
      <c r="M1930" s="146"/>
      <c r="N1930" s="146"/>
      <c r="O1930" s="146"/>
      <c r="P1930" s="146"/>
      <c r="Q1930" s="146"/>
      <c r="R1930" s="146"/>
      <c r="S1930" s="146"/>
      <c r="T1930" s="146"/>
      <c r="U1930" s="146"/>
      <c r="V1930" s="146"/>
      <c r="W1930" s="146"/>
      <c r="X1930" s="146"/>
      <c r="Y1930" s="146"/>
      <c r="Z1930" s="146"/>
      <c r="AA1930" s="146"/>
      <c r="AB1930" s="146"/>
      <c r="AC1930" s="146"/>
      <c r="AD1930" s="146"/>
      <c r="AE1930" s="146"/>
      <c r="AF1930" s="146"/>
      <c r="AG1930" s="146"/>
      <c r="AH1930" s="146"/>
      <c r="AI1930" s="146"/>
      <c r="AJ1930" s="146"/>
      <c r="AK1930" s="146"/>
      <c r="AL1930" s="146"/>
      <c r="AM1930" s="146"/>
      <c r="AN1930" s="146"/>
      <c r="AO1930" s="146"/>
      <c r="AP1930" s="146"/>
      <c r="AQ1930" s="146"/>
    </row>
    <row r="1931" spans="1:52" x14ac:dyDescent="0.3">
      <c r="B1931" s="146"/>
      <c r="C1931" s="146"/>
      <c r="D1931" s="146"/>
      <c r="E1931" s="146"/>
      <c r="F1931" s="146"/>
      <c r="G1931" s="146"/>
      <c r="H1931" s="146"/>
      <c r="I1931" s="146"/>
      <c r="J1931" s="146"/>
      <c r="K1931" s="146"/>
      <c r="L1931" s="146"/>
      <c r="M1931" s="146"/>
      <c r="N1931" s="146"/>
      <c r="O1931" s="146"/>
      <c r="P1931" s="146"/>
      <c r="Q1931" s="146"/>
      <c r="R1931" s="146"/>
      <c r="S1931" s="146"/>
      <c r="T1931" s="146"/>
      <c r="U1931" s="146"/>
      <c r="V1931" s="146"/>
      <c r="W1931" s="146"/>
      <c r="X1931" s="146"/>
      <c r="Y1931" s="146"/>
      <c r="Z1931" s="146"/>
      <c r="AA1931" s="146"/>
      <c r="AB1931" s="146"/>
      <c r="AC1931" s="146"/>
      <c r="AD1931" s="146"/>
      <c r="AE1931" s="146"/>
      <c r="AF1931" s="146"/>
      <c r="AG1931" s="146"/>
      <c r="AH1931" s="146"/>
      <c r="AI1931" s="146"/>
      <c r="AJ1931" s="146"/>
      <c r="AK1931" s="146"/>
      <c r="AL1931" s="146"/>
      <c r="AM1931" s="146"/>
      <c r="AN1931" s="146"/>
      <c r="AO1931" s="146"/>
      <c r="AP1931" s="146"/>
      <c r="AQ1931" s="146"/>
    </row>
    <row r="1932" spans="1:52" s="140" customFormat="1" x14ac:dyDescent="0.3">
      <c r="AX1932"/>
    </row>
    <row r="1933" spans="1:52" x14ac:dyDescent="0.3">
      <c r="B1933" s="146"/>
      <c r="C1933" s="146"/>
      <c r="D1933" s="146"/>
      <c r="E1933" s="146"/>
      <c r="F1933" s="146"/>
      <c r="G1933" s="146"/>
      <c r="H1933" s="146"/>
      <c r="I1933" s="146"/>
      <c r="J1933" s="146"/>
      <c r="K1933" s="146"/>
      <c r="L1933" s="146"/>
      <c r="M1933" s="146"/>
      <c r="N1933" s="146"/>
      <c r="O1933" s="146"/>
      <c r="P1933" s="146"/>
      <c r="Q1933" s="146"/>
      <c r="R1933" s="146"/>
      <c r="S1933" s="146"/>
      <c r="T1933" s="146"/>
      <c r="U1933" s="146"/>
      <c r="V1933" s="146"/>
      <c r="W1933" s="146"/>
      <c r="X1933" s="146"/>
      <c r="Y1933" s="146"/>
      <c r="Z1933" s="146"/>
      <c r="AA1933" s="146"/>
      <c r="AB1933" s="146"/>
      <c r="AC1933" s="146"/>
      <c r="AD1933" s="146"/>
      <c r="AE1933" s="146"/>
      <c r="AF1933" s="146"/>
      <c r="AG1933" s="146"/>
      <c r="AH1933" s="146"/>
      <c r="AI1933" s="146"/>
      <c r="AJ1933" s="146"/>
      <c r="AK1933" s="146"/>
      <c r="AL1933" s="146"/>
      <c r="AM1933" s="146"/>
      <c r="AN1933" s="146"/>
      <c r="AO1933" s="146"/>
      <c r="AP1933" s="146"/>
      <c r="AQ1933" s="146"/>
    </row>
    <row r="1934" spans="1:52" s="140" customFormat="1" x14ac:dyDescent="0.3">
      <c r="A1934"/>
      <c r="B1934" s="146"/>
      <c r="C1934" s="146"/>
      <c r="D1934" s="146"/>
      <c r="E1934" s="146"/>
      <c r="F1934" s="146"/>
      <c r="G1934" s="146"/>
      <c r="H1934" s="146"/>
      <c r="I1934" s="146"/>
      <c r="J1934" s="146"/>
      <c r="K1934" s="146"/>
      <c r="L1934" s="146"/>
      <c r="M1934" s="146"/>
      <c r="N1934" s="146"/>
      <c r="O1934" s="146"/>
      <c r="P1934" s="146"/>
      <c r="Q1934" s="146"/>
      <c r="R1934" s="146"/>
      <c r="S1934" s="146"/>
      <c r="T1934" s="146"/>
      <c r="U1934" s="146"/>
      <c r="V1934" s="146"/>
      <c r="W1934" s="146"/>
      <c r="X1934" s="146"/>
      <c r="Y1934" s="146"/>
      <c r="Z1934" s="146"/>
      <c r="AA1934" s="146"/>
      <c r="AB1934" s="146"/>
      <c r="AC1934" s="146"/>
      <c r="AD1934" s="146"/>
      <c r="AE1934" s="146"/>
      <c r="AF1934" s="146"/>
      <c r="AG1934" s="146"/>
      <c r="AH1934" s="146"/>
      <c r="AI1934" s="146"/>
      <c r="AJ1934" s="146"/>
      <c r="AK1934" s="146"/>
      <c r="AL1934" s="146"/>
      <c r="AM1934" s="146"/>
      <c r="AN1934" s="146"/>
      <c r="AO1934" s="146"/>
      <c r="AP1934" s="146"/>
      <c r="AQ1934" s="146"/>
      <c r="AR1934"/>
      <c r="AS1934"/>
      <c r="AT1934"/>
      <c r="AU1934"/>
      <c r="AV1934"/>
      <c r="AW1934"/>
      <c r="AX1934"/>
      <c r="AY1934"/>
      <c r="AZ1934"/>
    </row>
    <row r="1935" spans="1:52" x14ac:dyDescent="0.3">
      <c r="B1935" s="146"/>
      <c r="C1935" s="146"/>
      <c r="D1935" s="146"/>
      <c r="E1935" s="146"/>
      <c r="F1935" s="146"/>
      <c r="G1935" s="146"/>
      <c r="H1935" s="146"/>
      <c r="I1935" s="146"/>
      <c r="J1935" s="146"/>
      <c r="K1935" s="146"/>
      <c r="L1935" s="146"/>
      <c r="M1935" s="146"/>
      <c r="N1935" s="146"/>
      <c r="O1935" s="146"/>
      <c r="P1935" s="146"/>
      <c r="Q1935" s="146"/>
      <c r="R1935" s="146"/>
      <c r="S1935" s="146"/>
      <c r="T1935" s="146"/>
      <c r="U1935" s="146"/>
      <c r="V1935" s="146"/>
      <c r="W1935" s="146"/>
      <c r="X1935" s="146"/>
      <c r="Y1935" s="146"/>
      <c r="Z1935" s="146"/>
      <c r="AA1935" s="146"/>
      <c r="AB1935" s="146"/>
      <c r="AC1935" s="146"/>
      <c r="AD1935" s="146"/>
      <c r="AE1935" s="146"/>
      <c r="AF1935" s="146"/>
      <c r="AG1935" s="146"/>
      <c r="AH1935" s="146"/>
      <c r="AI1935" s="146"/>
      <c r="AJ1935" s="146"/>
      <c r="AK1935" s="146"/>
      <c r="AL1935" s="146"/>
      <c r="AM1935" s="146"/>
      <c r="AN1935" s="146"/>
      <c r="AO1935" s="146"/>
      <c r="AP1935" s="146"/>
      <c r="AQ1935" s="146"/>
    </row>
    <row r="1936" spans="1:52" x14ac:dyDescent="0.3">
      <c r="B1936" s="146"/>
      <c r="C1936" s="146"/>
      <c r="D1936" s="146"/>
      <c r="E1936" s="146"/>
      <c r="F1936" s="146"/>
      <c r="G1936" s="146"/>
      <c r="H1936" s="146"/>
      <c r="I1936" s="146"/>
      <c r="J1936" s="146"/>
      <c r="K1936" s="146"/>
      <c r="L1936" s="146"/>
      <c r="M1936" s="146"/>
      <c r="N1936" s="146"/>
      <c r="O1936" s="146"/>
      <c r="P1936" s="146"/>
      <c r="Q1936" s="146"/>
      <c r="R1936" s="146"/>
      <c r="S1936" s="146"/>
      <c r="T1936" s="146"/>
      <c r="U1936" s="146"/>
      <c r="V1936" s="146"/>
      <c r="W1936" s="146"/>
      <c r="X1936" s="146"/>
      <c r="Y1936" s="146"/>
      <c r="Z1936" s="146"/>
      <c r="AA1936" s="146"/>
      <c r="AB1936" s="146"/>
      <c r="AC1936" s="146"/>
      <c r="AD1936" s="146"/>
      <c r="AE1936" s="146"/>
      <c r="AF1936" s="146"/>
      <c r="AG1936" s="146"/>
      <c r="AH1936" s="146"/>
      <c r="AI1936" s="146"/>
      <c r="AJ1936" s="146"/>
      <c r="AK1936" s="146"/>
      <c r="AL1936" s="146"/>
      <c r="AM1936" s="146"/>
      <c r="AN1936" s="146"/>
      <c r="AO1936" s="146"/>
      <c r="AP1936" s="146"/>
      <c r="AQ1936" s="146"/>
    </row>
    <row r="1937" spans="2:50" x14ac:dyDescent="0.3">
      <c r="B1937" s="146"/>
      <c r="C1937" s="146"/>
      <c r="D1937" s="146"/>
      <c r="E1937" s="146"/>
      <c r="F1937" s="146"/>
      <c r="G1937" s="146"/>
      <c r="H1937" s="146"/>
      <c r="I1937" s="146"/>
      <c r="J1937" s="146"/>
      <c r="K1937" s="146"/>
      <c r="L1937" s="146"/>
      <c r="M1937" s="146"/>
      <c r="N1937" s="146"/>
      <c r="O1937" s="146"/>
      <c r="P1937" s="146"/>
      <c r="Q1937" s="146"/>
      <c r="R1937" s="146"/>
      <c r="S1937" s="146"/>
      <c r="T1937" s="146"/>
      <c r="U1937" s="146"/>
      <c r="V1937" s="146"/>
      <c r="W1937" s="146"/>
      <c r="X1937" s="146"/>
      <c r="Y1937" s="146"/>
      <c r="Z1937" s="146"/>
      <c r="AA1937" s="146"/>
      <c r="AB1937" s="146"/>
      <c r="AC1937" s="146"/>
      <c r="AD1937" s="146"/>
      <c r="AE1937" s="146"/>
      <c r="AF1937" s="146"/>
      <c r="AG1937" s="146"/>
      <c r="AH1937" s="146"/>
      <c r="AI1937" s="146"/>
      <c r="AJ1937" s="146"/>
      <c r="AK1937" s="146"/>
      <c r="AL1937" s="146"/>
      <c r="AM1937" s="146"/>
      <c r="AN1937" s="146"/>
      <c r="AO1937" s="146"/>
      <c r="AP1937" s="146"/>
      <c r="AQ1937" s="146"/>
    </row>
    <row r="1938" spans="2:50" x14ac:dyDescent="0.3">
      <c r="B1938" s="146"/>
      <c r="C1938" s="146"/>
      <c r="D1938" s="146"/>
      <c r="E1938" s="146"/>
      <c r="F1938" s="146"/>
      <c r="G1938" s="146"/>
      <c r="H1938" s="146"/>
      <c r="I1938" s="146"/>
      <c r="J1938" s="146"/>
      <c r="K1938" s="146"/>
      <c r="L1938" s="146"/>
      <c r="M1938" s="146"/>
      <c r="N1938" s="146"/>
      <c r="O1938" s="146"/>
      <c r="P1938" s="146"/>
      <c r="Q1938" s="146"/>
      <c r="R1938" s="146"/>
      <c r="S1938" s="146"/>
      <c r="T1938" s="146"/>
      <c r="U1938" s="146"/>
      <c r="V1938" s="146"/>
      <c r="W1938" s="146"/>
      <c r="X1938" s="146"/>
      <c r="Y1938" s="146"/>
      <c r="Z1938" s="146"/>
      <c r="AA1938" s="146"/>
      <c r="AB1938" s="146"/>
      <c r="AC1938" s="146"/>
      <c r="AD1938" s="146"/>
      <c r="AE1938" s="146"/>
      <c r="AF1938" s="146"/>
      <c r="AG1938" s="146"/>
      <c r="AH1938" s="146"/>
      <c r="AI1938" s="146"/>
      <c r="AJ1938" s="146"/>
      <c r="AK1938" s="146"/>
      <c r="AL1938" s="146"/>
      <c r="AM1938" s="146"/>
      <c r="AN1938" s="146"/>
      <c r="AO1938" s="146"/>
      <c r="AP1938" s="146"/>
      <c r="AQ1938" s="146"/>
    </row>
    <row r="1939" spans="2:50" x14ac:dyDescent="0.3">
      <c r="B1939" s="146"/>
      <c r="C1939" s="146"/>
      <c r="D1939" s="146"/>
      <c r="E1939" s="146"/>
      <c r="F1939" s="146"/>
      <c r="G1939" s="146"/>
      <c r="H1939" s="146"/>
      <c r="I1939" s="146"/>
      <c r="J1939" s="146"/>
      <c r="K1939" s="146"/>
      <c r="L1939" s="146"/>
      <c r="M1939" s="146"/>
      <c r="N1939" s="146"/>
      <c r="O1939" s="146"/>
      <c r="P1939" s="146"/>
      <c r="Q1939" s="146"/>
      <c r="R1939" s="146"/>
      <c r="S1939" s="146"/>
      <c r="T1939" s="146"/>
      <c r="U1939" s="146"/>
      <c r="V1939" s="146"/>
      <c r="W1939" s="146"/>
      <c r="X1939" s="146"/>
      <c r="Y1939" s="146"/>
      <c r="Z1939" s="146"/>
      <c r="AA1939" s="146"/>
      <c r="AB1939" s="146"/>
      <c r="AC1939" s="146"/>
      <c r="AD1939" s="146"/>
      <c r="AE1939" s="146"/>
      <c r="AF1939" s="146"/>
      <c r="AG1939" s="146"/>
      <c r="AH1939" s="146"/>
      <c r="AI1939" s="146"/>
      <c r="AJ1939" s="146"/>
      <c r="AK1939" s="146"/>
      <c r="AL1939" s="146"/>
      <c r="AM1939" s="146"/>
      <c r="AN1939" s="146"/>
      <c r="AO1939" s="146"/>
      <c r="AP1939" s="146"/>
      <c r="AQ1939" s="146"/>
    </row>
    <row r="1940" spans="2:50" x14ac:dyDescent="0.3">
      <c r="B1940" s="146"/>
      <c r="C1940" s="146"/>
      <c r="D1940" s="146"/>
      <c r="E1940" s="146"/>
      <c r="F1940" s="146"/>
      <c r="G1940" s="146"/>
      <c r="H1940" s="146"/>
      <c r="I1940" s="146"/>
      <c r="J1940" s="146"/>
      <c r="K1940" s="146"/>
      <c r="L1940" s="146"/>
      <c r="M1940" s="146"/>
      <c r="N1940" s="146"/>
      <c r="O1940" s="146"/>
      <c r="P1940" s="146"/>
      <c r="Q1940" s="146"/>
      <c r="R1940" s="146"/>
      <c r="S1940" s="146"/>
      <c r="T1940" s="146"/>
      <c r="U1940" s="146"/>
      <c r="V1940" s="146"/>
      <c r="W1940" s="146"/>
      <c r="X1940" s="146"/>
      <c r="Y1940" s="146"/>
      <c r="Z1940" s="146"/>
      <c r="AA1940" s="146"/>
      <c r="AB1940" s="146"/>
      <c r="AC1940" s="146"/>
      <c r="AD1940" s="146"/>
      <c r="AE1940" s="146"/>
      <c r="AF1940" s="146"/>
      <c r="AG1940" s="146"/>
      <c r="AH1940" s="146"/>
      <c r="AI1940" s="146"/>
      <c r="AJ1940" s="146"/>
      <c r="AK1940" s="146"/>
      <c r="AL1940" s="146"/>
      <c r="AM1940" s="146"/>
      <c r="AN1940" s="146"/>
      <c r="AO1940" s="146"/>
      <c r="AP1940" s="146"/>
      <c r="AQ1940" s="146"/>
    </row>
    <row r="1941" spans="2:50" x14ac:dyDescent="0.3">
      <c r="B1941" s="146"/>
      <c r="C1941" s="146"/>
      <c r="D1941" s="146"/>
      <c r="E1941" s="146"/>
      <c r="F1941" s="146"/>
      <c r="G1941" s="146"/>
      <c r="H1941" s="146"/>
      <c r="I1941" s="146"/>
      <c r="J1941" s="146"/>
      <c r="K1941" s="146"/>
      <c r="L1941" s="146"/>
      <c r="M1941" s="146"/>
      <c r="N1941" s="146"/>
      <c r="O1941" s="146"/>
      <c r="P1941" s="146"/>
      <c r="Q1941" s="146"/>
      <c r="R1941" s="146"/>
      <c r="S1941" s="146"/>
      <c r="T1941" s="146"/>
      <c r="U1941" s="146"/>
      <c r="V1941" s="146"/>
      <c r="W1941" s="146"/>
      <c r="X1941" s="146"/>
      <c r="Y1941" s="146"/>
      <c r="Z1941" s="146"/>
      <c r="AA1941" s="146"/>
      <c r="AB1941" s="146"/>
      <c r="AC1941" s="146"/>
      <c r="AD1941" s="146"/>
      <c r="AE1941" s="146"/>
      <c r="AF1941" s="146"/>
      <c r="AG1941" s="146"/>
      <c r="AH1941" s="146"/>
      <c r="AI1941" s="146"/>
      <c r="AJ1941" s="146"/>
      <c r="AK1941" s="146"/>
      <c r="AL1941" s="146"/>
      <c r="AM1941" s="146"/>
      <c r="AN1941" s="146"/>
      <c r="AO1941" s="146"/>
      <c r="AP1941" s="146"/>
      <c r="AQ1941" s="146"/>
    </row>
    <row r="1942" spans="2:50" s="140" customFormat="1" x14ac:dyDescent="0.3">
      <c r="AX1942"/>
    </row>
    <row r="1943" spans="2:50" x14ac:dyDescent="0.3">
      <c r="B1943" s="146"/>
      <c r="C1943" s="146"/>
      <c r="D1943" s="146"/>
      <c r="E1943" s="146"/>
      <c r="F1943" s="146"/>
      <c r="G1943" s="146"/>
      <c r="H1943" s="146"/>
      <c r="I1943" s="146"/>
      <c r="J1943" s="146"/>
      <c r="K1943" s="146"/>
      <c r="L1943" s="146"/>
      <c r="M1943" s="146"/>
      <c r="N1943" s="146"/>
      <c r="O1943" s="146"/>
      <c r="P1943" s="146"/>
      <c r="Q1943" s="146"/>
      <c r="R1943" s="146"/>
      <c r="S1943" s="146"/>
      <c r="T1943" s="146"/>
      <c r="U1943" s="146"/>
      <c r="V1943" s="146"/>
      <c r="W1943" s="146"/>
      <c r="X1943" s="146"/>
      <c r="Y1943" s="146"/>
      <c r="Z1943" s="146"/>
      <c r="AA1943" s="146"/>
      <c r="AB1943" s="146"/>
      <c r="AC1943" s="146"/>
      <c r="AD1943" s="146"/>
      <c r="AE1943" s="146"/>
      <c r="AF1943" s="146"/>
      <c r="AG1943" s="146"/>
      <c r="AH1943" s="146"/>
      <c r="AI1943" s="146"/>
      <c r="AJ1943" s="146"/>
      <c r="AK1943" s="146"/>
      <c r="AL1943" s="146"/>
      <c r="AM1943" s="146"/>
      <c r="AN1943" s="146"/>
      <c r="AO1943" s="146"/>
      <c r="AP1943" s="146"/>
      <c r="AQ1943" s="146"/>
    </row>
    <row r="1944" spans="2:50" x14ac:dyDescent="0.3">
      <c r="B1944" s="146"/>
      <c r="C1944" s="146"/>
      <c r="D1944" s="146"/>
      <c r="E1944" s="146"/>
      <c r="F1944" s="146"/>
      <c r="G1944" s="146"/>
      <c r="H1944" s="146"/>
      <c r="I1944" s="146"/>
      <c r="J1944" s="146"/>
      <c r="K1944" s="146"/>
      <c r="L1944" s="146"/>
      <c r="M1944" s="146"/>
      <c r="N1944" s="146"/>
      <c r="O1944" s="146"/>
      <c r="P1944" s="146"/>
      <c r="Q1944" s="146"/>
      <c r="R1944" s="146"/>
      <c r="S1944" s="146"/>
      <c r="T1944" s="146"/>
      <c r="U1944" s="146"/>
      <c r="V1944" s="146"/>
      <c r="W1944" s="146"/>
      <c r="X1944" s="146"/>
      <c r="Y1944" s="146"/>
      <c r="Z1944" s="146"/>
      <c r="AA1944" s="146"/>
      <c r="AB1944" s="146"/>
      <c r="AC1944" s="146"/>
      <c r="AD1944" s="146"/>
      <c r="AE1944" s="146"/>
      <c r="AF1944" s="146"/>
      <c r="AG1944" s="146"/>
      <c r="AH1944" s="146"/>
      <c r="AI1944" s="146"/>
      <c r="AJ1944" s="146"/>
      <c r="AK1944" s="146"/>
      <c r="AL1944" s="146"/>
      <c r="AM1944" s="146"/>
      <c r="AN1944" s="146"/>
      <c r="AO1944" s="146"/>
      <c r="AP1944" s="146"/>
      <c r="AQ1944" s="146"/>
    </row>
    <row r="1945" spans="2:50" x14ac:dyDescent="0.3">
      <c r="B1945" s="146"/>
      <c r="C1945" s="146"/>
      <c r="D1945" s="146"/>
      <c r="E1945" s="146"/>
      <c r="F1945" s="146"/>
      <c r="G1945" s="146"/>
      <c r="H1945" s="146"/>
      <c r="I1945" s="146"/>
      <c r="J1945" s="146"/>
      <c r="K1945" s="146"/>
      <c r="L1945" s="146"/>
      <c r="M1945" s="146"/>
      <c r="N1945" s="146"/>
      <c r="O1945" s="146"/>
      <c r="P1945" s="146"/>
      <c r="Q1945" s="146"/>
      <c r="R1945" s="146"/>
      <c r="S1945" s="146"/>
      <c r="T1945" s="146"/>
      <c r="U1945" s="146"/>
      <c r="V1945" s="146"/>
      <c r="W1945" s="146"/>
      <c r="X1945" s="146"/>
      <c r="Y1945" s="146"/>
      <c r="Z1945" s="146"/>
      <c r="AA1945" s="146"/>
      <c r="AB1945" s="146"/>
      <c r="AC1945" s="146"/>
      <c r="AD1945" s="146"/>
      <c r="AE1945" s="146"/>
      <c r="AF1945" s="146"/>
      <c r="AG1945" s="146"/>
      <c r="AH1945" s="146"/>
      <c r="AI1945" s="146"/>
      <c r="AJ1945" s="146"/>
      <c r="AK1945" s="146"/>
      <c r="AL1945" s="146"/>
      <c r="AM1945" s="146"/>
      <c r="AN1945" s="146"/>
      <c r="AO1945" s="146"/>
      <c r="AP1945" s="146"/>
      <c r="AQ1945" s="146"/>
    </row>
    <row r="1946" spans="2:50" x14ac:dyDescent="0.3">
      <c r="B1946" s="146"/>
      <c r="C1946" s="146"/>
      <c r="D1946" s="146"/>
      <c r="E1946" s="146"/>
      <c r="F1946" s="146"/>
      <c r="G1946" s="146"/>
      <c r="H1946" s="146"/>
      <c r="I1946" s="146"/>
      <c r="J1946" s="146"/>
      <c r="K1946" s="146"/>
      <c r="L1946" s="146"/>
      <c r="M1946" s="146"/>
      <c r="N1946" s="146"/>
      <c r="O1946" s="146"/>
      <c r="P1946" s="146"/>
      <c r="Q1946" s="146"/>
      <c r="R1946" s="146"/>
      <c r="S1946" s="146"/>
      <c r="T1946" s="146"/>
      <c r="U1946" s="146"/>
      <c r="V1946" s="146"/>
      <c r="W1946" s="146"/>
      <c r="X1946" s="146"/>
      <c r="Y1946" s="146"/>
      <c r="Z1946" s="146"/>
      <c r="AA1946" s="146"/>
      <c r="AB1946" s="146"/>
      <c r="AC1946" s="146"/>
      <c r="AD1946" s="146"/>
      <c r="AE1946" s="146"/>
      <c r="AF1946" s="146"/>
      <c r="AG1946" s="146"/>
      <c r="AH1946" s="146"/>
      <c r="AI1946" s="146"/>
      <c r="AJ1946" s="146"/>
      <c r="AK1946" s="146"/>
      <c r="AL1946" s="146"/>
      <c r="AM1946" s="146"/>
      <c r="AN1946" s="146"/>
      <c r="AO1946" s="146"/>
      <c r="AP1946" s="146"/>
      <c r="AQ1946" s="146"/>
    </row>
    <row r="1947" spans="2:50" x14ac:dyDescent="0.3">
      <c r="B1947" s="146"/>
      <c r="C1947" s="146"/>
      <c r="D1947" s="146"/>
      <c r="E1947" s="146"/>
      <c r="F1947" s="146"/>
      <c r="G1947" s="146"/>
      <c r="H1947" s="146"/>
      <c r="I1947" s="146"/>
      <c r="J1947" s="146"/>
      <c r="K1947" s="146"/>
      <c r="L1947" s="146"/>
      <c r="M1947" s="146"/>
      <c r="N1947" s="146"/>
      <c r="O1947" s="146"/>
      <c r="P1947" s="146"/>
      <c r="Q1947" s="146"/>
      <c r="R1947" s="146"/>
      <c r="S1947" s="146"/>
      <c r="T1947" s="146"/>
      <c r="U1947" s="146"/>
      <c r="V1947" s="146"/>
      <c r="W1947" s="146"/>
      <c r="X1947" s="146"/>
      <c r="Y1947" s="146"/>
      <c r="Z1947" s="146"/>
      <c r="AA1947" s="146"/>
      <c r="AB1947" s="146"/>
      <c r="AC1947" s="146"/>
      <c r="AD1947" s="146"/>
      <c r="AE1947" s="146"/>
      <c r="AF1947" s="146"/>
      <c r="AG1947" s="146"/>
      <c r="AH1947" s="146"/>
      <c r="AI1947" s="146"/>
      <c r="AJ1947" s="146"/>
      <c r="AK1947" s="146"/>
      <c r="AL1947" s="146"/>
      <c r="AM1947" s="146"/>
      <c r="AN1947" s="146"/>
      <c r="AO1947" s="146"/>
      <c r="AP1947" s="146"/>
      <c r="AQ1947" s="146"/>
    </row>
    <row r="1948" spans="2:50" x14ac:dyDescent="0.3">
      <c r="B1948" s="146"/>
      <c r="C1948" s="146"/>
      <c r="D1948" s="146"/>
      <c r="E1948" s="146"/>
      <c r="F1948" s="146"/>
      <c r="G1948" s="146"/>
      <c r="H1948" s="146"/>
      <c r="I1948" s="146"/>
      <c r="J1948" s="146"/>
      <c r="K1948" s="146"/>
      <c r="L1948" s="146"/>
      <c r="M1948" s="146"/>
      <c r="N1948" s="146"/>
      <c r="O1948" s="146"/>
      <c r="P1948" s="146"/>
      <c r="Q1948" s="146"/>
      <c r="R1948" s="146"/>
      <c r="S1948" s="146"/>
      <c r="T1948" s="146"/>
      <c r="U1948" s="146"/>
      <c r="V1948" s="146"/>
      <c r="W1948" s="146"/>
      <c r="X1948" s="146"/>
      <c r="Y1948" s="146"/>
      <c r="Z1948" s="146"/>
      <c r="AA1948" s="146"/>
      <c r="AB1948" s="146"/>
      <c r="AC1948" s="146"/>
      <c r="AD1948" s="146"/>
      <c r="AE1948" s="146"/>
      <c r="AF1948" s="146"/>
      <c r="AG1948" s="146"/>
      <c r="AH1948" s="146"/>
      <c r="AI1948" s="146"/>
      <c r="AJ1948" s="146"/>
      <c r="AK1948" s="146"/>
      <c r="AL1948" s="146"/>
      <c r="AM1948" s="146"/>
      <c r="AN1948" s="146"/>
      <c r="AO1948" s="146"/>
      <c r="AP1948" s="146"/>
      <c r="AQ1948" s="146"/>
    </row>
    <row r="1949" spans="2:50" x14ac:dyDescent="0.3">
      <c r="B1949" s="146"/>
      <c r="C1949" s="146"/>
      <c r="D1949" s="146"/>
      <c r="E1949" s="146"/>
      <c r="F1949" s="146"/>
      <c r="G1949" s="146"/>
      <c r="H1949" s="146"/>
      <c r="I1949" s="146"/>
      <c r="J1949" s="146"/>
      <c r="K1949" s="146"/>
      <c r="L1949" s="146"/>
      <c r="M1949" s="146"/>
      <c r="N1949" s="146"/>
      <c r="O1949" s="146"/>
      <c r="P1949" s="146"/>
      <c r="Q1949" s="146"/>
      <c r="R1949" s="146"/>
      <c r="S1949" s="146"/>
      <c r="T1949" s="146"/>
      <c r="U1949" s="146"/>
      <c r="V1949" s="146"/>
      <c r="W1949" s="146"/>
      <c r="X1949" s="146"/>
      <c r="Y1949" s="146"/>
      <c r="Z1949" s="146"/>
      <c r="AA1949" s="146"/>
      <c r="AB1949" s="146"/>
      <c r="AC1949" s="146"/>
      <c r="AD1949" s="146"/>
      <c r="AE1949" s="146"/>
      <c r="AF1949" s="146"/>
      <c r="AG1949" s="146"/>
      <c r="AH1949" s="146"/>
      <c r="AI1949" s="146"/>
      <c r="AJ1949" s="146"/>
      <c r="AK1949" s="146"/>
      <c r="AL1949" s="146"/>
      <c r="AM1949" s="146"/>
      <c r="AN1949" s="146"/>
      <c r="AO1949" s="146"/>
      <c r="AP1949" s="146"/>
      <c r="AQ1949" s="146"/>
    </row>
    <row r="1950" spans="2:50" x14ac:dyDescent="0.3">
      <c r="B1950" s="146"/>
      <c r="C1950" s="146"/>
      <c r="D1950" s="146"/>
      <c r="E1950" s="146"/>
      <c r="F1950" s="146"/>
      <c r="G1950" s="146"/>
      <c r="H1950" s="146"/>
      <c r="I1950" s="146"/>
      <c r="J1950" s="146"/>
      <c r="K1950" s="146"/>
      <c r="L1950" s="146"/>
      <c r="M1950" s="146"/>
      <c r="N1950" s="146"/>
      <c r="O1950" s="146"/>
      <c r="P1950" s="146"/>
      <c r="Q1950" s="146"/>
      <c r="R1950" s="146"/>
      <c r="S1950" s="146"/>
      <c r="T1950" s="146"/>
      <c r="U1950" s="146"/>
      <c r="V1950" s="146"/>
      <c r="W1950" s="146"/>
      <c r="X1950" s="146"/>
      <c r="Y1950" s="146"/>
      <c r="Z1950" s="146"/>
      <c r="AA1950" s="146"/>
      <c r="AB1950" s="146"/>
      <c r="AC1950" s="146"/>
      <c r="AD1950" s="146"/>
      <c r="AE1950" s="146"/>
      <c r="AF1950" s="146"/>
      <c r="AG1950" s="146"/>
      <c r="AH1950" s="146"/>
      <c r="AI1950" s="146"/>
      <c r="AJ1950" s="146"/>
      <c r="AK1950" s="146"/>
      <c r="AL1950" s="146"/>
      <c r="AM1950" s="146"/>
      <c r="AN1950" s="146"/>
      <c r="AO1950" s="146"/>
      <c r="AP1950" s="146"/>
      <c r="AQ1950" s="146"/>
    </row>
    <row r="1951" spans="2:50" x14ac:dyDescent="0.3">
      <c r="B1951" s="146"/>
      <c r="C1951" s="146"/>
      <c r="D1951" s="146"/>
      <c r="E1951" s="146"/>
      <c r="F1951" s="146"/>
      <c r="G1951" s="146"/>
      <c r="H1951" s="146"/>
      <c r="I1951" s="146"/>
      <c r="J1951" s="146"/>
      <c r="K1951" s="146"/>
      <c r="L1951" s="146"/>
      <c r="M1951" s="146"/>
      <c r="N1951" s="146"/>
      <c r="O1951" s="146"/>
      <c r="P1951" s="146"/>
      <c r="Q1951" s="146"/>
      <c r="R1951" s="146"/>
      <c r="S1951" s="146"/>
      <c r="T1951" s="146"/>
      <c r="U1951" s="146"/>
      <c r="V1951" s="146"/>
      <c r="W1951" s="146"/>
      <c r="X1951" s="146"/>
      <c r="Y1951" s="146"/>
      <c r="Z1951" s="146"/>
      <c r="AA1951" s="146"/>
      <c r="AB1951" s="146"/>
      <c r="AC1951" s="146"/>
      <c r="AD1951" s="146"/>
      <c r="AE1951" s="146"/>
      <c r="AF1951" s="146"/>
      <c r="AG1951" s="146"/>
      <c r="AH1951" s="146"/>
      <c r="AI1951" s="146"/>
      <c r="AJ1951" s="146"/>
      <c r="AK1951" s="146"/>
      <c r="AL1951" s="146"/>
      <c r="AM1951" s="146"/>
      <c r="AN1951" s="146"/>
      <c r="AO1951" s="146"/>
      <c r="AP1951" s="146"/>
      <c r="AQ1951" s="146"/>
    </row>
    <row r="1952" spans="2:50" s="140" customFormat="1" x14ac:dyDescent="0.3">
      <c r="AX1952"/>
    </row>
    <row r="1953" spans="1:52" s="146" customFormat="1" x14ac:dyDescent="0.3">
      <c r="A1953"/>
      <c r="AR1953"/>
      <c r="AS1953"/>
      <c r="AT1953"/>
      <c r="AU1953"/>
      <c r="AV1953"/>
      <c r="AW1953"/>
      <c r="AX1953"/>
      <c r="AY1953"/>
      <c r="AZ1953"/>
    </row>
    <row r="1954" spans="1:52" s="146" customFormat="1" x14ac:dyDescent="0.3">
      <c r="A1954"/>
      <c r="AR1954"/>
      <c r="AS1954"/>
      <c r="AT1954"/>
      <c r="AU1954"/>
      <c r="AV1954"/>
      <c r="AW1954"/>
      <c r="AX1954"/>
      <c r="AY1954"/>
      <c r="AZ1954"/>
    </row>
    <row r="1955" spans="1:52" s="146" customFormat="1" x14ac:dyDescent="0.3">
      <c r="A1955"/>
      <c r="AR1955"/>
      <c r="AS1955"/>
      <c r="AT1955"/>
      <c r="AU1955"/>
      <c r="AV1955"/>
      <c r="AW1955"/>
      <c r="AX1955"/>
      <c r="AY1955"/>
      <c r="AZ1955"/>
    </row>
    <row r="1956" spans="1:52" s="146" customFormat="1" x14ac:dyDescent="0.3">
      <c r="A1956"/>
      <c r="AR1956"/>
      <c r="AS1956"/>
      <c r="AT1956"/>
      <c r="AU1956"/>
      <c r="AV1956"/>
      <c r="AW1956"/>
      <c r="AX1956"/>
      <c r="AY1956"/>
      <c r="AZ1956"/>
    </row>
    <row r="1957" spans="1:52" s="146" customFormat="1" x14ac:dyDescent="0.3">
      <c r="A1957"/>
      <c r="AR1957"/>
      <c r="AS1957"/>
      <c r="AT1957"/>
      <c r="AU1957"/>
      <c r="AV1957"/>
      <c r="AW1957"/>
      <c r="AX1957"/>
      <c r="AY1957"/>
      <c r="AZ1957"/>
    </row>
    <row r="1958" spans="1:52" s="146" customFormat="1" x14ac:dyDescent="0.3">
      <c r="A1958"/>
      <c r="AR1958"/>
      <c r="AS1958"/>
      <c r="AT1958"/>
      <c r="AU1958"/>
      <c r="AV1958"/>
      <c r="AW1958"/>
      <c r="AX1958"/>
      <c r="AY1958"/>
      <c r="AZ1958"/>
    </row>
    <row r="1959" spans="1:52" s="146" customFormat="1" x14ac:dyDescent="0.3">
      <c r="A1959"/>
      <c r="AR1959"/>
      <c r="AS1959"/>
      <c r="AT1959"/>
      <c r="AU1959"/>
      <c r="AV1959"/>
      <c r="AW1959"/>
      <c r="AX1959"/>
      <c r="AY1959"/>
      <c r="AZ1959"/>
    </row>
    <row r="1960" spans="1:52" s="146" customFormat="1" x14ac:dyDescent="0.3">
      <c r="A1960"/>
      <c r="AR1960"/>
      <c r="AS1960"/>
      <c r="AT1960"/>
      <c r="AU1960"/>
      <c r="AV1960"/>
      <c r="AW1960"/>
      <c r="AX1960"/>
      <c r="AY1960"/>
      <c r="AZ1960"/>
    </row>
    <row r="1961" spans="1:52" s="146" customFormat="1" x14ac:dyDescent="0.3">
      <c r="A1961"/>
      <c r="AR1961"/>
      <c r="AS1961"/>
      <c r="AT1961"/>
      <c r="AU1961"/>
      <c r="AV1961"/>
      <c r="AW1961"/>
      <c r="AX1961"/>
      <c r="AY1961"/>
      <c r="AZ1961"/>
    </row>
    <row r="1962" spans="1:52" s="140" customFormat="1" x14ac:dyDescent="0.3">
      <c r="AX1962"/>
    </row>
    <row r="1963" spans="1:52" s="146" customFormat="1" x14ac:dyDescent="0.3">
      <c r="A1963"/>
      <c r="AR1963"/>
      <c r="AS1963"/>
      <c r="AT1963"/>
      <c r="AU1963"/>
      <c r="AV1963"/>
      <c r="AW1963"/>
      <c r="AX1963"/>
      <c r="AY1963"/>
      <c r="AZ1963"/>
    </row>
    <row r="1964" spans="1:52" s="146" customFormat="1" x14ac:dyDescent="0.3">
      <c r="A1964"/>
      <c r="AR1964"/>
      <c r="AS1964"/>
      <c r="AT1964"/>
      <c r="AU1964"/>
      <c r="AV1964"/>
      <c r="AW1964"/>
      <c r="AX1964"/>
      <c r="AY1964"/>
      <c r="AZ1964"/>
    </row>
    <row r="1965" spans="1:52" s="146" customFormat="1" x14ac:dyDescent="0.3">
      <c r="A1965"/>
      <c r="AR1965"/>
      <c r="AS1965"/>
      <c r="AT1965"/>
      <c r="AU1965"/>
      <c r="AV1965"/>
      <c r="AW1965"/>
      <c r="AX1965"/>
      <c r="AY1965"/>
      <c r="AZ1965"/>
    </row>
    <row r="1966" spans="1:52" s="146" customFormat="1" x14ac:dyDescent="0.3">
      <c r="A1966"/>
      <c r="AR1966"/>
      <c r="AS1966"/>
      <c r="AT1966"/>
      <c r="AU1966"/>
      <c r="AV1966"/>
      <c r="AW1966"/>
      <c r="AX1966"/>
      <c r="AY1966"/>
      <c r="AZ1966"/>
    </row>
    <row r="1967" spans="1:52" s="146" customFormat="1" x14ac:dyDescent="0.3">
      <c r="A1967"/>
      <c r="AR1967"/>
      <c r="AS1967"/>
      <c r="AT1967"/>
      <c r="AU1967"/>
      <c r="AV1967"/>
      <c r="AW1967"/>
      <c r="AX1967"/>
      <c r="AY1967"/>
      <c r="AZ1967"/>
    </row>
    <row r="1968" spans="1:52" s="146" customFormat="1" x14ac:dyDescent="0.3">
      <c r="A1968"/>
      <c r="AR1968"/>
      <c r="AS1968"/>
      <c r="AT1968"/>
      <c r="AU1968"/>
      <c r="AV1968"/>
      <c r="AW1968"/>
      <c r="AX1968"/>
      <c r="AY1968"/>
      <c r="AZ1968"/>
    </row>
    <row r="1969" spans="1:52" s="146" customFormat="1" x14ac:dyDescent="0.3">
      <c r="A1969"/>
      <c r="AR1969"/>
      <c r="AS1969"/>
      <c r="AT1969"/>
      <c r="AU1969"/>
      <c r="AV1969"/>
      <c r="AW1969"/>
      <c r="AX1969"/>
      <c r="AY1969"/>
      <c r="AZ1969"/>
    </row>
    <row r="1970" spans="1:52" s="146" customFormat="1" x14ac:dyDescent="0.3">
      <c r="A1970"/>
      <c r="AR1970"/>
      <c r="AS1970"/>
      <c r="AT1970"/>
      <c r="AU1970"/>
      <c r="AV1970"/>
      <c r="AW1970"/>
      <c r="AX1970"/>
      <c r="AY1970"/>
      <c r="AZ1970"/>
    </row>
    <row r="1971" spans="1:52" s="146" customFormat="1" x14ac:dyDescent="0.3">
      <c r="A1971"/>
      <c r="AR1971"/>
      <c r="AS1971"/>
      <c r="AT1971"/>
      <c r="AU1971"/>
      <c r="AV1971"/>
      <c r="AW1971"/>
      <c r="AX1971"/>
      <c r="AY1971"/>
      <c r="AZ1971"/>
    </row>
    <row r="1972" spans="1:52" s="140" customFormat="1" x14ac:dyDescent="0.3">
      <c r="AX1972"/>
    </row>
    <row r="1973" spans="1:52" s="146" customFormat="1" x14ac:dyDescent="0.3">
      <c r="A1973"/>
      <c r="AR1973"/>
      <c r="AS1973"/>
      <c r="AT1973"/>
      <c r="AU1973"/>
      <c r="AV1973"/>
      <c r="AW1973"/>
      <c r="AX1973"/>
      <c r="AY1973"/>
      <c r="AZ1973"/>
    </row>
    <row r="1974" spans="1:52" s="146" customFormat="1" x14ac:dyDescent="0.3">
      <c r="A1974"/>
      <c r="AR1974"/>
      <c r="AS1974"/>
      <c r="AT1974"/>
      <c r="AU1974"/>
      <c r="AV1974"/>
      <c r="AW1974"/>
      <c r="AX1974"/>
      <c r="AY1974"/>
      <c r="AZ1974"/>
    </row>
    <row r="1975" spans="1:52" s="146" customFormat="1" x14ac:dyDescent="0.3">
      <c r="A1975"/>
      <c r="AR1975"/>
      <c r="AS1975"/>
      <c r="AT1975"/>
      <c r="AU1975"/>
      <c r="AV1975"/>
      <c r="AW1975"/>
      <c r="AX1975"/>
      <c r="AY1975"/>
      <c r="AZ1975"/>
    </row>
    <row r="1976" spans="1:52" s="146" customFormat="1" x14ac:dyDescent="0.3">
      <c r="A1976"/>
      <c r="AR1976"/>
      <c r="AS1976"/>
      <c r="AT1976"/>
      <c r="AU1976"/>
      <c r="AV1976"/>
      <c r="AW1976"/>
      <c r="AX1976"/>
      <c r="AY1976"/>
      <c r="AZ1976"/>
    </row>
    <row r="1977" spans="1:52" s="146" customFormat="1" x14ac:dyDescent="0.3">
      <c r="A1977"/>
      <c r="AR1977"/>
      <c r="AS1977"/>
      <c r="AT1977"/>
      <c r="AU1977"/>
      <c r="AV1977"/>
      <c r="AW1977"/>
      <c r="AX1977"/>
      <c r="AY1977"/>
      <c r="AZ1977"/>
    </row>
    <row r="1978" spans="1:52" s="146" customFormat="1" x14ac:dyDescent="0.3">
      <c r="A1978"/>
      <c r="AR1978"/>
      <c r="AS1978"/>
      <c r="AT1978"/>
      <c r="AU1978"/>
      <c r="AV1978"/>
      <c r="AW1978"/>
      <c r="AX1978"/>
      <c r="AY1978"/>
      <c r="AZ1978"/>
    </row>
    <row r="1979" spans="1:52" s="146" customFormat="1" x14ac:dyDescent="0.3">
      <c r="A1979"/>
      <c r="AR1979"/>
      <c r="AS1979"/>
      <c r="AT1979"/>
      <c r="AU1979"/>
      <c r="AV1979"/>
      <c r="AW1979"/>
      <c r="AX1979"/>
      <c r="AY1979"/>
      <c r="AZ1979"/>
    </row>
    <row r="1980" spans="1:52" s="146" customFormat="1" x14ac:dyDescent="0.3">
      <c r="A1980"/>
      <c r="AR1980"/>
      <c r="AS1980"/>
      <c r="AT1980"/>
      <c r="AU1980"/>
      <c r="AV1980"/>
      <c r="AW1980"/>
      <c r="AX1980"/>
      <c r="AY1980"/>
      <c r="AZ1980"/>
    </row>
    <row r="1981" spans="1:52" s="146" customFormat="1" x14ac:dyDescent="0.3">
      <c r="A1981"/>
      <c r="AR1981"/>
      <c r="AS1981"/>
      <c r="AT1981"/>
      <c r="AU1981"/>
      <c r="AV1981"/>
      <c r="AW1981"/>
      <c r="AX1981"/>
      <c r="AY1981"/>
      <c r="AZ1981"/>
    </row>
    <row r="1982" spans="1:52" s="140" customFormat="1" x14ac:dyDescent="0.3">
      <c r="AX1982"/>
    </row>
    <row r="1983" spans="1:52" s="146" customFormat="1" x14ac:dyDescent="0.3">
      <c r="A1983"/>
      <c r="AR1983"/>
      <c r="AS1983"/>
      <c r="AT1983"/>
      <c r="AU1983"/>
      <c r="AV1983"/>
      <c r="AW1983"/>
      <c r="AX1983"/>
      <c r="AY1983"/>
      <c r="AZ1983"/>
    </row>
    <row r="1984" spans="1:52" s="146" customFormat="1" x14ac:dyDescent="0.3">
      <c r="A1984"/>
      <c r="AR1984"/>
      <c r="AS1984"/>
      <c r="AT1984"/>
      <c r="AU1984"/>
      <c r="AV1984"/>
      <c r="AW1984"/>
      <c r="AX1984"/>
      <c r="AY1984"/>
      <c r="AZ1984"/>
    </row>
    <row r="1985" spans="1:52" s="146" customFormat="1" x14ac:dyDescent="0.3">
      <c r="A1985"/>
      <c r="AR1985"/>
      <c r="AS1985"/>
      <c r="AT1985"/>
      <c r="AU1985"/>
      <c r="AV1985"/>
      <c r="AW1985"/>
      <c r="AX1985"/>
      <c r="AY1985"/>
      <c r="AZ1985"/>
    </row>
    <row r="1986" spans="1:52" s="146" customFormat="1" x14ac:dyDescent="0.3">
      <c r="A1986"/>
      <c r="AR1986"/>
      <c r="AS1986"/>
      <c r="AT1986"/>
      <c r="AU1986"/>
      <c r="AV1986"/>
      <c r="AW1986"/>
      <c r="AX1986"/>
      <c r="AY1986"/>
      <c r="AZ1986"/>
    </row>
    <row r="1987" spans="1:52" s="146" customFormat="1" x14ac:dyDescent="0.3">
      <c r="A1987"/>
      <c r="AR1987"/>
      <c r="AS1987"/>
      <c r="AT1987"/>
      <c r="AU1987"/>
      <c r="AV1987"/>
      <c r="AW1987"/>
      <c r="AX1987"/>
      <c r="AY1987"/>
      <c r="AZ1987"/>
    </row>
    <row r="1988" spans="1:52" s="146" customFormat="1" x14ac:dyDescent="0.3">
      <c r="A1988"/>
      <c r="AR1988"/>
      <c r="AS1988"/>
      <c r="AT1988"/>
      <c r="AU1988"/>
      <c r="AV1988"/>
      <c r="AW1988"/>
      <c r="AX1988"/>
      <c r="AY1988"/>
      <c r="AZ1988"/>
    </row>
    <row r="1989" spans="1:52" s="146" customFormat="1" x14ac:dyDescent="0.3">
      <c r="A1989"/>
      <c r="AR1989"/>
      <c r="AS1989"/>
      <c r="AT1989"/>
      <c r="AU1989"/>
      <c r="AV1989"/>
      <c r="AW1989"/>
      <c r="AX1989"/>
      <c r="AY1989"/>
      <c r="AZ1989"/>
    </row>
    <row r="1990" spans="1:52" s="146" customFormat="1" x14ac:dyDescent="0.3">
      <c r="A1990"/>
      <c r="AR1990"/>
      <c r="AS1990"/>
      <c r="AT1990"/>
      <c r="AU1990"/>
      <c r="AV1990"/>
      <c r="AW1990"/>
      <c r="AX1990"/>
      <c r="AY1990"/>
      <c r="AZ1990"/>
    </row>
    <row r="1991" spans="1:52" s="146" customFormat="1" x14ac:dyDescent="0.3">
      <c r="A1991"/>
      <c r="AR1991"/>
      <c r="AS1991"/>
      <c r="AT1991"/>
      <c r="AU1991"/>
      <c r="AV1991"/>
      <c r="AW1991"/>
      <c r="AX1991"/>
      <c r="AY1991"/>
      <c r="AZ1991"/>
    </row>
    <row r="1992" spans="1:52" s="140" customFormat="1" x14ac:dyDescent="0.3">
      <c r="AX1992"/>
    </row>
    <row r="1993" spans="1:52" s="146" customFormat="1" x14ac:dyDescent="0.3">
      <c r="A1993"/>
      <c r="AR1993"/>
      <c r="AS1993"/>
      <c r="AT1993"/>
      <c r="AU1993"/>
      <c r="AV1993"/>
      <c r="AW1993"/>
      <c r="AX1993"/>
      <c r="AY1993"/>
      <c r="AZ1993"/>
    </row>
    <row r="1994" spans="1:52" s="146" customFormat="1" x14ac:dyDescent="0.3">
      <c r="A1994"/>
      <c r="AR1994"/>
      <c r="AS1994"/>
      <c r="AT1994"/>
      <c r="AU1994"/>
      <c r="AV1994"/>
      <c r="AW1994"/>
      <c r="AX1994"/>
      <c r="AY1994"/>
      <c r="AZ1994"/>
    </row>
    <row r="1995" spans="1:52" s="146" customFormat="1" x14ac:dyDescent="0.3">
      <c r="A1995"/>
      <c r="AR1995"/>
      <c r="AS1995"/>
      <c r="AT1995"/>
      <c r="AU1995"/>
      <c r="AV1995"/>
      <c r="AW1995"/>
      <c r="AX1995"/>
      <c r="AY1995"/>
      <c r="AZ1995"/>
    </row>
    <row r="1996" spans="1:52" s="146" customFormat="1" x14ac:dyDescent="0.3">
      <c r="A1996"/>
      <c r="AR1996"/>
      <c r="AS1996"/>
      <c r="AT1996"/>
      <c r="AU1996"/>
      <c r="AV1996"/>
      <c r="AW1996"/>
      <c r="AX1996"/>
      <c r="AY1996"/>
      <c r="AZ1996"/>
    </row>
    <row r="1997" spans="1:52" s="146" customFormat="1" x14ac:dyDescent="0.3">
      <c r="A1997"/>
      <c r="AR1997"/>
      <c r="AS1997"/>
      <c r="AT1997"/>
      <c r="AU1997"/>
      <c r="AV1997"/>
      <c r="AW1997"/>
      <c r="AX1997"/>
      <c r="AY1997"/>
      <c r="AZ1997"/>
    </row>
    <row r="1998" spans="1:52" s="146" customFormat="1" x14ac:dyDescent="0.3">
      <c r="A1998"/>
      <c r="AR1998"/>
      <c r="AS1998"/>
      <c r="AT1998"/>
      <c r="AU1998"/>
      <c r="AV1998"/>
      <c r="AW1998"/>
      <c r="AX1998"/>
      <c r="AY1998"/>
      <c r="AZ1998"/>
    </row>
    <row r="1999" spans="1:52" s="146" customFormat="1" x14ac:dyDescent="0.3">
      <c r="A1999"/>
      <c r="AR1999"/>
      <c r="AS1999"/>
      <c r="AT1999"/>
      <c r="AU1999"/>
      <c r="AV1999"/>
      <c r="AW1999"/>
      <c r="AX1999"/>
      <c r="AY1999"/>
      <c r="AZ1999"/>
    </row>
    <row r="2000" spans="1:52" s="146" customFormat="1" x14ac:dyDescent="0.3">
      <c r="A2000"/>
      <c r="AR2000"/>
      <c r="AS2000"/>
      <c r="AT2000"/>
      <c r="AU2000"/>
      <c r="AV2000"/>
      <c r="AW2000"/>
      <c r="AX2000"/>
      <c r="AY2000"/>
      <c r="AZ2000"/>
    </row>
    <row r="2001" spans="1:52" s="146" customFormat="1" x14ac:dyDescent="0.3">
      <c r="A2001"/>
      <c r="AR2001"/>
      <c r="AS2001"/>
      <c r="AT2001"/>
      <c r="AU2001"/>
      <c r="AV2001"/>
      <c r="AW2001"/>
      <c r="AX2001"/>
      <c r="AY2001"/>
      <c r="AZ2001"/>
    </row>
    <row r="2002" spans="1:52" s="160" customFormat="1" ht="15" thickBot="1" x14ac:dyDescent="0.35">
      <c r="B2002" s="140"/>
      <c r="AQ2002" s="146"/>
      <c r="AR2002"/>
      <c r="AS2002"/>
      <c r="AT2002"/>
      <c r="AU2002"/>
      <c r="AV2002"/>
      <c r="AW2002"/>
      <c r="AX2002"/>
      <c r="AY2002"/>
      <c r="AZ2002" s="140"/>
    </row>
    <row r="2003" spans="1:52" x14ac:dyDescent="0.3">
      <c r="B2003" s="146"/>
      <c r="C2003" s="146"/>
      <c r="D2003" s="146"/>
    </row>
    <row r="2004" spans="1:52" x14ac:dyDescent="0.3">
      <c r="B2004" s="146"/>
      <c r="C2004" s="146"/>
      <c r="D2004" s="146"/>
      <c r="E2004" s="146"/>
      <c r="F2004" s="146"/>
      <c r="G2004" s="146"/>
      <c r="H2004" s="146"/>
      <c r="I2004" s="146"/>
      <c r="J2004" s="146"/>
      <c r="K2004" s="146"/>
      <c r="L2004" s="146"/>
      <c r="M2004" s="146"/>
      <c r="N2004" s="146"/>
      <c r="O2004" s="146"/>
      <c r="P2004" s="146"/>
      <c r="Q2004" s="146"/>
      <c r="R2004" s="146"/>
      <c r="S2004" s="146"/>
      <c r="T2004" s="146"/>
      <c r="U2004" s="146"/>
      <c r="V2004" s="146"/>
      <c r="W2004" s="146"/>
      <c r="X2004" s="146"/>
      <c r="Y2004" s="146"/>
      <c r="Z2004" s="146"/>
      <c r="AA2004" s="146"/>
      <c r="AB2004" s="146"/>
      <c r="AC2004" s="146"/>
      <c r="AD2004" s="146"/>
      <c r="AE2004" s="146"/>
      <c r="AF2004" s="146"/>
      <c r="AG2004" s="146"/>
      <c r="AH2004" s="146"/>
      <c r="AI2004" s="146"/>
      <c r="AJ2004" s="146"/>
    </row>
    <row r="2005" spans="1:52" x14ac:dyDescent="0.3">
      <c r="B2005" s="146"/>
      <c r="C2005" s="146"/>
      <c r="D2005" s="146"/>
      <c r="E2005" s="146"/>
      <c r="F2005" s="146"/>
      <c r="G2005" s="146"/>
      <c r="H2005" s="146"/>
      <c r="I2005" s="146"/>
      <c r="J2005" s="146"/>
      <c r="K2005" s="146"/>
      <c r="L2005" s="146"/>
      <c r="M2005" s="146"/>
      <c r="N2005" s="146"/>
      <c r="O2005" s="146"/>
      <c r="P2005" s="146"/>
      <c r="Q2005" s="146"/>
      <c r="R2005" s="146"/>
      <c r="S2005" s="146"/>
      <c r="T2005" s="146"/>
      <c r="U2005" s="146"/>
      <c r="V2005" s="146"/>
      <c r="W2005" s="146"/>
      <c r="X2005" s="146"/>
      <c r="Y2005" s="146"/>
      <c r="Z2005" s="146"/>
      <c r="AA2005" s="146"/>
      <c r="AB2005" s="146"/>
      <c r="AC2005" s="146"/>
      <c r="AD2005" s="146"/>
      <c r="AE2005" s="146"/>
      <c r="AF2005" s="146"/>
      <c r="AG2005" s="146"/>
      <c r="AH2005" s="146"/>
      <c r="AI2005" s="146"/>
      <c r="AJ2005" s="146"/>
    </row>
    <row r="2006" spans="1:52" x14ac:dyDescent="0.3">
      <c r="B2006" s="146"/>
      <c r="C2006" s="146"/>
      <c r="D2006" s="146"/>
      <c r="E2006" s="146"/>
      <c r="F2006" s="146"/>
      <c r="G2006" s="146"/>
      <c r="H2006" s="146"/>
      <c r="I2006" s="146"/>
      <c r="J2006" s="146"/>
      <c r="K2006" s="146"/>
      <c r="L2006" s="146"/>
      <c r="M2006" s="146"/>
      <c r="N2006" s="146"/>
      <c r="O2006" s="146"/>
      <c r="P2006" s="146"/>
      <c r="Q2006" s="146"/>
      <c r="R2006" s="146"/>
      <c r="S2006" s="146"/>
      <c r="T2006" s="146"/>
      <c r="U2006" s="146"/>
      <c r="V2006" s="146"/>
      <c r="W2006" s="146"/>
      <c r="X2006" s="146"/>
      <c r="Y2006" s="146"/>
      <c r="Z2006" s="146"/>
      <c r="AA2006" s="146"/>
      <c r="AB2006" s="146"/>
      <c r="AC2006" s="146"/>
      <c r="AD2006" s="146"/>
      <c r="AE2006" s="146"/>
      <c r="AF2006" s="146"/>
      <c r="AG2006" s="146"/>
      <c r="AH2006" s="146"/>
      <c r="AI2006" s="146"/>
      <c r="AJ2006" s="146"/>
    </row>
    <row r="2007" spans="1:52" x14ac:dyDescent="0.3">
      <c r="B2007" s="146"/>
      <c r="C2007" s="146"/>
      <c r="D2007" s="146"/>
      <c r="E2007" s="146"/>
      <c r="F2007" s="146"/>
      <c r="G2007" s="146"/>
      <c r="H2007" s="146"/>
      <c r="I2007" s="146"/>
      <c r="J2007" s="146"/>
      <c r="K2007" s="146"/>
      <c r="L2007" s="146"/>
      <c r="M2007" s="146"/>
      <c r="N2007" s="146"/>
      <c r="O2007" s="146"/>
      <c r="P2007" s="146"/>
      <c r="Q2007" s="146"/>
      <c r="R2007" s="146"/>
      <c r="S2007" s="146"/>
      <c r="T2007" s="146"/>
      <c r="U2007" s="146"/>
      <c r="V2007" s="146"/>
      <c r="W2007" s="146"/>
      <c r="X2007" s="146"/>
      <c r="Y2007" s="146"/>
      <c r="Z2007" s="146"/>
      <c r="AA2007" s="146"/>
      <c r="AB2007" s="146"/>
      <c r="AC2007" s="146"/>
      <c r="AD2007" s="146"/>
      <c r="AE2007" s="146"/>
      <c r="AF2007" s="146"/>
      <c r="AG2007" s="146"/>
      <c r="AH2007" s="146"/>
      <c r="AI2007" s="146"/>
      <c r="AJ2007" s="146"/>
    </row>
    <row r="2008" spans="1:52" x14ac:dyDescent="0.3">
      <c r="B2008" s="146"/>
      <c r="C2008" s="146"/>
      <c r="D2008" s="146"/>
      <c r="E2008" s="146"/>
      <c r="F2008" s="146"/>
      <c r="G2008" s="146"/>
      <c r="H2008" s="146"/>
      <c r="I2008" s="146"/>
      <c r="J2008" s="146"/>
      <c r="K2008" s="146"/>
      <c r="L2008" s="146"/>
      <c r="M2008" s="146"/>
      <c r="N2008" s="146"/>
      <c r="O2008" s="146"/>
      <c r="P2008" s="146"/>
      <c r="Q2008" s="146"/>
      <c r="R2008" s="146"/>
      <c r="S2008" s="146"/>
      <c r="T2008" s="146"/>
      <c r="U2008" s="146"/>
      <c r="V2008" s="146"/>
      <c r="W2008" s="146"/>
      <c r="X2008" s="146"/>
      <c r="Y2008" s="146"/>
      <c r="Z2008" s="146"/>
      <c r="AA2008" s="146"/>
      <c r="AB2008" s="146"/>
      <c r="AC2008" s="146"/>
      <c r="AD2008" s="146"/>
      <c r="AE2008" s="146"/>
      <c r="AF2008" s="146"/>
      <c r="AG2008" s="146"/>
      <c r="AH2008" s="146"/>
      <c r="AI2008" s="146"/>
      <c r="AJ2008" s="146"/>
    </row>
    <row r="2009" spans="1:52" x14ac:dyDescent="0.3">
      <c r="B2009" s="146"/>
      <c r="C2009" s="146"/>
      <c r="D2009" s="146"/>
      <c r="E2009" s="146"/>
      <c r="F2009" s="146"/>
      <c r="G2009" s="146"/>
      <c r="H2009" s="146"/>
      <c r="I2009" s="146"/>
      <c r="J2009" s="146"/>
      <c r="K2009" s="146"/>
      <c r="L2009" s="146"/>
      <c r="M2009" s="146"/>
      <c r="N2009" s="146"/>
      <c r="O2009" s="146"/>
      <c r="P2009" s="146"/>
      <c r="Q2009" s="146"/>
      <c r="R2009" s="146"/>
      <c r="S2009" s="146"/>
      <c r="T2009" s="146"/>
      <c r="U2009" s="146"/>
      <c r="V2009" s="146"/>
      <c r="W2009" s="146"/>
      <c r="X2009" s="146"/>
      <c r="Y2009" s="146"/>
      <c r="Z2009" s="146"/>
      <c r="AA2009" s="146"/>
      <c r="AB2009" s="146"/>
      <c r="AC2009" s="146"/>
      <c r="AD2009" s="146"/>
      <c r="AE2009" s="146"/>
      <c r="AF2009" s="146"/>
      <c r="AG2009" s="146"/>
      <c r="AH2009" s="146"/>
      <c r="AI2009" s="146"/>
      <c r="AJ2009" s="146"/>
    </row>
    <row r="2010" spans="1:52" x14ac:dyDescent="0.3">
      <c r="B2010" s="146"/>
      <c r="C2010" s="146"/>
      <c r="D2010" s="146"/>
      <c r="E2010" s="146"/>
      <c r="F2010" s="146"/>
      <c r="G2010" s="146"/>
      <c r="H2010" s="146"/>
      <c r="I2010" s="146"/>
      <c r="J2010" s="146"/>
      <c r="K2010" s="146"/>
      <c r="L2010" s="146"/>
      <c r="M2010" s="146"/>
      <c r="N2010" s="146"/>
      <c r="O2010" s="146"/>
      <c r="P2010" s="146"/>
      <c r="Q2010" s="146"/>
      <c r="R2010" s="146"/>
      <c r="S2010" s="146"/>
      <c r="T2010" s="146"/>
      <c r="U2010" s="146"/>
      <c r="V2010" s="146"/>
      <c r="W2010" s="146"/>
      <c r="X2010" s="146"/>
      <c r="Y2010" s="146"/>
      <c r="Z2010" s="146"/>
      <c r="AA2010" s="146"/>
      <c r="AB2010" s="146"/>
      <c r="AC2010" s="146"/>
      <c r="AD2010" s="146"/>
      <c r="AE2010" s="146"/>
      <c r="AF2010" s="146"/>
      <c r="AG2010" s="146"/>
      <c r="AH2010" s="146"/>
      <c r="AI2010" s="146"/>
      <c r="AJ2010" s="146"/>
    </row>
    <row r="2011" spans="1:52" x14ac:dyDescent="0.3">
      <c r="B2011" s="146"/>
      <c r="C2011" s="146"/>
      <c r="D2011" s="146"/>
      <c r="E2011" s="146"/>
      <c r="F2011" s="146"/>
      <c r="G2011" s="146"/>
      <c r="H2011" s="146"/>
      <c r="I2011" s="146"/>
      <c r="J2011" s="146"/>
      <c r="K2011" s="146"/>
      <c r="L2011" s="146"/>
      <c r="M2011" s="146"/>
      <c r="N2011" s="146"/>
      <c r="O2011" s="146"/>
      <c r="P2011" s="146"/>
      <c r="Q2011" s="146"/>
      <c r="R2011" s="146"/>
      <c r="S2011" s="146"/>
      <c r="T2011" s="146"/>
      <c r="U2011" s="146"/>
      <c r="V2011" s="146"/>
      <c r="W2011" s="146"/>
      <c r="X2011" s="146"/>
      <c r="Y2011" s="146"/>
      <c r="Z2011" s="146"/>
      <c r="AA2011" s="146"/>
      <c r="AB2011" s="146"/>
      <c r="AC2011" s="146"/>
      <c r="AD2011" s="146"/>
      <c r="AE2011" s="146"/>
      <c r="AF2011" s="146"/>
      <c r="AG2011" s="146"/>
      <c r="AH2011" s="146"/>
      <c r="AI2011" s="146"/>
      <c r="AJ2011" s="146"/>
    </row>
    <row r="2012" spans="1:52" x14ac:dyDescent="0.3">
      <c r="A2012" s="140"/>
      <c r="B2012" s="140"/>
      <c r="C2012" s="140"/>
      <c r="D2012" s="140"/>
      <c r="E2012" s="146"/>
      <c r="F2012" s="146"/>
      <c r="G2012" s="146"/>
      <c r="H2012" s="146"/>
      <c r="I2012" s="146"/>
      <c r="J2012" s="146"/>
      <c r="K2012" s="146"/>
      <c r="L2012" s="146"/>
      <c r="M2012" s="146"/>
      <c r="N2012" s="146"/>
      <c r="O2012" s="146"/>
      <c r="P2012" s="146"/>
      <c r="Q2012" s="146"/>
      <c r="R2012" s="146"/>
      <c r="S2012" s="146"/>
      <c r="T2012" s="146"/>
      <c r="U2012" s="146"/>
      <c r="V2012" s="146"/>
      <c r="W2012" s="146"/>
      <c r="X2012" s="146"/>
      <c r="Y2012" s="146"/>
      <c r="Z2012" s="146"/>
      <c r="AA2012" s="146"/>
      <c r="AB2012" s="146"/>
      <c r="AC2012" s="146"/>
      <c r="AD2012" s="146"/>
      <c r="AE2012" s="146"/>
      <c r="AF2012" s="146"/>
      <c r="AG2012" s="146"/>
      <c r="AH2012" s="146"/>
      <c r="AI2012" s="146"/>
      <c r="AJ2012" s="146"/>
    </row>
    <row r="2013" spans="1:52" x14ac:dyDescent="0.3">
      <c r="B2013" s="146"/>
      <c r="C2013" s="146"/>
      <c r="D2013" s="146"/>
      <c r="E2013" s="146"/>
      <c r="F2013" s="146"/>
      <c r="G2013" s="146"/>
      <c r="H2013" s="146"/>
      <c r="I2013" s="146"/>
      <c r="J2013" s="146"/>
      <c r="K2013" s="146"/>
      <c r="L2013" s="146"/>
      <c r="M2013" s="146"/>
      <c r="N2013" s="146"/>
      <c r="O2013" s="146"/>
      <c r="P2013" s="146"/>
      <c r="Q2013" s="146"/>
      <c r="R2013" s="146"/>
      <c r="S2013" s="146"/>
      <c r="T2013" s="146"/>
      <c r="U2013" s="146"/>
      <c r="V2013" s="146"/>
      <c r="W2013" s="146"/>
      <c r="X2013" s="146"/>
      <c r="Y2013" s="146"/>
      <c r="Z2013" s="146"/>
      <c r="AA2013" s="146"/>
      <c r="AB2013" s="146"/>
      <c r="AC2013" s="146"/>
      <c r="AD2013" s="146"/>
      <c r="AE2013" s="146"/>
      <c r="AF2013" s="146"/>
      <c r="AG2013" s="146"/>
      <c r="AH2013" s="146"/>
      <c r="AI2013" s="146"/>
      <c r="AJ2013" s="146"/>
    </row>
    <row r="2014" spans="1:52" x14ac:dyDescent="0.3">
      <c r="B2014" s="146"/>
      <c r="C2014" s="146"/>
      <c r="D2014" s="146"/>
      <c r="E2014" s="146"/>
      <c r="F2014" s="146"/>
      <c r="G2014" s="146"/>
      <c r="H2014" s="146"/>
      <c r="I2014" s="146"/>
      <c r="J2014" s="146"/>
      <c r="K2014" s="146"/>
      <c r="L2014" s="146"/>
      <c r="M2014" s="146"/>
      <c r="N2014" s="146"/>
      <c r="O2014" s="146"/>
      <c r="P2014" s="146"/>
      <c r="Q2014" s="146"/>
      <c r="R2014" s="146"/>
      <c r="S2014" s="146"/>
      <c r="T2014" s="146"/>
      <c r="U2014" s="146"/>
      <c r="V2014" s="146"/>
      <c r="W2014" s="146"/>
      <c r="X2014" s="146"/>
      <c r="Y2014" s="146"/>
      <c r="Z2014" s="146"/>
      <c r="AA2014" s="146"/>
      <c r="AB2014" s="146"/>
      <c r="AC2014" s="146"/>
      <c r="AD2014" s="146"/>
      <c r="AE2014" s="146"/>
      <c r="AF2014" s="146"/>
      <c r="AG2014" s="146"/>
      <c r="AH2014" s="146"/>
      <c r="AI2014" s="146"/>
      <c r="AJ2014" s="146"/>
    </row>
    <row r="2015" spans="1:52" x14ac:dyDescent="0.3">
      <c r="B2015" s="146"/>
      <c r="C2015" s="146"/>
      <c r="D2015" s="146"/>
      <c r="E2015" s="146"/>
      <c r="F2015" s="146"/>
      <c r="G2015" s="146"/>
      <c r="H2015" s="146"/>
      <c r="I2015" s="146"/>
      <c r="J2015" s="146"/>
      <c r="K2015" s="146"/>
      <c r="L2015" s="146"/>
      <c r="M2015" s="146"/>
      <c r="N2015" s="146"/>
      <c r="O2015" s="146"/>
      <c r="P2015" s="146"/>
      <c r="Q2015" s="146"/>
      <c r="R2015" s="146"/>
      <c r="S2015" s="146"/>
      <c r="T2015" s="146"/>
      <c r="U2015" s="146"/>
      <c r="V2015" s="146"/>
      <c r="W2015" s="146"/>
      <c r="X2015" s="146"/>
      <c r="Y2015" s="146"/>
      <c r="Z2015" s="146"/>
      <c r="AA2015" s="146"/>
      <c r="AB2015" s="146"/>
      <c r="AC2015" s="146"/>
      <c r="AD2015" s="146"/>
      <c r="AE2015" s="146"/>
      <c r="AF2015" s="146"/>
      <c r="AG2015" s="146"/>
      <c r="AH2015" s="146"/>
      <c r="AI2015" s="146"/>
      <c r="AJ2015" s="146"/>
    </row>
    <row r="2016" spans="1:52" x14ac:dyDescent="0.3">
      <c r="B2016" s="146"/>
      <c r="C2016" s="146"/>
      <c r="D2016" s="146"/>
      <c r="E2016" s="146"/>
      <c r="F2016" s="146"/>
      <c r="G2016" s="146"/>
      <c r="H2016" s="146"/>
      <c r="I2016" s="146"/>
      <c r="J2016" s="146"/>
      <c r="K2016" s="146"/>
      <c r="L2016" s="146"/>
      <c r="M2016" s="146"/>
      <c r="N2016" s="146"/>
      <c r="O2016" s="146"/>
      <c r="P2016" s="146"/>
      <c r="Q2016" s="146"/>
      <c r="R2016" s="146"/>
      <c r="S2016" s="146"/>
      <c r="T2016" s="146"/>
      <c r="U2016" s="146"/>
      <c r="V2016" s="146"/>
      <c r="W2016" s="146"/>
      <c r="X2016" s="146"/>
      <c r="Y2016" s="146"/>
      <c r="Z2016" s="146"/>
      <c r="AA2016" s="146"/>
      <c r="AB2016" s="146"/>
      <c r="AC2016" s="146"/>
      <c r="AD2016" s="146"/>
      <c r="AE2016" s="146"/>
      <c r="AF2016" s="146"/>
      <c r="AG2016" s="146"/>
      <c r="AH2016" s="146"/>
      <c r="AI2016" s="146"/>
      <c r="AJ2016" s="146"/>
    </row>
    <row r="2017" spans="1:52" s="146" customFormat="1" x14ac:dyDescent="0.3">
      <c r="A2017"/>
      <c r="AQ2017"/>
      <c r="AR2017"/>
      <c r="AS2017"/>
      <c r="AT2017"/>
      <c r="AU2017"/>
      <c r="AV2017"/>
      <c r="AW2017"/>
      <c r="AX2017"/>
      <c r="AY2017"/>
      <c r="AZ2017"/>
    </row>
    <row r="2018" spans="1:52" s="140" customFormat="1" x14ac:dyDescent="0.3">
      <c r="A2018"/>
      <c r="B2018" s="146"/>
      <c r="C2018" s="146"/>
      <c r="D2018" s="146"/>
      <c r="E2018" s="146"/>
      <c r="F2018" s="146"/>
      <c r="G2018" s="146"/>
      <c r="H2018" s="146"/>
      <c r="I2018" s="146"/>
      <c r="J2018" s="146"/>
      <c r="K2018" s="146"/>
      <c r="L2018" s="146"/>
      <c r="M2018" s="146"/>
      <c r="N2018" s="146"/>
      <c r="O2018" s="146"/>
      <c r="P2018" s="146"/>
      <c r="Q2018" s="146"/>
      <c r="R2018" s="146"/>
      <c r="S2018" s="146"/>
      <c r="T2018" s="146"/>
      <c r="U2018" s="146"/>
      <c r="V2018" s="146"/>
      <c r="W2018" s="146"/>
      <c r="X2018" s="146"/>
      <c r="Y2018" s="146"/>
      <c r="Z2018" s="146"/>
      <c r="AA2018" s="146"/>
      <c r="AB2018" s="146"/>
      <c r="AC2018" s="146"/>
      <c r="AD2018" s="146"/>
      <c r="AE2018" s="146"/>
      <c r="AF2018" s="146"/>
      <c r="AG2018" s="146"/>
      <c r="AH2018" s="146"/>
      <c r="AI2018" s="146"/>
      <c r="AJ2018" s="146"/>
      <c r="AQ2018"/>
      <c r="AR2018"/>
      <c r="AS2018"/>
      <c r="AT2018"/>
      <c r="AU2018"/>
      <c r="AV2018"/>
      <c r="AW2018"/>
      <c r="AX2018"/>
      <c r="AY2018"/>
      <c r="AZ2018"/>
    </row>
    <row r="2019" spans="1:52" x14ac:dyDescent="0.3">
      <c r="B2019" s="146"/>
      <c r="C2019" s="146"/>
      <c r="D2019" s="146"/>
      <c r="E2019" s="146"/>
      <c r="F2019" s="146"/>
      <c r="G2019" s="146"/>
      <c r="H2019" s="146"/>
      <c r="I2019" s="146"/>
      <c r="J2019" s="146"/>
      <c r="K2019" s="146"/>
      <c r="L2019" s="146"/>
      <c r="M2019" s="146"/>
      <c r="N2019" s="146"/>
      <c r="O2019" s="146"/>
      <c r="P2019" s="146"/>
      <c r="Q2019" s="146"/>
      <c r="R2019" s="146"/>
      <c r="S2019" s="146"/>
      <c r="T2019" s="146"/>
      <c r="U2019" s="146"/>
      <c r="V2019" s="146"/>
      <c r="W2019" s="146"/>
      <c r="X2019" s="146"/>
      <c r="Y2019" s="146"/>
      <c r="Z2019" s="146"/>
      <c r="AA2019" s="146"/>
      <c r="AB2019" s="146"/>
      <c r="AC2019" s="146"/>
      <c r="AD2019" s="146"/>
      <c r="AE2019" s="146"/>
      <c r="AF2019" s="146"/>
      <c r="AG2019" s="146"/>
      <c r="AH2019" s="146"/>
      <c r="AI2019" s="146"/>
      <c r="AJ2019" s="146"/>
    </row>
    <row r="2020" spans="1:52" x14ac:dyDescent="0.3">
      <c r="B2020" s="146"/>
      <c r="C2020" s="146"/>
      <c r="D2020" s="146"/>
      <c r="E2020" s="146"/>
      <c r="F2020" s="146"/>
      <c r="G2020" s="146"/>
      <c r="H2020" s="146"/>
      <c r="I2020" s="146"/>
      <c r="J2020" s="146"/>
      <c r="K2020" s="146"/>
      <c r="L2020" s="146"/>
      <c r="M2020" s="146"/>
      <c r="N2020" s="146"/>
      <c r="O2020" s="146"/>
      <c r="P2020" s="146"/>
      <c r="Q2020" s="146"/>
      <c r="R2020" s="146"/>
      <c r="S2020" s="146"/>
      <c r="T2020" s="146"/>
      <c r="U2020" s="146"/>
      <c r="V2020" s="146"/>
      <c r="W2020" s="146"/>
      <c r="X2020" s="146"/>
      <c r="Y2020" s="146"/>
      <c r="Z2020" s="146"/>
      <c r="AA2020" s="146"/>
      <c r="AB2020" s="146"/>
      <c r="AC2020" s="146"/>
      <c r="AD2020" s="146"/>
      <c r="AE2020" s="146"/>
      <c r="AF2020" s="146"/>
      <c r="AG2020" s="146"/>
      <c r="AH2020" s="146"/>
      <c r="AI2020" s="146"/>
      <c r="AJ2020" s="146"/>
    </row>
    <row r="2021" spans="1:52" x14ac:dyDescent="0.3">
      <c r="B2021" s="146"/>
      <c r="C2021" s="146"/>
      <c r="D2021" s="146"/>
      <c r="E2021" s="146"/>
      <c r="F2021" s="146"/>
      <c r="G2021" s="146"/>
      <c r="H2021" s="146"/>
      <c r="I2021" s="146"/>
      <c r="J2021" s="146"/>
      <c r="K2021" s="146"/>
      <c r="L2021" s="146"/>
      <c r="M2021" s="146"/>
      <c r="N2021" s="146"/>
      <c r="O2021" s="146"/>
      <c r="P2021" s="146"/>
      <c r="Q2021" s="146"/>
      <c r="R2021" s="146"/>
      <c r="S2021" s="146"/>
      <c r="T2021" s="146"/>
      <c r="U2021" s="146"/>
      <c r="V2021" s="146"/>
      <c r="W2021" s="146"/>
      <c r="X2021" s="146"/>
      <c r="Y2021" s="146"/>
      <c r="Z2021" s="146"/>
      <c r="AA2021" s="146"/>
      <c r="AB2021" s="146"/>
      <c r="AC2021" s="146"/>
      <c r="AD2021" s="146"/>
      <c r="AE2021" s="146"/>
      <c r="AF2021" s="146"/>
      <c r="AG2021" s="146"/>
      <c r="AH2021" s="146"/>
      <c r="AI2021" s="146"/>
      <c r="AJ2021" s="146"/>
    </row>
    <row r="2022" spans="1:52" x14ac:dyDescent="0.3">
      <c r="A2022" s="140"/>
      <c r="B2022" s="140"/>
      <c r="C2022" s="140"/>
      <c r="D2022" s="140"/>
      <c r="E2022" s="146"/>
      <c r="F2022" s="146"/>
      <c r="G2022" s="146"/>
      <c r="H2022" s="146"/>
      <c r="I2022" s="146"/>
      <c r="J2022" s="146"/>
      <c r="K2022" s="146"/>
      <c r="L2022" s="146"/>
      <c r="M2022" s="146"/>
      <c r="N2022" s="146"/>
      <c r="O2022" s="146"/>
      <c r="P2022" s="146"/>
      <c r="Q2022" s="146"/>
      <c r="R2022" s="146"/>
      <c r="S2022" s="146"/>
      <c r="T2022" s="146"/>
      <c r="U2022" s="146"/>
      <c r="V2022" s="146"/>
      <c r="W2022" s="146"/>
      <c r="X2022" s="146"/>
      <c r="Y2022" s="146"/>
      <c r="Z2022" s="146"/>
      <c r="AA2022" s="146"/>
      <c r="AB2022" s="146"/>
      <c r="AC2022" s="146"/>
      <c r="AD2022" s="146"/>
      <c r="AE2022" s="146"/>
      <c r="AF2022" s="146"/>
      <c r="AG2022" s="146"/>
      <c r="AH2022" s="146"/>
      <c r="AI2022" s="146"/>
      <c r="AJ2022" s="146"/>
    </row>
    <row r="2023" spans="1:52" x14ac:dyDescent="0.3">
      <c r="B2023" s="146"/>
      <c r="C2023" s="146"/>
      <c r="D2023" s="146"/>
      <c r="E2023" s="146"/>
      <c r="F2023" s="146"/>
      <c r="G2023" s="146"/>
      <c r="H2023" s="146"/>
      <c r="I2023" s="146"/>
      <c r="J2023" s="146"/>
      <c r="K2023" s="146"/>
      <c r="L2023" s="146"/>
      <c r="M2023" s="146"/>
      <c r="N2023" s="146"/>
      <c r="O2023" s="146"/>
      <c r="P2023" s="146"/>
      <c r="Q2023" s="146"/>
      <c r="R2023" s="146"/>
      <c r="S2023" s="146"/>
      <c r="T2023" s="146"/>
      <c r="U2023" s="146"/>
      <c r="V2023" s="146"/>
      <c r="W2023" s="146"/>
      <c r="X2023" s="146"/>
      <c r="Y2023" s="146"/>
      <c r="Z2023" s="146"/>
      <c r="AA2023" s="146"/>
      <c r="AB2023" s="146"/>
      <c r="AC2023" s="146"/>
      <c r="AD2023" s="146"/>
      <c r="AE2023" s="146"/>
      <c r="AF2023" s="146"/>
      <c r="AG2023" s="146"/>
      <c r="AH2023" s="146"/>
      <c r="AI2023" s="146"/>
      <c r="AJ2023" s="146"/>
    </row>
    <row r="2024" spans="1:52" x14ac:dyDescent="0.3">
      <c r="B2024" s="146"/>
      <c r="C2024" s="146"/>
      <c r="D2024" s="146"/>
      <c r="E2024" s="146"/>
      <c r="F2024" s="146"/>
      <c r="G2024" s="146"/>
      <c r="H2024" s="146"/>
      <c r="I2024" s="146"/>
      <c r="J2024" s="146"/>
      <c r="K2024" s="146"/>
      <c r="L2024" s="146"/>
      <c r="M2024" s="146"/>
      <c r="N2024" s="146"/>
      <c r="O2024" s="146"/>
      <c r="P2024" s="146"/>
      <c r="Q2024" s="146"/>
      <c r="R2024" s="146"/>
      <c r="S2024" s="146"/>
      <c r="T2024" s="146"/>
      <c r="U2024" s="146"/>
      <c r="V2024" s="146"/>
      <c r="W2024" s="146"/>
      <c r="X2024" s="146"/>
      <c r="Y2024" s="146"/>
      <c r="Z2024" s="146"/>
      <c r="AA2024" s="146"/>
      <c r="AB2024" s="146"/>
      <c r="AC2024" s="146"/>
      <c r="AD2024" s="146"/>
      <c r="AE2024" s="146"/>
      <c r="AF2024" s="146"/>
      <c r="AG2024" s="146"/>
      <c r="AH2024" s="146"/>
      <c r="AI2024" s="146"/>
      <c r="AJ2024" s="146"/>
    </row>
    <row r="2025" spans="1:52" x14ac:dyDescent="0.3">
      <c r="B2025" s="146"/>
      <c r="C2025" s="146"/>
      <c r="D2025" s="146"/>
      <c r="E2025" s="146"/>
      <c r="F2025" s="146"/>
      <c r="G2025" s="146"/>
      <c r="H2025" s="146"/>
      <c r="I2025" s="146"/>
      <c r="J2025" s="146"/>
      <c r="K2025" s="146"/>
      <c r="L2025" s="146"/>
      <c r="M2025" s="146"/>
      <c r="N2025" s="146"/>
      <c r="O2025" s="146"/>
      <c r="P2025" s="146"/>
      <c r="Q2025" s="146"/>
      <c r="R2025" s="146"/>
      <c r="S2025" s="146"/>
      <c r="T2025" s="146"/>
      <c r="U2025" s="146"/>
      <c r="V2025" s="146"/>
      <c r="W2025" s="146"/>
      <c r="X2025" s="146"/>
      <c r="Y2025" s="146"/>
      <c r="Z2025" s="146"/>
      <c r="AA2025" s="146"/>
      <c r="AB2025" s="146"/>
      <c r="AC2025" s="146"/>
      <c r="AD2025" s="146"/>
      <c r="AE2025" s="146"/>
      <c r="AF2025" s="146"/>
      <c r="AG2025" s="146"/>
      <c r="AH2025" s="146"/>
      <c r="AI2025" s="146"/>
      <c r="AJ2025" s="146"/>
    </row>
    <row r="2026" spans="1:52" x14ac:dyDescent="0.3">
      <c r="B2026" s="146"/>
      <c r="C2026" s="146"/>
      <c r="D2026" s="146"/>
      <c r="E2026" s="146"/>
      <c r="F2026" s="146"/>
      <c r="G2026" s="146"/>
      <c r="H2026" s="146"/>
      <c r="I2026" s="146"/>
      <c r="J2026" s="146"/>
      <c r="K2026" s="146"/>
      <c r="L2026" s="146"/>
      <c r="M2026" s="146"/>
      <c r="N2026" s="146"/>
      <c r="O2026" s="146"/>
      <c r="P2026" s="146"/>
      <c r="Q2026" s="146"/>
      <c r="R2026" s="146"/>
      <c r="S2026" s="146"/>
      <c r="T2026" s="146"/>
      <c r="U2026" s="146"/>
      <c r="V2026" s="146"/>
      <c r="W2026" s="146"/>
      <c r="X2026" s="146"/>
      <c r="Y2026" s="146"/>
      <c r="Z2026" s="146"/>
      <c r="AA2026" s="146"/>
      <c r="AB2026" s="146"/>
      <c r="AC2026" s="146"/>
      <c r="AD2026" s="146"/>
      <c r="AE2026" s="146"/>
      <c r="AF2026" s="146"/>
      <c r="AG2026" s="146"/>
      <c r="AH2026" s="146"/>
      <c r="AI2026" s="146"/>
      <c r="AJ2026" s="146"/>
    </row>
    <row r="2027" spans="1:52" x14ac:dyDescent="0.3">
      <c r="B2027" s="146"/>
      <c r="C2027" s="146"/>
      <c r="D2027" s="146"/>
      <c r="E2027" s="146"/>
      <c r="F2027" s="146"/>
      <c r="G2027" s="146"/>
      <c r="H2027" s="146"/>
      <c r="I2027" s="146"/>
      <c r="J2027" s="146"/>
      <c r="K2027" s="146"/>
      <c r="L2027" s="146"/>
      <c r="M2027" s="146"/>
      <c r="N2027" s="146"/>
      <c r="O2027" s="146"/>
      <c r="P2027" s="146"/>
      <c r="Q2027" s="146"/>
      <c r="R2027" s="146"/>
      <c r="S2027" s="146"/>
      <c r="T2027" s="146"/>
      <c r="U2027" s="146"/>
      <c r="V2027" s="146"/>
      <c r="W2027" s="146"/>
      <c r="X2027" s="146"/>
      <c r="Y2027" s="146"/>
      <c r="Z2027" s="146"/>
      <c r="AA2027" s="146"/>
      <c r="AB2027" s="146"/>
      <c r="AC2027" s="146"/>
      <c r="AD2027" s="146"/>
      <c r="AE2027" s="146"/>
      <c r="AF2027" s="146"/>
      <c r="AG2027" s="146"/>
      <c r="AH2027" s="146"/>
      <c r="AI2027" s="146"/>
      <c r="AJ2027" s="146"/>
    </row>
    <row r="2028" spans="1:52" x14ac:dyDescent="0.3">
      <c r="B2028" s="146"/>
      <c r="C2028" s="146"/>
      <c r="D2028" s="146"/>
      <c r="E2028" s="146"/>
      <c r="F2028" s="146"/>
      <c r="G2028" s="146"/>
      <c r="H2028" s="146"/>
      <c r="I2028" s="146"/>
      <c r="J2028" s="146"/>
      <c r="K2028" s="146"/>
      <c r="L2028" s="146"/>
      <c r="M2028" s="146"/>
      <c r="N2028" s="146"/>
      <c r="O2028" s="146"/>
      <c r="P2028" s="146"/>
      <c r="Q2028" s="146"/>
      <c r="R2028" s="146"/>
      <c r="S2028" s="146"/>
      <c r="T2028" s="146"/>
      <c r="U2028" s="146"/>
      <c r="V2028" s="146"/>
      <c r="W2028" s="146"/>
      <c r="X2028" s="146"/>
      <c r="Y2028" s="146"/>
      <c r="Z2028" s="146"/>
      <c r="AA2028" s="146"/>
      <c r="AB2028" s="146"/>
      <c r="AC2028" s="146"/>
      <c r="AD2028" s="146"/>
      <c r="AE2028" s="146"/>
      <c r="AF2028" s="146"/>
      <c r="AG2028" s="146"/>
      <c r="AH2028" s="146"/>
      <c r="AI2028" s="146"/>
      <c r="AJ2028" s="146"/>
    </row>
    <row r="2029" spans="1:52" x14ac:dyDescent="0.3">
      <c r="B2029" s="146"/>
      <c r="C2029" s="146"/>
      <c r="D2029" s="146"/>
      <c r="E2029" s="146"/>
      <c r="F2029" s="146"/>
      <c r="G2029" s="146"/>
      <c r="H2029" s="146"/>
      <c r="I2029" s="146"/>
      <c r="J2029" s="146"/>
      <c r="K2029" s="146"/>
      <c r="L2029" s="146"/>
      <c r="M2029" s="146"/>
      <c r="N2029" s="146"/>
      <c r="O2029" s="146"/>
      <c r="P2029" s="146"/>
      <c r="Q2029" s="146"/>
      <c r="R2029" s="146"/>
      <c r="S2029" s="146"/>
      <c r="T2029" s="146"/>
      <c r="U2029" s="146"/>
      <c r="V2029" s="146"/>
      <c r="W2029" s="146"/>
      <c r="X2029" s="146"/>
      <c r="Y2029" s="146"/>
      <c r="Z2029" s="146"/>
      <c r="AA2029" s="146"/>
      <c r="AB2029" s="146"/>
      <c r="AC2029" s="146"/>
      <c r="AD2029" s="146"/>
      <c r="AE2029" s="146"/>
      <c r="AF2029" s="146"/>
      <c r="AG2029" s="146"/>
      <c r="AH2029" s="146"/>
      <c r="AI2029" s="146"/>
      <c r="AJ2029" s="146"/>
    </row>
    <row r="2030" spans="1:52" x14ac:dyDescent="0.3">
      <c r="B2030" s="146"/>
      <c r="C2030" s="146"/>
      <c r="D2030" s="146"/>
      <c r="E2030" s="146"/>
      <c r="F2030" s="146"/>
      <c r="G2030" s="146"/>
      <c r="H2030" s="146"/>
      <c r="I2030" s="146"/>
      <c r="J2030" s="146"/>
      <c r="K2030" s="146"/>
      <c r="L2030" s="146"/>
      <c r="M2030" s="146"/>
      <c r="N2030" s="146"/>
      <c r="O2030" s="146"/>
      <c r="P2030" s="146"/>
      <c r="Q2030" s="146"/>
      <c r="R2030" s="146"/>
      <c r="S2030" s="146"/>
      <c r="T2030" s="146"/>
      <c r="U2030" s="146"/>
      <c r="V2030" s="146"/>
      <c r="W2030" s="146"/>
      <c r="X2030" s="146"/>
      <c r="Y2030" s="146"/>
      <c r="Z2030" s="146"/>
      <c r="AA2030" s="146"/>
      <c r="AB2030" s="146"/>
      <c r="AC2030" s="146"/>
      <c r="AD2030" s="146"/>
      <c r="AE2030" s="146"/>
      <c r="AF2030" s="146"/>
      <c r="AG2030" s="146"/>
      <c r="AH2030" s="146"/>
      <c r="AI2030" s="146"/>
      <c r="AJ2030" s="146"/>
    </row>
    <row r="2031" spans="1:52" x14ac:dyDescent="0.3">
      <c r="B2031" s="146"/>
      <c r="C2031" s="146"/>
      <c r="D2031" s="146"/>
      <c r="E2031" s="146"/>
      <c r="F2031" s="146"/>
      <c r="G2031" s="146"/>
      <c r="H2031" s="146"/>
      <c r="I2031" s="146"/>
      <c r="J2031" s="146"/>
      <c r="K2031" s="146"/>
      <c r="L2031" s="146"/>
      <c r="M2031" s="146"/>
      <c r="N2031" s="146"/>
      <c r="O2031" s="146"/>
      <c r="P2031" s="146"/>
      <c r="Q2031" s="146"/>
      <c r="R2031" s="146"/>
      <c r="S2031" s="146"/>
      <c r="T2031" s="146"/>
      <c r="U2031" s="146"/>
      <c r="V2031" s="146"/>
      <c r="W2031" s="146"/>
      <c r="X2031" s="146"/>
      <c r="Y2031" s="146"/>
      <c r="Z2031" s="146"/>
      <c r="AA2031" s="146"/>
      <c r="AB2031" s="146"/>
      <c r="AC2031" s="146"/>
      <c r="AD2031" s="146"/>
      <c r="AE2031" s="146"/>
      <c r="AF2031" s="146"/>
      <c r="AG2031" s="146"/>
      <c r="AH2031" s="146"/>
      <c r="AI2031" s="146"/>
      <c r="AJ2031" s="146"/>
    </row>
    <row r="2032" spans="1:52" x14ac:dyDescent="0.3">
      <c r="A2032" s="140"/>
      <c r="B2032" s="140"/>
      <c r="C2032" s="140"/>
      <c r="D2032" s="140"/>
      <c r="E2032" s="146"/>
      <c r="F2032" s="146"/>
      <c r="G2032" s="146"/>
      <c r="H2032" s="146"/>
      <c r="I2032" s="146"/>
      <c r="J2032" s="146"/>
      <c r="K2032" s="146"/>
      <c r="L2032" s="146"/>
      <c r="M2032" s="146"/>
      <c r="N2032" s="146"/>
      <c r="O2032" s="146"/>
      <c r="P2032" s="146"/>
      <c r="Q2032" s="146"/>
      <c r="R2032" s="146"/>
      <c r="S2032" s="146"/>
      <c r="T2032" s="146"/>
      <c r="U2032" s="146"/>
      <c r="V2032" s="146"/>
      <c r="W2032" s="146"/>
      <c r="X2032" s="146"/>
      <c r="Y2032" s="146"/>
      <c r="Z2032" s="146"/>
      <c r="AA2032" s="146"/>
      <c r="AB2032" s="146"/>
      <c r="AC2032" s="146"/>
      <c r="AD2032" s="146"/>
      <c r="AE2032" s="146"/>
      <c r="AF2032" s="146"/>
      <c r="AG2032" s="146"/>
      <c r="AH2032" s="146"/>
      <c r="AI2032" s="146"/>
      <c r="AJ2032" s="146"/>
    </row>
    <row r="2033" spans="1:52" x14ac:dyDescent="0.3">
      <c r="B2033" s="146"/>
      <c r="C2033" s="146"/>
      <c r="D2033" s="146"/>
      <c r="E2033" s="146"/>
      <c r="F2033" s="146"/>
      <c r="G2033" s="146"/>
      <c r="H2033" s="146"/>
      <c r="I2033" s="146"/>
      <c r="J2033" s="146"/>
      <c r="K2033" s="146"/>
      <c r="L2033" s="146"/>
      <c r="M2033" s="146"/>
      <c r="N2033" s="146"/>
      <c r="O2033" s="146"/>
      <c r="P2033" s="146"/>
      <c r="Q2033" s="146"/>
      <c r="R2033" s="146"/>
      <c r="S2033" s="146"/>
      <c r="T2033" s="146"/>
      <c r="U2033" s="146"/>
      <c r="V2033" s="146"/>
      <c r="W2033" s="146"/>
      <c r="X2033" s="146"/>
      <c r="Y2033" s="146"/>
      <c r="Z2033" s="146"/>
      <c r="AA2033" s="146"/>
      <c r="AB2033" s="146"/>
      <c r="AC2033" s="146"/>
      <c r="AD2033" s="146"/>
      <c r="AE2033" s="146"/>
      <c r="AF2033" s="146"/>
      <c r="AG2033" s="146"/>
      <c r="AH2033" s="146"/>
      <c r="AI2033" s="146"/>
      <c r="AJ2033" s="146"/>
    </row>
    <row r="2034" spans="1:52" s="140" customFormat="1" x14ac:dyDescent="0.3">
      <c r="A2034"/>
      <c r="B2034" s="146"/>
      <c r="C2034" s="146"/>
      <c r="D2034" s="146"/>
      <c r="E2034" s="146"/>
      <c r="F2034" s="146"/>
      <c r="G2034" s="146"/>
      <c r="H2034" s="146"/>
      <c r="I2034" s="146"/>
      <c r="J2034" s="146"/>
      <c r="K2034" s="146"/>
      <c r="L2034" s="146"/>
      <c r="M2034" s="146"/>
      <c r="N2034" s="146"/>
      <c r="O2034" s="146"/>
      <c r="P2034" s="146"/>
      <c r="Q2034" s="146"/>
      <c r="R2034" s="146"/>
      <c r="S2034" s="146"/>
      <c r="T2034" s="146"/>
      <c r="U2034" s="146"/>
      <c r="V2034" s="146"/>
      <c r="W2034" s="146"/>
      <c r="X2034" s="146"/>
      <c r="Y2034" s="146"/>
      <c r="Z2034" s="146"/>
      <c r="AA2034" s="146"/>
      <c r="AB2034" s="146"/>
      <c r="AC2034" s="146"/>
      <c r="AD2034" s="146"/>
      <c r="AE2034" s="146"/>
      <c r="AF2034" s="146"/>
      <c r="AG2034" s="146"/>
      <c r="AH2034" s="146"/>
      <c r="AI2034" s="146"/>
      <c r="AJ2034" s="146"/>
      <c r="AQ2034"/>
      <c r="AR2034"/>
      <c r="AS2034"/>
      <c r="AT2034"/>
      <c r="AU2034"/>
      <c r="AV2034"/>
      <c r="AW2034"/>
      <c r="AX2034"/>
      <c r="AY2034"/>
      <c r="AZ2034"/>
    </row>
    <row r="2035" spans="1:52" x14ac:dyDescent="0.3">
      <c r="B2035" s="146"/>
      <c r="C2035" s="146"/>
      <c r="D2035" s="146"/>
      <c r="E2035" s="146"/>
      <c r="F2035" s="146"/>
      <c r="G2035" s="146"/>
      <c r="H2035" s="146"/>
      <c r="I2035" s="146"/>
      <c r="J2035" s="146"/>
      <c r="K2035" s="146"/>
      <c r="L2035" s="146"/>
      <c r="M2035" s="146"/>
      <c r="N2035" s="146"/>
      <c r="O2035" s="146"/>
      <c r="P2035" s="146"/>
      <c r="Q2035" s="146"/>
      <c r="R2035" s="146"/>
      <c r="S2035" s="146"/>
      <c r="T2035" s="146"/>
      <c r="U2035" s="146"/>
      <c r="V2035" s="146"/>
      <c r="W2035" s="146"/>
      <c r="X2035" s="146"/>
      <c r="Y2035" s="146"/>
      <c r="Z2035" s="146"/>
      <c r="AA2035" s="146"/>
      <c r="AB2035" s="146"/>
      <c r="AC2035" s="146"/>
      <c r="AD2035" s="146"/>
      <c r="AE2035" s="146"/>
      <c r="AF2035" s="146"/>
      <c r="AG2035" s="146"/>
      <c r="AH2035" s="146"/>
      <c r="AI2035" s="146"/>
      <c r="AJ2035" s="146"/>
    </row>
    <row r="2036" spans="1:52" x14ac:dyDescent="0.3">
      <c r="B2036" s="146"/>
      <c r="C2036" s="146"/>
      <c r="D2036" s="146"/>
      <c r="E2036" s="146"/>
      <c r="F2036" s="146"/>
      <c r="G2036" s="146"/>
      <c r="H2036" s="146"/>
      <c r="I2036" s="146"/>
      <c r="J2036" s="146"/>
      <c r="K2036" s="146"/>
      <c r="L2036" s="146"/>
      <c r="M2036" s="146"/>
      <c r="N2036" s="146"/>
      <c r="O2036" s="146"/>
      <c r="P2036" s="146"/>
      <c r="Q2036" s="146"/>
      <c r="R2036" s="146"/>
      <c r="S2036" s="146"/>
      <c r="T2036" s="146"/>
      <c r="U2036" s="146"/>
      <c r="V2036" s="146"/>
      <c r="W2036" s="146"/>
      <c r="X2036" s="146"/>
      <c r="Y2036" s="146"/>
      <c r="Z2036" s="146"/>
      <c r="AA2036" s="146"/>
      <c r="AB2036" s="146"/>
      <c r="AC2036" s="146"/>
      <c r="AD2036" s="146"/>
      <c r="AE2036" s="146"/>
      <c r="AF2036" s="146"/>
      <c r="AG2036" s="146"/>
      <c r="AH2036" s="146"/>
      <c r="AI2036" s="146"/>
      <c r="AJ2036" s="146"/>
    </row>
    <row r="2037" spans="1:52" x14ac:dyDescent="0.3">
      <c r="B2037" s="146"/>
      <c r="C2037" s="146"/>
      <c r="D2037" s="146"/>
      <c r="E2037" s="146"/>
      <c r="F2037" s="146"/>
      <c r="G2037" s="146"/>
      <c r="H2037" s="146"/>
      <c r="I2037" s="146"/>
      <c r="J2037" s="146"/>
      <c r="K2037" s="146"/>
      <c r="L2037" s="146"/>
      <c r="M2037" s="146"/>
      <c r="N2037" s="146"/>
      <c r="O2037" s="146"/>
      <c r="P2037" s="146"/>
      <c r="Q2037" s="146"/>
      <c r="R2037" s="146"/>
      <c r="S2037" s="146"/>
      <c r="T2037" s="146"/>
      <c r="U2037" s="146"/>
      <c r="V2037" s="146"/>
      <c r="W2037" s="146"/>
      <c r="X2037" s="146"/>
      <c r="Y2037" s="146"/>
      <c r="Z2037" s="146"/>
      <c r="AA2037" s="146"/>
      <c r="AB2037" s="146"/>
      <c r="AC2037" s="146"/>
      <c r="AD2037" s="146"/>
      <c r="AE2037" s="146"/>
      <c r="AF2037" s="146"/>
      <c r="AG2037" s="146"/>
      <c r="AH2037" s="146"/>
      <c r="AI2037" s="146"/>
      <c r="AJ2037" s="146"/>
    </row>
    <row r="2038" spans="1:52" x14ac:dyDescent="0.3">
      <c r="B2038" s="146"/>
      <c r="C2038" s="146"/>
      <c r="D2038" s="146"/>
      <c r="E2038" s="146"/>
      <c r="F2038" s="146"/>
      <c r="G2038" s="146"/>
      <c r="H2038" s="146"/>
      <c r="I2038" s="146"/>
      <c r="J2038" s="146"/>
      <c r="K2038" s="146"/>
      <c r="L2038" s="146"/>
      <c r="M2038" s="146"/>
      <c r="N2038" s="146"/>
      <c r="O2038" s="146"/>
      <c r="P2038" s="146"/>
      <c r="Q2038" s="146"/>
      <c r="R2038" s="146"/>
      <c r="S2038" s="146"/>
      <c r="T2038" s="146"/>
      <c r="U2038" s="146"/>
      <c r="V2038" s="146"/>
      <c r="W2038" s="146"/>
      <c r="X2038" s="146"/>
      <c r="Y2038" s="146"/>
      <c r="Z2038" s="146"/>
      <c r="AA2038" s="146"/>
      <c r="AB2038" s="146"/>
      <c r="AC2038" s="146"/>
      <c r="AD2038" s="146"/>
      <c r="AE2038" s="146"/>
      <c r="AF2038" s="146"/>
      <c r="AG2038" s="146"/>
      <c r="AH2038" s="146"/>
      <c r="AI2038" s="146"/>
      <c r="AJ2038" s="146"/>
    </row>
    <row r="2039" spans="1:52" x14ac:dyDescent="0.3">
      <c r="B2039" s="146"/>
      <c r="C2039" s="146"/>
      <c r="D2039" s="146"/>
      <c r="E2039" s="146"/>
      <c r="F2039" s="146"/>
      <c r="G2039" s="146"/>
      <c r="H2039" s="146"/>
      <c r="I2039" s="146"/>
      <c r="J2039" s="146"/>
      <c r="K2039" s="146"/>
      <c r="L2039" s="146"/>
      <c r="M2039" s="146"/>
      <c r="N2039" s="146"/>
      <c r="O2039" s="146"/>
      <c r="P2039" s="146"/>
      <c r="Q2039" s="146"/>
      <c r="R2039" s="146"/>
      <c r="S2039" s="146"/>
      <c r="T2039" s="146"/>
      <c r="U2039" s="146"/>
      <c r="V2039" s="146"/>
      <c r="W2039" s="146"/>
      <c r="X2039" s="146"/>
      <c r="Y2039" s="146"/>
      <c r="Z2039" s="146"/>
      <c r="AA2039" s="146"/>
      <c r="AB2039" s="146"/>
      <c r="AC2039" s="146"/>
      <c r="AD2039" s="146"/>
      <c r="AE2039" s="146"/>
      <c r="AF2039" s="146"/>
      <c r="AG2039" s="146"/>
      <c r="AH2039" s="146"/>
      <c r="AI2039" s="146"/>
      <c r="AJ2039" s="146"/>
    </row>
    <row r="2040" spans="1:52" x14ac:dyDescent="0.3">
      <c r="B2040" s="146"/>
      <c r="C2040" s="146"/>
      <c r="D2040" s="146"/>
      <c r="E2040" s="146"/>
      <c r="F2040" s="146"/>
      <c r="G2040" s="146"/>
      <c r="H2040" s="146"/>
      <c r="I2040" s="146"/>
      <c r="J2040" s="146"/>
      <c r="K2040" s="146"/>
      <c r="L2040" s="146"/>
      <c r="M2040" s="146"/>
      <c r="N2040" s="146"/>
      <c r="O2040" s="146"/>
      <c r="P2040" s="146"/>
      <c r="Q2040" s="146"/>
      <c r="R2040" s="146"/>
      <c r="S2040" s="146"/>
      <c r="T2040" s="146"/>
      <c r="U2040" s="146"/>
      <c r="V2040" s="146"/>
      <c r="W2040" s="146"/>
      <c r="X2040" s="146"/>
      <c r="Y2040" s="146"/>
      <c r="Z2040" s="146"/>
      <c r="AA2040" s="146"/>
      <c r="AB2040" s="146"/>
      <c r="AC2040" s="146"/>
      <c r="AD2040" s="146"/>
      <c r="AE2040" s="146"/>
      <c r="AF2040" s="146"/>
      <c r="AG2040" s="146"/>
      <c r="AH2040" s="146"/>
      <c r="AI2040" s="146"/>
      <c r="AJ2040" s="146"/>
    </row>
    <row r="2041" spans="1:52" x14ac:dyDescent="0.3">
      <c r="B2041" s="146"/>
      <c r="C2041" s="146"/>
      <c r="D2041" s="146"/>
      <c r="E2041" s="146"/>
      <c r="F2041" s="146"/>
      <c r="G2041" s="146"/>
      <c r="H2041" s="146"/>
      <c r="I2041" s="146"/>
      <c r="J2041" s="146"/>
      <c r="K2041" s="146"/>
      <c r="L2041" s="146"/>
      <c r="M2041" s="146"/>
      <c r="N2041" s="146"/>
      <c r="O2041" s="146"/>
      <c r="P2041" s="146"/>
      <c r="Q2041" s="146"/>
      <c r="R2041" s="146"/>
      <c r="S2041" s="146"/>
      <c r="T2041" s="146"/>
      <c r="U2041" s="146"/>
      <c r="V2041" s="146"/>
      <c r="W2041" s="146"/>
      <c r="X2041" s="146"/>
      <c r="Y2041" s="146"/>
      <c r="Z2041" s="146"/>
      <c r="AA2041" s="146"/>
      <c r="AB2041" s="146"/>
      <c r="AC2041" s="146"/>
      <c r="AD2041" s="146"/>
      <c r="AE2041" s="146"/>
      <c r="AF2041" s="146"/>
      <c r="AG2041" s="146"/>
      <c r="AH2041" s="146"/>
      <c r="AI2041" s="146"/>
      <c r="AJ2041" s="146"/>
    </row>
    <row r="2042" spans="1:52" x14ac:dyDescent="0.3">
      <c r="A2042" s="140"/>
      <c r="B2042" s="140"/>
      <c r="C2042" s="140"/>
      <c r="D2042" s="140"/>
      <c r="E2042" s="146"/>
      <c r="F2042" s="146"/>
      <c r="G2042" s="146"/>
      <c r="H2042" s="146"/>
      <c r="I2042" s="146"/>
      <c r="J2042" s="146"/>
      <c r="K2042" s="146"/>
      <c r="L2042" s="146"/>
      <c r="M2042" s="146"/>
      <c r="N2042" s="146"/>
      <c r="O2042" s="146"/>
      <c r="P2042" s="146"/>
      <c r="Q2042" s="146"/>
      <c r="R2042" s="146"/>
      <c r="S2042" s="146"/>
      <c r="T2042" s="146"/>
      <c r="U2042" s="146"/>
      <c r="V2042" s="146"/>
      <c r="W2042" s="146"/>
      <c r="X2042" s="146"/>
      <c r="Y2042" s="146"/>
      <c r="Z2042" s="146"/>
      <c r="AA2042" s="146"/>
      <c r="AB2042" s="146"/>
      <c r="AC2042" s="146"/>
      <c r="AD2042" s="146"/>
      <c r="AE2042" s="146"/>
      <c r="AF2042" s="146"/>
      <c r="AG2042" s="146"/>
      <c r="AH2042" s="146"/>
      <c r="AI2042" s="146"/>
      <c r="AJ2042" s="146"/>
    </row>
    <row r="2043" spans="1:52" x14ac:dyDescent="0.3">
      <c r="B2043" s="146"/>
      <c r="C2043" s="146"/>
      <c r="D2043" s="146"/>
      <c r="E2043" s="146"/>
      <c r="F2043" s="146"/>
      <c r="G2043" s="146"/>
      <c r="H2043" s="146"/>
      <c r="I2043" s="146"/>
      <c r="J2043" s="146"/>
      <c r="K2043" s="146"/>
      <c r="L2043" s="146"/>
      <c r="M2043" s="146"/>
      <c r="N2043" s="146"/>
      <c r="O2043" s="146"/>
      <c r="P2043" s="146"/>
      <c r="Q2043" s="146"/>
      <c r="R2043" s="146"/>
      <c r="S2043" s="146"/>
      <c r="T2043" s="146"/>
      <c r="U2043" s="146"/>
      <c r="V2043" s="146"/>
      <c r="W2043" s="146"/>
      <c r="X2043" s="146"/>
      <c r="Y2043" s="146"/>
      <c r="Z2043" s="146"/>
      <c r="AA2043" s="146"/>
      <c r="AB2043" s="146"/>
      <c r="AC2043" s="146"/>
      <c r="AD2043" s="146"/>
      <c r="AE2043" s="146"/>
      <c r="AF2043" s="146"/>
      <c r="AG2043" s="146"/>
      <c r="AH2043" s="146"/>
      <c r="AI2043" s="146"/>
      <c r="AJ2043" s="146"/>
    </row>
    <row r="2044" spans="1:52" x14ac:dyDescent="0.3">
      <c r="B2044" s="146"/>
      <c r="C2044" s="146"/>
      <c r="D2044" s="146"/>
      <c r="E2044" s="146"/>
      <c r="F2044" s="146"/>
      <c r="G2044" s="146"/>
      <c r="H2044" s="146"/>
      <c r="I2044" s="146"/>
      <c r="J2044" s="146"/>
      <c r="K2044" s="146"/>
      <c r="L2044" s="146"/>
      <c r="M2044" s="146"/>
      <c r="N2044" s="146"/>
      <c r="O2044" s="146"/>
      <c r="P2044" s="146"/>
      <c r="Q2044" s="146"/>
      <c r="R2044" s="146"/>
      <c r="S2044" s="146"/>
      <c r="T2044" s="146"/>
      <c r="U2044" s="146"/>
      <c r="V2044" s="146"/>
      <c r="W2044" s="146"/>
      <c r="X2044" s="146"/>
      <c r="Y2044" s="146"/>
      <c r="Z2044" s="146"/>
      <c r="AA2044" s="146"/>
      <c r="AB2044" s="146"/>
      <c r="AC2044" s="146"/>
      <c r="AD2044" s="146"/>
      <c r="AE2044" s="146"/>
      <c r="AF2044" s="146"/>
      <c r="AG2044" s="146"/>
      <c r="AH2044" s="146"/>
      <c r="AI2044" s="146"/>
      <c r="AJ2044" s="146"/>
    </row>
    <row r="2045" spans="1:52" x14ac:dyDescent="0.3">
      <c r="B2045" s="146"/>
      <c r="C2045" s="146"/>
      <c r="D2045" s="146"/>
      <c r="E2045" s="146"/>
      <c r="F2045" s="146"/>
      <c r="G2045" s="146"/>
      <c r="H2045" s="146"/>
      <c r="I2045" s="146"/>
      <c r="J2045" s="146"/>
      <c r="K2045" s="146"/>
      <c r="L2045" s="146"/>
      <c r="M2045" s="146"/>
      <c r="N2045" s="146"/>
      <c r="O2045" s="146"/>
      <c r="P2045" s="146"/>
      <c r="Q2045" s="146"/>
      <c r="R2045" s="146"/>
      <c r="S2045" s="146"/>
      <c r="T2045" s="146"/>
      <c r="U2045" s="146"/>
      <c r="V2045" s="146"/>
      <c r="W2045" s="146"/>
      <c r="X2045" s="146"/>
      <c r="Y2045" s="146"/>
      <c r="Z2045" s="146"/>
      <c r="AA2045" s="146"/>
      <c r="AB2045" s="146"/>
      <c r="AC2045" s="146"/>
      <c r="AD2045" s="146"/>
      <c r="AE2045" s="146"/>
      <c r="AF2045" s="146"/>
      <c r="AG2045" s="146"/>
      <c r="AH2045" s="146"/>
      <c r="AI2045" s="146"/>
      <c r="AJ2045" s="146"/>
    </row>
    <row r="2046" spans="1:52" x14ac:dyDescent="0.3">
      <c r="B2046" s="146"/>
      <c r="C2046" s="146"/>
      <c r="D2046" s="146"/>
      <c r="E2046" s="146"/>
      <c r="F2046" s="146"/>
      <c r="G2046" s="146"/>
      <c r="H2046" s="146"/>
      <c r="I2046" s="146"/>
      <c r="J2046" s="146"/>
      <c r="K2046" s="146"/>
      <c r="L2046" s="146"/>
      <c r="M2046" s="146"/>
      <c r="N2046" s="146"/>
      <c r="O2046" s="146"/>
      <c r="P2046" s="146"/>
      <c r="Q2046" s="146"/>
      <c r="R2046" s="146"/>
      <c r="S2046" s="146"/>
      <c r="T2046" s="146"/>
      <c r="U2046" s="146"/>
      <c r="V2046" s="146"/>
      <c r="W2046" s="146"/>
      <c r="X2046" s="146"/>
      <c r="Y2046" s="146"/>
      <c r="Z2046" s="146"/>
      <c r="AA2046" s="146"/>
      <c r="AB2046" s="146"/>
      <c r="AC2046" s="146"/>
      <c r="AD2046" s="146"/>
      <c r="AE2046" s="146"/>
      <c r="AF2046" s="146"/>
      <c r="AG2046" s="146"/>
      <c r="AH2046" s="146"/>
      <c r="AI2046" s="146"/>
      <c r="AJ2046" s="146"/>
    </row>
    <row r="2047" spans="1:52" x14ac:dyDescent="0.3">
      <c r="B2047" s="146"/>
      <c r="C2047" s="146"/>
      <c r="D2047" s="146"/>
      <c r="E2047" s="146"/>
      <c r="F2047" s="146"/>
      <c r="G2047" s="146"/>
      <c r="H2047" s="146"/>
      <c r="I2047" s="146"/>
      <c r="J2047" s="146"/>
      <c r="K2047" s="146"/>
      <c r="L2047" s="146"/>
      <c r="M2047" s="146"/>
      <c r="N2047" s="146"/>
      <c r="O2047" s="146"/>
      <c r="P2047" s="146"/>
      <c r="Q2047" s="146"/>
      <c r="R2047" s="146"/>
      <c r="S2047" s="146"/>
      <c r="T2047" s="146"/>
      <c r="U2047" s="146"/>
      <c r="V2047" s="146"/>
      <c r="W2047" s="146"/>
      <c r="X2047" s="146"/>
      <c r="Y2047" s="146"/>
      <c r="Z2047" s="146"/>
      <c r="AA2047" s="146"/>
      <c r="AB2047" s="146"/>
      <c r="AC2047" s="146"/>
      <c r="AD2047" s="146"/>
      <c r="AE2047" s="146"/>
      <c r="AF2047" s="146"/>
      <c r="AG2047" s="146"/>
      <c r="AH2047" s="146"/>
      <c r="AI2047" s="146"/>
      <c r="AJ2047" s="146"/>
    </row>
    <row r="2048" spans="1:52" x14ac:dyDescent="0.3">
      <c r="B2048" s="146"/>
      <c r="C2048" s="146"/>
      <c r="D2048" s="146"/>
      <c r="E2048" s="146"/>
      <c r="F2048" s="146"/>
      <c r="G2048" s="146"/>
      <c r="H2048" s="146"/>
      <c r="I2048" s="146"/>
      <c r="J2048" s="146"/>
      <c r="K2048" s="146"/>
      <c r="L2048" s="146"/>
      <c r="M2048" s="146"/>
      <c r="N2048" s="146"/>
      <c r="O2048" s="146"/>
      <c r="P2048" s="146"/>
      <c r="Q2048" s="146"/>
      <c r="R2048" s="146"/>
      <c r="S2048" s="146"/>
      <c r="T2048" s="146"/>
      <c r="U2048" s="146"/>
      <c r="V2048" s="146"/>
      <c r="W2048" s="146"/>
      <c r="X2048" s="146"/>
      <c r="Y2048" s="146"/>
      <c r="Z2048" s="146"/>
      <c r="AA2048" s="146"/>
      <c r="AB2048" s="146"/>
      <c r="AC2048" s="146"/>
      <c r="AD2048" s="146"/>
      <c r="AE2048" s="146"/>
      <c r="AF2048" s="146"/>
      <c r="AG2048" s="146"/>
      <c r="AH2048" s="146"/>
      <c r="AI2048" s="146"/>
      <c r="AJ2048" s="146"/>
    </row>
    <row r="2049" spans="1:52" x14ac:dyDescent="0.3">
      <c r="B2049" s="146"/>
      <c r="C2049" s="146"/>
      <c r="D2049" s="146"/>
      <c r="E2049" s="146"/>
      <c r="F2049" s="146"/>
      <c r="G2049" s="146"/>
      <c r="H2049" s="146"/>
      <c r="I2049" s="146"/>
      <c r="J2049" s="146"/>
      <c r="K2049" s="146"/>
      <c r="L2049" s="146"/>
      <c r="M2049" s="146"/>
      <c r="N2049" s="146"/>
      <c r="O2049" s="146"/>
      <c r="P2049" s="146"/>
      <c r="Q2049" s="146"/>
      <c r="R2049" s="146"/>
      <c r="S2049" s="146"/>
      <c r="T2049" s="146"/>
      <c r="U2049" s="146"/>
      <c r="V2049" s="146"/>
      <c r="W2049" s="146"/>
      <c r="X2049" s="146"/>
      <c r="Y2049" s="146"/>
      <c r="Z2049" s="146"/>
      <c r="AA2049" s="146"/>
      <c r="AB2049" s="146"/>
      <c r="AC2049" s="146"/>
      <c r="AD2049" s="146"/>
      <c r="AE2049" s="146"/>
      <c r="AF2049" s="146"/>
      <c r="AG2049" s="146"/>
      <c r="AH2049" s="146"/>
      <c r="AI2049" s="146"/>
      <c r="AJ2049" s="146"/>
    </row>
    <row r="2050" spans="1:52" x14ac:dyDescent="0.3">
      <c r="B2050" s="146"/>
      <c r="C2050" s="146"/>
      <c r="D2050" s="146"/>
      <c r="E2050" s="146"/>
      <c r="F2050" s="146"/>
      <c r="G2050" s="146"/>
      <c r="H2050" s="146"/>
      <c r="I2050" s="146"/>
      <c r="J2050" s="146"/>
      <c r="K2050" s="146"/>
      <c r="L2050" s="146"/>
      <c r="M2050" s="146"/>
      <c r="N2050" s="146"/>
      <c r="O2050" s="146"/>
      <c r="P2050" s="146"/>
      <c r="Q2050" s="146"/>
      <c r="R2050" s="146"/>
      <c r="S2050" s="146"/>
      <c r="T2050" s="146"/>
      <c r="U2050" s="146"/>
      <c r="V2050" s="146"/>
      <c r="W2050" s="146"/>
      <c r="X2050" s="146"/>
      <c r="Y2050" s="146"/>
      <c r="Z2050" s="146"/>
      <c r="AA2050" s="146"/>
      <c r="AB2050" s="146"/>
      <c r="AC2050" s="146"/>
      <c r="AD2050" s="146"/>
      <c r="AE2050" s="146"/>
      <c r="AF2050" s="146"/>
      <c r="AG2050" s="146"/>
      <c r="AH2050" s="146"/>
      <c r="AI2050" s="146"/>
      <c r="AJ2050" s="146"/>
    </row>
    <row r="2051" spans="1:52" x14ac:dyDescent="0.3">
      <c r="B2051" s="146"/>
      <c r="C2051" s="146"/>
      <c r="D2051" s="146"/>
      <c r="E2051" s="146"/>
      <c r="F2051" s="146"/>
      <c r="G2051" s="146"/>
      <c r="H2051" s="146"/>
      <c r="I2051" s="146"/>
      <c r="J2051" s="146"/>
      <c r="K2051" s="146"/>
      <c r="L2051" s="146"/>
      <c r="M2051" s="146"/>
      <c r="N2051" s="146"/>
      <c r="O2051" s="146"/>
      <c r="P2051" s="146"/>
      <c r="Q2051" s="146"/>
      <c r="R2051" s="146"/>
      <c r="S2051" s="146"/>
      <c r="T2051" s="146"/>
      <c r="U2051" s="146"/>
      <c r="V2051" s="146"/>
      <c r="W2051" s="146"/>
      <c r="X2051" s="146"/>
      <c r="Y2051" s="146"/>
      <c r="Z2051" s="146"/>
      <c r="AA2051" s="146"/>
      <c r="AB2051" s="146"/>
      <c r="AC2051" s="146"/>
      <c r="AD2051" s="146"/>
      <c r="AE2051" s="146"/>
      <c r="AF2051" s="146"/>
      <c r="AG2051" s="146"/>
      <c r="AH2051" s="146"/>
      <c r="AI2051" s="146"/>
      <c r="AJ2051" s="146"/>
    </row>
    <row r="2052" spans="1:52" s="140" customFormat="1" x14ac:dyDescent="0.3">
      <c r="E2052" s="146"/>
      <c r="F2052" s="146"/>
      <c r="G2052" s="146"/>
      <c r="H2052" s="146"/>
      <c r="I2052" s="146"/>
      <c r="J2052" s="146"/>
      <c r="K2052" s="146"/>
      <c r="L2052" s="146"/>
      <c r="M2052" s="146"/>
      <c r="N2052" s="146"/>
      <c r="O2052" s="146"/>
      <c r="P2052" s="146"/>
      <c r="Q2052" s="146"/>
      <c r="R2052" s="146"/>
      <c r="S2052" s="146"/>
      <c r="T2052" s="146"/>
      <c r="U2052" s="146"/>
      <c r="V2052" s="146"/>
      <c r="W2052" s="146"/>
      <c r="X2052" s="146"/>
      <c r="Y2052" s="146"/>
      <c r="Z2052" s="146"/>
      <c r="AA2052" s="146"/>
      <c r="AB2052" s="146"/>
      <c r="AC2052" s="146"/>
      <c r="AD2052" s="146"/>
      <c r="AE2052" s="146"/>
      <c r="AF2052" s="146"/>
      <c r="AG2052" s="146"/>
      <c r="AH2052" s="146"/>
      <c r="AI2052" s="146"/>
      <c r="AJ2052" s="146"/>
      <c r="AQ2052"/>
      <c r="AR2052"/>
      <c r="AS2052"/>
      <c r="AT2052"/>
      <c r="AU2052"/>
      <c r="AV2052"/>
      <c r="AW2052"/>
      <c r="AX2052"/>
      <c r="AY2052"/>
      <c r="AZ2052"/>
    </row>
    <row r="2053" spans="1:52" s="146" customFormat="1" x14ac:dyDescent="0.3">
      <c r="A2053"/>
      <c r="AQ2053"/>
      <c r="AR2053"/>
      <c r="AS2053"/>
      <c r="AT2053"/>
      <c r="AU2053"/>
      <c r="AV2053"/>
      <c r="AW2053"/>
      <c r="AX2053"/>
      <c r="AY2053"/>
      <c r="AZ2053"/>
    </row>
    <row r="2054" spans="1:52" s="146" customFormat="1" x14ac:dyDescent="0.3">
      <c r="A2054"/>
      <c r="AQ2054"/>
      <c r="AR2054"/>
      <c r="AS2054"/>
      <c r="AT2054"/>
      <c r="AU2054"/>
      <c r="AV2054"/>
      <c r="AW2054"/>
      <c r="AX2054"/>
      <c r="AY2054"/>
      <c r="AZ2054"/>
    </row>
    <row r="2055" spans="1:52" s="146" customFormat="1" x14ac:dyDescent="0.3">
      <c r="A2055"/>
      <c r="AQ2055"/>
      <c r="AR2055"/>
      <c r="AS2055"/>
      <c r="AT2055"/>
      <c r="AU2055"/>
      <c r="AV2055"/>
      <c r="AW2055"/>
      <c r="AX2055"/>
      <c r="AY2055"/>
      <c r="AZ2055"/>
    </row>
    <row r="2056" spans="1:52" s="146" customFormat="1" x14ac:dyDescent="0.3">
      <c r="A2056"/>
      <c r="AQ2056"/>
      <c r="AR2056"/>
      <c r="AS2056"/>
      <c r="AT2056"/>
      <c r="AU2056"/>
      <c r="AV2056"/>
      <c r="AW2056"/>
      <c r="AX2056"/>
      <c r="AY2056"/>
      <c r="AZ2056"/>
    </row>
    <row r="2057" spans="1:52" s="146" customFormat="1" x14ac:dyDescent="0.3">
      <c r="A2057"/>
      <c r="AQ2057"/>
      <c r="AR2057"/>
      <c r="AS2057"/>
      <c r="AT2057"/>
      <c r="AU2057"/>
      <c r="AV2057"/>
      <c r="AW2057"/>
      <c r="AX2057"/>
      <c r="AY2057"/>
      <c r="AZ2057"/>
    </row>
    <row r="2058" spans="1:52" s="146" customFormat="1" x14ac:dyDescent="0.3">
      <c r="A2058"/>
      <c r="AQ2058"/>
      <c r="AR2058"/>
      <c r="AS2058"/>
      <c r="AT2058"/>
      <c r="AU2058"/>
      <c r="AV2058"/>
      <c r="AW2058"/>
      <c r="AX2058"/>
      <c r="AY2058"/>
      <c r="AZ2058"/>
    </row>
    <row r="2059" spans="1:52" s="146" customFormat="1" x14ac:dyDescent="0.3">
      <c r="A2059"/>
      <c r="AQ2059"/>
      <c r="AR2059"/>
      <c r="AS2059"/>
      <c r="AT2059"/>
      <c r="AU2059"/>
      <c r="AV2059"/>
      <c r="AW2059"/>
      <c r="AX2059"/>
      <c r="AY2059"/>
      <c r="AZ2059"/>
    </row>
    <row r="2060" spans="1:52" s="146" customFormat="1" x14ac:dyDescent="0.3">
      <c r="A2060"/>
      <c r="AQ2060"/>
      <c r="AR2060"/>
      <c r="AS2060"/>
      <c r="AT2060"/>
      <c r="AU2060"/>
      <c r="AV2060"/>
      <c r="AW2060"/>
      <c r="AX2060"/>
      <c r="AY2060"/>
      <c r="AZ2060"/>
    </row>
    <row r="2061" spans="1:52" s="146" customFormat="1" x14ac:dyDescent="0.3">
      <c r="A2061"/>
      <c r="AQ2061"/>
      <c r="AR2061"/>
      <c r="AS2061"/>
      <c r="AT2061"/>
      <c r="AU2061"/>
      <c r="AV2061"/>
      <c r="AW2061"/>
      <c r="AX2061"/>
      <c r="AY2061"/>
      <c r="AZ2061"/>
    </row>
    <row r="2062" spans="1:52" s="146" customFormat="1" x14ac:dyDescent="0.3">
      <c r="A2062" s="140"/>
      <c r="B2062" s="140"/>
      <c r="C2062" s="140"/>
      <c r="D2062" s="140"/>
      <c r="AQ2062"/>
      <c r="AR2062"/>
      <c r="AS2062"/>
      <c r="AT2062"/>
      <c r="AU2062"/>
      <c r="AV2062"/>
      <c r="AW2062"/>
      <c r="AX2062"/>
      <c r="AY2062"/>
      <c r="AZ2062"/>
    </row>
    <row r="2063" spans="1:52" s="146" customFormat="1" x14ac:dyDescent="0.3">
      <c r="A2063"/>
      <c r="AQ2063"/>
      <c r="AR2063"/>
      <c r="AS2063"/>
      <c r="AT2063"/>
      <c r="AU2063"/>
      <c r="AV2063"/>
      <c r="AW2063"/>
      <c r="AX2063"/>
      <c r="AY2063"/>
      <c r="AZ2063"/>
    </row>
    <row r="2064" spans="1:52" s="146" customFormat="1" x14ac:dyDescent="0.3">
      <c r="A2064"/>
      <c r="AQ2064"/>
      <c r="AR2064"/>
      <c r="AS2064"/>
      <c r="AT2064"/>
      <c r="AU2064"/>
      <c r="AV2064"/>
      <c r="AW2064"/>
      <c r="AX2064"/>
      <c r="AY2064"/>
      <c r="AZ2064"/>
    </row>
    <row r="2065" spans="1:52" s="146" customFormat="1" x14ac:dyDescent="0.3">
      <c r="A2065"/>
      <c r="AQ2065"/>
      <c r="AR2065"/>
      <c r="AS2065"/>
      <c r="AT2065"/>
      <c r="AU2065"/>
      <c r="AV2065"/>
      <c r="AW2065"/>
      <c r="AX2065"/>
      <c r="AY2065"/>
      <c r="AZ2065"/>
    </row>
    <row r="2066" spans="1:52" s="146" customFormat="1" x14ac:dyDescent="0.3">
      <c r="A2066"/>
      <c r="AQ2066"/>
      <c r="AR2066"/>
      <c r="AS2066"/>
      <c r="AT2066"/>
      <c r="AU2066"/>
      <c r="AV2066"/>
      <c r="AW2066"/>
      <c r="AX2066"/>
      <c r="AY2066"/>
      <c r="AZ2066"/>
    </row>
    <row r="2067" spans="1:52" s="146" customFormat="1" x14ac:dyDescent="0.3">
      <c r="A2067"/>
      <c r="AQ2067"/>
      <c r="AR2067"/>
      <c r="AS2067"/>
      <c r="AT2067"/>
      <c r="AU2067"/>
      <c r="AV2067"/>
      <c r="AW2067"/>
      <c r="AX2067"/>
      <c r="AY2067"/>
      <c r="AZ2067"/>
    </row>
    <row r="2068" spans="1:52" s="146" customFormat="1" x14ac:dyDescent="0.3">
      <c r="A2068"/>
      <c r="AQ2068"/>
      <c r="AR2068"/>
      <c r="AS2068"/>
      <c r="AT2068"/>
      <c r="AU2068"/>
      <c r="AV2068"/>
      <c r="AW2068"/>
      <c r="AX2068"/>
      <c r="AY2068"/>
      <c r="AZ2068"/>
    </row>
    <row r="2069" spans="1:52" s="146" customFormat="1" x14ac:dyDescent="0.3">
      <c r="A2069"/>
      <c r="AQ2069"/>
      <c r="AR2069"/>
      <c r="AS2069"/>
      <c r="AT2069"/>
      <c r="AU2069"/>
      <c r="AV2069"/>
      <c r="AW2069"/>
      <c r="AX2069"/>
      <c r="AY2069"/>
      <c r="AZ2069"/>
    </row>
    <row r="2070" spans="1:52" s="160" customFormat="1" ht="15" thickBot="1" x14ac:dyDescent="0.35">
      <c r="A2070"/>
      <c r="B2070" s="146"/>
      <c r="C2070" s="146"/>
      <c r="D2070" s="146"/>
      <c r="E2070" s="146"/>
      <c r="F2070" s="146"/>
      <c r="G2070" s="146"/>
      <c r="H2070" s="146"/>
      <c r="I2070" s="146"/>
      <c r="J2070" s="146"/>
      <c r="K2070" s="146"/>
      <c r="L2070" s="146"/>
      <c r="M2070" s="146"/>
      <c r="N2070" s="146"/>
      <c r="O2070" s="146"/>
      <c r="P2070" s="146"/>
      <c r="Q2070" s="146"/>
      <c r="R2070" s="146"/>
      <c r="S2070" s="146"/>
      <c r="T2070" s="146"/>
      <c r="U2070" s="146"/>
      <c r="V2070" s="146"/>
      <c r="W2070" s="146"/>
      <c r="X2070" s="146"/>
      <c r="Y2070" s="146"/>
      <c r="Z2070" s="146"/>
      <c r="AA2070" s="146"/>
      <c r="AB2070" s="146"/>
      <c r="AC2070" s="146"/>
      <c r="AD2070" s="146"/>
      <c r="AE2070" s="146"/>
      <c r="AF2070" s="146"/>
      <c r="AG2070" s="146"/>
      <c r="AH2070" s="146"/>
      <c r="AI2070" s="146"/>
      <c r="AJ2070" s="146"/>
      <c r="AQ2070"/>
      <c r="AR2070"/>
      <c r="AS2070"/>
      <c r="AT2070"/>
      <c r="AU2070"/>
      <c r="AV2070"/>
      <c r="AW2070"/>
      <c r="AX2070"/>
      <c r="AY2070"/>
      <c r="AZ2070"/>
    </row>
    <row r="2071" spans="1:52" x14ac:dyDescent="0.3">
      <c r="B2071" s="146"/>
      <c r="C2071" s="146"/>
      <c r="D2071" s="146"/>
      <c r="E2071" s="146"/>
      <c r="F2071" s="146"/>
      <c r="G2071" s="146"/>
      <c r="H2071" s="146"/>
      <c r="I2071" s="146"/>
      <c r="J2071" s="146"/>
      <c r="K2071" s="146"/>
      <c r="L2071" s="146"/>
      <c r="M2071" s="146"/>
      <c r="N2071" s="146"/>
      <c r="O2071" s="146"/>
      <c r="P2071" s="146"/>
      <c r="Q2071" s="146"/>
      <c r="R2071" s="146"/>
      <c r="S2071" s="146"/>
      <c r="T2071" s="146"/>
      <c r="U2071" s="146"/>
      <c r="V2071" s="146"/>
      <c r="W2071" s="146"/>
      <c r="X2071" s="146"/>
      <c r="Y2071" s="146"/>
      <c r="Z2071" s="146"/>
      <c r="AA2071" s="146"/>
      <c r="AB2071" s="146"/>
      <c r="AC2071" s="146"/>
      <c r="AD2071" s="146"/>
      <c r="AE2071" s="146"/>
      <c r="AF2071" s="146"/>
      <c r="AG2071" s="146"/>
      <c r="AH2071" s="146"/>
      <c r="AI2071" s="146"/>
      <c r="AJ2071" s="146"/>
    </row>
    <row r="2072" spans="1:52" x14ac:dyDescent="0.3">
      <c r="A2072" s="140"/>
      <c r="B2072" s="140"/>
      <c r="C2072" s="140"/>
      <c r="D2072" s="140"/>
      <c r="E2072" s="146"/>
      <c r="F2072" s="146"/>
      <c r="G2072" s="146"/>
      <c r="H2072" s="146"/>
      <c r="I2072" s="146"/>
      <c r="J2072" s="146"/>
      <c r="K2072" s="146"/>
      <c r="L2072" s="146"/>
      <c r="M2072" s="146"/>
      <c r="N2072" s="146"/>
      <c r="O2072" s="146"/>
      <c r="P2072" s="146"/>
      <c r="Q2072" s="146"/>
      <c r="R2072" s="146"/>
      <c r="S2072" s="146"/>
      <c r="T2072" s="146"/>
      <c r="U2072" s="146"/>
      <c r="V2072" s="146"/>
      <c r="W2072" s="146"/>
      <c r="X2072" s="146"/>
      <c r="Y2072" s="146"/>
      <c r="Z2072" s="146"/>
      <c r="AA2072" s="146"/>
      <c r="AB2072" s="146"/>
      <c r="AC2072" s="146"/>
      <c r="AD2072" s="146"/>
      <c r="AE2072" s="146"/>
      <c r="AF2072" s="146"/>
      <c r="AG2072" s="146"/>
      <c r="AH2072" s="146"/>
      <c r="AI2072" s="146"/>
      <c r="AJ2072" s="146"/>
    </row>
    <row r="2073" spans="1:52" x14ac:dyDescent="0.3">
      <c r="B2073" s="146"/>
      <c r="C2073" s="146"/>
      <c r="D2073" s="146"/>
      <c r="E2073" s="146"/>
      <c r="F2073" s="146"/>
      <c r="G2073" s="146"/>
      <c r="H2073" s="146"/>
      <c r="I2073" s="146"/>
      <c r="J2073" s="146"/>
      <c r="K2073" s="146"/>
      <c r="L2073" s="146"/>
      <c r="M2073" s="146"/>
      <c r="N2073" s="146"/>
      <c r="O2073" s="146"/>
      <c r="P2073" s="146"/>
      <c r="Q2073" s="146"/>
      <c r="R2073" s="146"/>
      <c r="S2073" s="146"/>
      <c r="T2073" s="146"/>
      <c r="U2073" s="146"/>
      <c r="V2073" s="146"/>
      <c r="W2073" s="146"/>
      <c r="X2073" s="146"/>
      <c r="Y2073" s="146"/>
      <c r="Z2073" s="146"/>
      <c r="AA2073" s="146"/>
      <c r="AB2073" s="146"/>
      <c r="AC2073" s="146"/>
      <c r="AD2073" s="146"/>
      <c r="AE2073" s="146"/>
      <c r="AF2073" s="146"/>
      <c r="AG2073" s="146"/>
      <c r="AH2073" s="146"/>
      <c r="AI2073" s="146"/>
      <c r="AJ2073" s="146"/>
    </row>
    <row r="2074" spans="1:52" x14ac:dyDescent="0.3">
      <c r="B2074" s="146"/>
      <c r="C2074" s="146"/>
      <c r="D2074" s="146"/>
      <c r="E2074" s="146"/>
      <c r="F2074" s="146"/>
      <c r="G2074" s="146"/>
      <c r="H2074" s="146"/>
      <c r="I2074" s="146"/>
      <c r="J2074" s="146"/>
      <c r="K2074" s="146"/>
      <c r="L2074" s="146"/>
      <c r="M2074" s="146"/>
      <c r="N2074" s="146"/>
      <c r="O2074" s="146"/>
      <c r="P2074" s="146"/>
      <c r="Q2074" s="146"/>
      <c r="R2074" s="146"/>
      <c r="S2074" s="146"/>
      <c r="T2074" s="146"/>
      <c r="U2074" s="146"/>
      <c r="V2074" s="146"/>
      <c r="W2074" s="146"/>
      <c r="X2074" s="146"/>
      <c r="Y2074" s="146"/>
      <c r="Z2074" s="146"/>
      <c r="AA2074" s="146"/>
      <c r="AB2074" s="146"/>
      <c r="AC2074" s="146"/>
      <c r="AD2074" s="146"/>
      <c r="AE2074" s="146"/>
      <c r="AF2074" s="146"/>
      <c r="AG2074" s="146"/>
      <c r="AH2074" s="146"/>
      <c r="AI2074" s="146"/>
      <c r="AJ2074" s="146"/>
    </row>
    <row r="2075" spans="1:52" x14ac:dyDescent="0.3">
      <c r="B2075" s="146"/>
      <c r="C2075" s="146"/>
      <c r="D2075" s="146"/>
      <c r="E2075" s="146"/>
      <c r="F2075" s="146"/>
      <c r="G2075" s="146"/>
      <c r="H2075" s="146"/>
      <c r="I2075" s="146"/>
      <c r="J2075" s="146"/>
      <c r="K2075" s="146"/>
      <c r="L2075" s="146"/>
      <c r="M2075" s="146"/>
      <c r="N2075" s="146"/>
      <c r="O2075" s="146"/>
      <c r="P2075" s="146"/>
      <c r="Q2075" s="146"/>
      <c r="R2075" s="146"/>
      <c r="S2075" s="146"/>
      <c r="T2075" s="146"/>
      <c r="U2075" s="146"/>
      <c r="V2075" s="146"/>
      <c r="W2075" s="146"/>
      <c r="X2075" s="146"/>
      <c r="Y2075" s="146"/>
      <c r="Z2075" s="146"/>
      <c r="AA2075" s="146"/>
      <c r="AB2075" s="146"/>
      <c r="AC2075" s="146"/>
      <c r="AD2075" s="146"/>
      <c r="AE2075" s="146"/>
      <c r="AF2075" s="146"/>
      <c r="AG2075" s="146"/>
      <c r="AH2075" s="146"/>
      <c r="AI2075" s="146"/>
      <c r="AJ2075" s="146"/>
    </row>
    <row r="2076" spans="1:52" x14ac:dyDescent="0.3">
      <c r="B2076" s="146"/>
      <c r="C2076" s="146"/>
      <c r="D2076" s="146"/>
      <c r="E2076" s="146"/>
      <c r="F2076" s="146"/>
      <c r="G2076" s="146"/>
      <c r="H2076" s="146"/>
      <c r="I2076" s="146"/>
      <c r="J2076" s="146"/>
      <c r="K2076" s="146"/>
      <c r="L2076" s="146"/>
      <c r="M2076" s="146"/>
      <c r="N2076" s="146"/>
      <c r="O2076" s="146"/>
      <c r="P2076" s="146"/>
      <c r="Q2076" s="146"/>
      <c r="R2076" s="146"/>
      <c r="S2076" s="146"/>
      <c r="T2076" s="146"/>
      <c r="U2076" s="146"/>
      <c r="V2076" s="146"/>
      <c r="W2076" s="146"/>
      <c r="X2076" s="146"/>
      <c r="Y2076" s="146"/>
      <c r="Z2076" s="146"/>
      <c r="AA2076" s="146"/>
      <c r="AB2076" s="146"/>
      <c r="AC2076" s="146"/>
      <c r="AD2076" s="146"/>
      <c r="AE2076" s="146"/>
      <c r="AF2076" s="146"/>
      <c r="AG2076" s="146"/>
      <c r="AH2076" s="146"/>
      <c r="AI2076" s="146"/>
      <c r="AJ2076" s="146"/>
    </row>
    <row r="2077" spans="1:52" x14ac:dyDescent="0.3">
      <c r="B2077" s="146"/>
      <c r="C2077" s="146"/>
      <c r="D2077" s="146"/>
      <c r="E2077" s="146"/>
      <c r="F2077" s="146"/>
      <c r="G2077" s="146"/>
      <c r="H2077" s="146"/>
      <c r="I2077" s="146"/>
      <c r="J2077" s="146"/>
      <c r="K2077" s="146"/>
      <c r="L2077" s="146"/>
      <c r="M2077" s="146"/>
      <c r="N2077" s="146"/>
      <c r="O2077" s="146"/>
      <c r="P2077" s="146"/>
      <c r="Q2077" s="146"/>
      <c r="R2077" s="146"/>
      <c r="S2077" s="146"/>
      <c r="T2077" s="146"/>
      <c r="U2077" s="146"/>
      <c r="V2077" s="146"/>
      <c r="W2077" s="146"/>
      <c r="X2077" s="146"/>
      <c r="Y2077" s="146"/>
      <c r="Z2077" s="146"/>
      <c r="AA2077" s="146"/>
      <c r="AB2077" s="146"/>
      <c r="AC2077" s="146"/>
      <c r="AD2077" s="146"/>
      <c r="AE2077" s="146"/>
      <c r="AF2077" s="146"/>
      <c r="AG2077" s="146"/>
      <c r="AH2077" s="146"/>
      <c r="AI2077" s="146"/>
      <c r="AJ2077" s="146"/>
    </row>
    <row r="2078" spans="1:52" x14ac:dyDescent="0.3">
      <c r="B2078" s="146"/>
      <c r="C2078" s="146"/>
      <c r="D2078" s="146"/>
      <c r="E2078" s="146"/>
      <c r="F2078" s="146"/>
      <c r="G2078" s="146"/>
      <c r="H2078" s="146"/>
      <c r="I2078" s="146"/>
      <c r="J2078" s="146"/>
      <c r="K2078" s="146"/>
      <c r="L2078" s="146"/>
      <c r="M2078" s="146"/>
      <c r="N2078" s="146"/>
      <c r="O2078" s="146"/>
      <c r="P2078" s="146"/>
      <c r="Q2078" s="146"/>
      <c r="R2078" s="146"/>
      <c r="S2078" s="146"/>
      <c r="T2078" s="146"/>
      <c r="U2078" s="146"/>
      <c r="V2078" s="146"/>
      <c r="W2078" s="146"/>
      <c r="X2078" s="146"/>
      <c r="Y2078" s="146"/>
      <c r="Z2078" s="146"/>
      <c r="AA2078" s="146"/>
      <c r="AB2078" s="146"/>
      <c r="AC2078" s="146"/>
      <c r="AD2078" s="146"/>
      <c r="AE2078" s="146"/>
      <c r="AF2078" s="146"/>
      <c r="AG2078" s="146"/>
      <c r="AH2078" s="146"/>
      <c r="AI2078" s="146"/>
      <c r="AJ2078" s="146"/>
    </row>
    <row r="2079" spans="1:52" x14ac:dyDescent="0.3">
      <c r="B2079" s="146"/>
      <c r="C2079" s="146"/>
      <c r="D2079" s="146"/>
      <c r="E2079" s="146"/>
      <c r="F2079" s="146"/>
      <c r="G2079" s="146"/>
      <c r="H2079" s="146"/>
      <c r="I2079" s="146"/>
      <c r="J2079" s="146"/>
      <c r="K2079" s="146"/>
      <c r="L2079" s="146"/>
      <c r="M2079" s="146"/>
      <c r="N2079" s="146"/>
      <c r="O2079" s="146"/>
      <c r="P2079" s="146"/>
      <c r="Q2079" s="146"/>
      <c r="R2079" s="146"/>
      <c r="S2079" s="146"/>
      <c r="T2079" s="146"/>
      <c r="U2079" s="146"/>
      <c r="V2079" s="146"/>
      <c r="W2079" s="146"/>
      <c r="X2079" s="146"/>
      <c r="Y2079" s="146"/>
      <c r="Z2079" s="146"/>
      <c r="AA2079" s="146"/>
      <c r="AB2079" s="146"/>
      <c r="AC2079" s="146"/>
      <c r="AD2079" s="146"/>
      <c r="AE2079" s="146"/>
      <c r="AF2079" s="146"/>
      <c r="AG2079" s="146"/>
      <c r="AH2079" s="146"/>
      <c r="AI2079" s="146"/>
      <c r="AJ2079" s="146"/>
    </row>
    <row r="2080" spans="1:52" x14ac:dyDescent="0.3">
      <c r="B2080" s="146"/>
      <c r="C2080" s="146"/>
      <c r="D2080" s="146"/>
      <c r="E2080" s="146"/>
      <c r="F2080" s="146"/>
      <c r="G2080" s="146"/>
      <c r="H2080" s="146"/>
      <c r="I2080" s="146"/>
      <c r="J2080" s="146"/>
      <c r="K2080" s="146"/>
      <c r="L2080" s="146"/>
      <c r="M2080" s="146"/>
      <c r="N2080" s="146"/>
      <c r="O2080" s="146"/>
      <c r="P2080" s="146"/>
      <c r="Q2080" s="146"/>
      <c r="R2080" s="146"/>
      <c r="S2080" s="146"/>
      <c r="T2080" s="146"/>
      <c r="U2080" s="146"/>
      <c r="V2080" s="146"/>
      <c r="W2080" s="146"/>
      <c r="X2080" s="146"/>
      <c r="Y2080" s="146"/>
      <c r="Z2080" s="146"/>
      <c r="AA2080" s="146"/>
      <c r="AB2080" s="146"/>
      <c r="AC2080" s="146"/>
      <c r="AD2080" s="146"/>
      <c r="AE2080" s="146"/>
      <c r="AF2080" s="146"/>
      <c r="AG2080" s="146"/>
      <c r="AH2080" s="146"/>
      <c r="AI2080" s="146"/>
      <c r="AJ2080" s="146"/>
    </row>
    <row r="2081" spans="1:36" x14ac:dyDescent="0.3">
      <c r="B2081" s="146"/>
      <c r="C2081" s="146"/>
      <c r="D2081" s="146"/>
      <c r="E2081" s="146"/>
      <c r="F2081" s="146"/>
      <c r="G2081" s="146"/>
      <c r="H2081" s="146"/>
      <c r="I2081" s="146"/>
      <c r="J2081" s="146"/>
      <c r="K2081" s="146"/>
      <c r="L2081" s="146"/>
      <c r="M2081" s="146"/>
      <c r="N2081" s="146"/>
      <c r="O2081" s="146"/>
      <c r="P2081" s="146"/>
      <c r="Q2081" s="146"/>
      <c r="R2081" s="146"/>
      <c r="S2081" s="146"/>
      <c r="T2081" s="146"/>
      <c r="U2081" s="146"/>
      <c r="V2081" s="146"/>
      <c r="W2081" s="146"/>
      <c r="X2081" s="146"/>
      <c r="Y2081" s="146"/>
      <c r="Z2081" s="146"/>
      <c r="AA2081" s="146"/>
      <c r="AB2081" s="146"/>
      <c r="AC2081" s="146"/>
      <c r="AD2081" s="146"/>
      <c r="AE2081" s="146"/>
      <c r="AF2081" s="146"/>
      <c r="AG2081" s="146"/>
      <c r="AH2081" s="146"/>
      <c r="AI2081" s="146"/>
      <c r="AJ2081" s="146"/>
    </row>
    <row r="2082" spans="1:36" x14ac:dyDescent="0.3">
      <c r="A2082" s="140"/>
      <c r="B2082" s="140"/>
      <c r="C2082" s="140"/>
      <c r="D2082" s="140"/>
      <c r="E2082" s="146"/>
      <c r="F2082" s="146"/>
      <c r="G2082" s="146"/>
      <c r="H2082" s="146"/>
      <c r="I2082" s="146"/>
      <c r="J2082" s="146"/>
      <c r="K2082" s="146"/>
      <c r="L2082" s="146"/>
      <c r="M2082" s="146"/>
      <c r="N2082" s="146"/>
      <c r="O2082" s="146"/>
      <c r="P2082" s="146"/>
      <c r="Q2082" s="146"/>
      <c r="R2082" s="146"/>
      <c r="S2082" s="146"/>
      <c r="T2082" s="146"/>
      <c r="U2082" s="146"/>
      <c r="V2082" s="146"/>
      <c r="W2082" s="146"/>
      <c r="X2082" s="146"/>
      <c r="Y2082" s="146"/>
      <c r="Z2082" s="146"/>
      <c r="AA2082" s="146"/>
      <c r="AB2082" s="146"/>
      <c r="AC2082" s="146"/>
      <c r="AD2082" s="146"/>
      <c r="AE2082" s="146"/>
      <c r="AF2082" s="146"/>
      <c r="AG2082" s="146"/>
      <c r="AH2082" s="146"/>
      <c r="AI2082" s="146"/>
      <c r="AJ2082" s="146"/>
    </row>
    <row r="2083" spans="1:36" x14ac:dyDescent="0.3">
      <c r="B2083" s="146"/>
      <c r="C2083" s="146"/>
      <c r="D2083" s="146"/>
      <c r="E2083" s="146"/>
      <c r="F2083" s="146"/>
      <c r="G2083" s="146"/>
      <c r="H2083" s="146"/>
      <c r="I2083" s="146"/>
      <c r="J2083" s="146"/>
      <c r="K2083" s="146"/>
      <c r="L2083" s="146"/>
      <c r="M2083" s="146"/>
      <c r="N2083" s="146"/>
      <c r="O2083" s="146"/>
      <c r="P2083" s="146"/>
      <c r="Q2083" s="146"/>
      <c r="R2083" s="146"/>
      <c r="S2083" s="146"/>
      <c r="T2083" s="146"/>
      <c r="U2083" s="146"/>
      <c r="V2083" s="146"/>
      <c r="W2083" s="146"/>
      <c r="X2083" s="146"/>
      <c r="Y2083" s="146"/>
      <c r="Z2083" s="146"/>
      <c r="AA2083" s="146"/>
      <c r="AB2083" s="146"/>
      <c r="AC2083" s="146"/>
      <c r="AD2083" s="146"/>
      <c r="AE2083" s="146"/>
      <c r="AF2083" s="146"/>
      <c r="AG2083" s="146"/>
      <c r="AH2083" s="146"/>
      <c r="AI2083" s="146"/>
      <c r="AJ2083" s="146"/>
    </row>
    <row r="2084" spans="1:36" x14ac:dyDescent="0.3">
      <c r="B2084" s="146"/>
      <c r="C2084" s="146"/>
      <c r="D2084" s="146"/>
      <c r="E2084" s="146"/>
      <c r="F2084" s="146"/>
      <c r="G2084" s="146"/>
      <c r="H2084" s="146"/>
      <c r="I2084" s="146"/>
      <c r="J2084" s="146"/>
      <c r="K2084" s="146"/>
      <c r="L2084" s="146"/>
      <c r="M2084" s="146"/>
      <c r="N2084" s="146"/>
      <c r="O2084" s="146"/>
      <c r="P2084" s="146"/>
      <c r="Q2084" s="146"/>
      <c r="R2084" s="146"/>
      <c r="S2084" s="146"/>
      <c r="T2084" s="146"/>
      <c r="U2084" s="146"/>
      <c r="V2084" s="146"/>
      <c r="W2084" s="146"/>
      <c r="X2084" s="146"/>
      <c r="Y2084" s="146"/>
      <c r="Z2084" s="146"/>
      <c r="AA2084" s="146"/>
      <c r="AB2084" s="146"/>
      <c r="AC2084" s="146"/>
      <c r="AD2084" s="146"/>
      <c r="AE2084" s="146"/>
      <c r="AF2084" s="146"/>
      <c r="AG2084" s="146"/>
      <c r="AH2084" s="146"/>
      <c r="AI2084" s="146"/>
      <c r="AJ2084" s="146"/>
    </row>
    <row r="2085" spans="1:36" x14ac:dyDescent="0.3">
      <c r="B2085" s="146"/>
      <c r="C2085" s="146"/>
      <c r="D2085" s="146"/>
      <c r="E2085" s="146"/>
      <c r="F2085" s="146"/>
      <c r="G2085" s="146"/>
      <c r="H2085" s="146"/>
      <c r="I2085" s="146"/>
      <c r="J2085" s="146"/>
      <c r="K2085" s="146"/>
      <c r="L2085" s="146"/>
      <c r="M2085" s="146"/>
      <c r="N2085" s="146"/>
      <c r="O2085" s="146"/>
      <c r="P2085" s="146"/>
      <c r="Q2085" s="146"/>
      <c r="R2085" s="146"/>
      <c r="S2085" s="146"/>
      <c r="T2085" s="146"/>
      <c r="U2085" s="146"/>
      <c r="V2085" s="146"/>
      <c r="W2085" s="146"/>
      <c r="X2085" s="146"/>
      <c r="Y2085" s="146"/>
      <c r="Z2085" s="146"/>
      <c r="AA2085" s="146"/>
      <c r="AB2085" s="146"/>
      <c r="AC2085" s="146"/>
      <c r="AD2085" s="146"/>
      <c r="AE2085" s="146"/>
      <c r="AF2085" s="146"/>
      <c r="AG2085" s="146"/>
      <c r="AH2085" s="146"/>
      <c r="AI2085" s="146"/>
      <c r="AJ2085" s="146"/>
    </row>
    <row r="2086" spans="1:36" x14ac:dyDescent="0.3">
      <c r="B2086" s="146"/>
      <c r="C2086" s="146"/>
      <c r="D2086" s="146"/>
      <c r="E2086" s="146"/>
      <c r="F2086" s="146"/>
      <c r="G2086" s="146"/>
      <c r="H2086" s="146"/>
      <c r="I2086" s="146"/>
      <c r="J2086" s="146"/>
      <c r="K2086" s="146"/>
      <c r="L2086" s="146"/>
      <c r="M2086" s="146"/>
      <c r="N2086" s="146"/>
      <c r="O2086" s="146"/>
      <c r="P2086" s="146"/>
      <c r="Q2086" s="146"/>
      <c r="R2086" s="146"/>
      <c r="S2086" s="146"/>
      <c r="T2086" s="146"/>
      <c r="U2086" s="146"/>
      <c r="V2086" s="146"/>
      <c r="W2086" s="146"/>
      <c r="X2086" s="146"/>
      <c r="Y2086" s="146"/>
      <c r="Z2086" s="146"/>
      <c r="AA2086" s="146"/>
      <c r="AB2086" s="146"/>
      <c r="AC2086" s="146"/>
      <c r="AD2086" s="146"/>
      <c r="AE2086" s="146"/>
      <c r="AF2086" s="146"/>
      <c r="AG2086" s="146"/>
      <c r="AH2086" s="146"/>
      <c r="AI2086" s="146"/>
      <c r="AJ2086" s="146"/>
    </row>
    <row r="2087" spans="1:36" x14ac:dyDescent="0.3">
      <c r="B2087" s="146"/>
      <c r="C2087" s="146"/>
      <c r="D2087" s="146"/>
      <c r="E2087" s="146"/>
      <c r="F2087" s="146"/>
      <c r="G2087" s="146"/>
      <c r="H2087" s="146"/>
      <c r="I2087" s="146"/>
      <c r="J2087" s="146"/>
      <c r="K2087" s="146"/>
      <c r="L2087" s="146"/>
      <c r="M2087" s="146"/>
      <c r="N2087" s="146"/>
      <c r="O2087" s="146"/>
      <c r="P2087" s="146"/>
      <c r="Q2087" s="146"/>
      <c r="R2087" s="146"/>
      <c r="S2087" s="146"/>
      <c r="T2087" s="146"/>
      <c r="U2087" s="146"/>
      <c r="V2087" s="146"/>
      <c r="W2087" s="146"/>
      <c r="X2087" s="146"/>
      <c r="Y2087" s="146"/>
      <c r="Z2087" s="146"/>
      <c r="AA2087" s="146"/>
      <c r="AB2087" s="146"/>
      <c r="AC2087" s="146"/>
      <c r="AD2087" s="146"/>
      <c r="AE2087" s="146"/>
      <c r="AF2087" s="146"/>
      <c r="AG2087" s="146"/>
      <c r="AH2087" s="146"/>
      <c r="AI2087" s="146"/>
      <c r="AJ2087" s="146"/>
    </row>
    <row r="2088" spans="1:36" x14ac:dyDescent="0.3">
      <c r="B2088" s="146"/>
      <c r="C2088" s="146"/>
      <c r="D2088" s="146"/>
      <c r="E2088" s="146"/>
      <c r="F2088" s="146"/>
      <c r="G2088" s="146"/>
      <c r="H2088" s="146"/>
      <c r="I2088" s="146"/>
      <c r="J2088" s="146"/>
      <c r="K2088" s="146"/>
      <c r="L2088" s="146"/>
      <c r="M2088" s="146"/>
      <c r="N2088" s="146"/>
      <c r="O2088" s="146"/>
      <c r="P2088" s="146"/>
      <c r="Q2088" s="146"/>
      <c r="R2088" s="146"/>
      <c r="S2088" s="146"/>
      <c r="T2088" s="146"/>
      <c r="U2088" s="146"/>
      <c r="V2088" s="146"/>
      <c r="W2088" s="146"/>
      <c r="X2088" s="146"/>
      <c r="Y2088" s="146"/>
      <c r="Z2088" s="146"/>
      <c r="AA2088" s="146"/>
      <c r="AB2088" s="146"/>
      <c r="AC2088" s="146"/>
      <c r="AD2088" s="146"/>
      <c r="AE2088" s="146"/>
      <c r="AF2088" s="146"/>
      <c r="AG2088" s="146"/>
      <c r="AH2088" s="146"/>
      <c r="AI2088" s="146"/>
      <c r="AJ2088" s="146"/>
    </row>
    <row r="2089" spans="1:36" x14ac:dyDescent="0.3">
      <c r="B2089" s="146"/>
      <c r="C2089" s="146"/>
      <c r="D2089" s="146"/>
      <c r="E2089" s="146"/>
      <c r="F2089" s="146"/>
      <c r="G2089" s="146"/>
      <c r="H2089" s="146"/>
      <c r="I2089" s="146"/>
      <c r="J2089" s="146"/>
      <c r="K2089" s="146"/>
      <c r="L2089" s="146"/>
      <c r="M2089" s="146"/>
      <c r="N2089" s="146"/>
      <c r="O2089" s="146"/>
      <c r="P2089" s="146"/>
      <c r="Q2089" s="146"/>
      <c r="R2089" s="146"/>
      <c r="S2089" s="146"/>
      <c r="T2089" s="146"/>
      <c r="U2089" s="146"/>
      <c r="V2089" s="146"/>
      <c r="W2089" s="146"/>
      <c r="X2089" s="146"/>
      <c r="Y2089" s="146"/>
      <c r="Z2089" s="146"/>
      <c r="AA2089" s="146"/>
      <c r="AB2089" s="146"/>
      <c r="AC2089" s="146"/>
      <c r="AD2089" s="146"/>
      <c r="AE2089" s="146"/>
      <c r="AF2089" s="146"/>
      <c r="AG2089" s="146"/>
      <c r="AH2089" s="146"/>
      <c r="AI2089" s="146"/>
      <c r="AJ2089" s="146"/>
    </row>
    <row r="2090" spans="1:36" x14ac:dyDescent="0.3">
      <c r="B2090" s="146"/>
      <c r="C2090" s="146"/>
      <c r="D2090" s="146"/>
      <c r="E2090" s="146"/>
      <c r="F2090" s="146"/>
      <c r="G2090" s="146"/>
      <c r="H2090" s="146"/>
      <c r="I2090" s="146"/>
      <c r="J2090" s="146"/>
      <c r="K2090" s="146"/>
      <c r="L2090" s="146"/>
      <c r="M2090" s="146"/>
      <c r="N2090" s="146"/>
      <c r="O2090" s="146"/>
      <c r="P2090" s="146"/>
      <c r="Q2090" s="146"/>
      <c r="R2090" s="146"/>
      <c r="S2090" s="146"/>
      <c r="T2090" s="146"/>
      <c r="U2090" s="146"/>
      <c r="V2090" s="146"/>
      <c r="W2090" s="146"/>
      <c r="X2090" s="146"/>
      <c r="Y2090" s="146"/>
      <c r="Z2090" s="146"/>
      <c r="AA2090" s="146"/>
      <c r="AB2090" s="146"/>
      <c r="AC2090" s="146"/>
      <c r="AD2090" s="146"/>
      <c r="AE2090" s="146"/>
      <c r="AF2090" s="146"/>
      <c r="AG2090" s="146"/>
      <c r="AH2090" s="146"/>
      <c r="AI2090" s="146"/>
      <c r="AJ2090" s="146"/>
    </row>
    <row r="2091" spans="1:36" x14ac:dyDescent="0.3">
      <c r="B2091" s="146"/>
      <c r="C2091" s="146"/>
      <c r="D2091" s="146"/>
      <c r="E2091" s="146"/>
      <c r="F2091" s="146"/>
      <c r="G2091" s="146"/>
      <c r="H2091" s="146"/>
      <c r="I2091" s="146"/>
      <c r="J2091" s="146"/>
      <c r="K2091" s="146"/>
      <c r="L2091" s="146"/>
      <c r="M2091" s="146"/>
      <c r="N2091" s="146"/>
      <c r="O2091" s="146"/>
      <c r="P2091" s="146"/>
      <c r="Q2091" s="146"/>
      <c r="R2091" s="146"/>
      <c r="S2091" s="146"/>
      <c r="T2091" s="146"/>
      <c r="U2091" s="146"/>
      <c r="V2091" s="146"/>
      <c r="W2091" s="146"/>
      <c r="X2091" s="146"/>
      <c r="Y2091" s="146"/>
      <c r="Z2091" s="146"/>
      <c r="AA2091" s="146"/>
      <c r="AB2091" s="146"/>
      <c r="AC2091" s="146"/>
      <c r="AD2091" s="146"/>
      <c r="AE2091" s="146"/>
      <c r="AF2091" s="146"/>
      <c r="AG2091" s="146"/>
      <c r="AH2091" s="146"/>
      <c r="AI2091" s="146"/>
      <c r="AJ2091" s="146"/>
    </row>
    <row r="2092" spans="1:36" x14ac:dyDescent="0.3">
      <c r="A2092" s="140"/>
      <c r="B2092" s="140"/>
      <c r="C2092" s="140"/>
      <c r="D2092" s="140"/>
      <c r="E2092" s="146"/>
      <c r="F2092" s="146"/>
      <c r="G2092" s="146"/>
      <c r="H2092" s="146"/>
      <c r="I2092" s="146"/>
      <c r="J2092" s="146"/>
      <c r="K2092" s="146"/>
      <c r="L2092" s="146"/>
      <c r="M2092" s="146"/>
      <c r="N2092" s="146"/>
      <c r="O2092" s="146"/>
      <c r="P2092" s="146"/>
      <c r="Q2092" s="146"/>
      <c r="R2092" s="146"/>
      <c r="S2092" s="146"/>
      <c r="T2092" s="146"/>
      <c r="U2092" s="146"/>
      <c r="V2092" s="146"/>
      <c r="W2092" s="146"/>
      <c r="X2092" s="146"/>
      <c r="Y2092" s="146"/>
      <c r="Z2092" s="146"/>
      <c r="AA2092" s="146"/>
      <c r="AB2092" s="146"/>
      <c r="AC2092" s="146"/>
      <c r="AD2092" s="146"/>
      <c r="AE2092" s="146"/>
      <c r="AF2092" s="146"/>
      <c r="AG2092" s="146"/>
      <c r="AH2092" s="146"/>
      <c r="AI2092" s="146"/>
      <c r="AJ2092" s="146"/>
    </row>
    <row r="2093" spans="1:36" x14ac:dyDescent="0.3">
      <c r="B2093" s="146"/>
      <c r="C2093" s="146"/>
      <c r="D2093" s="146"/>
      <c r="E2093" s="146"/>
      <c r="F2093" s="146"/>
      <c r="G2093" s="146"/>
      <c r="H2093" s="146"/>
      <c r="I2093" s="146"/>
      <c r="J2093" s="146"/>
      <c r="K2093" s="146"/>
      <c r="L2093" s="146"/>
      <c r="M2093" s="146"/>
      <c r="N2093" s="146"/>
      <c r="O2093" s="146"/>
      <c r="P2093" s="146"/>
      <c r="Q2093" s="146"/>
      <c r="R2093" s="146"/>
      <c r="S2093" s="146"/>
      <c r="T2093" s="146"/>
      <c r="U2093" s="146"/>
      <c r="V2093" s="146"/>
      <c r="W2093" s="146"/>
      <c r="X2093" s="146"/>
      <c r="Y2093" s="146"/>
      <c r="Z2093" s="146"/>
      <c r="AA2093" s="146"/>
      <c r="AB2093" s="146"/>
      <c r="AC2093" s="146"/>
      <c r="AD2093" s="146"/>
      <c r="AE2093" s="146"/>
      <c r="AF2093" s="146"/>
      <c r="AG2093" s="146"/>
      <c r="AH2093" s="146"/>
      <c r="AI2093" s="146"/>
      <c r="AJ2093" s="146"/>
    </row>
    <row r="2094" spans="1:36" x14ac:dyDescent="0.3">
      <c r="B2094" s="146"/>
      <c r="C2094" s="146"/>
      <c r="D2094" s="146"/>
      <c r="E2094" s="146"/>
      <c r="F2094" s="146"/>
      <c r="G2094" s="146"/>
      <c r="H2094" s="146"/>
      <c r="I2094" s="146"/>
      <c r="J2094" s="146"/>
      <c r="K2094" s="146"/>
      <c r="L2094" s="146"/>
      <c r="M2094" s="146"/>
      <c r="N2094" s="146"/>
      <c r="O2094" s="146"/>
      <c r="P2094" s="146"/>
      <c r="Q2094" s="146"/>
      <c r="R2094" s="146"/>
      <c r="S2094" s="146"/>
      <c r="T2094" s="146"/>
      <c r="U2094" s="146"/>
      <c r="V2094" s="146"/>
      <c r="W2094" s="146"/>
      <c r="X2094" s="146"/>
      <c r="Y2094" s="146"/>
      <c r="Z2094" s="146"/>
      <c r="AA2094" s="146"/>
      <c r="AB2094" s="146"/>
      <c r="AC2094" s="146"/>
      <c r="AD2094" s="146"/>
      <c r="AE2094" s="146"/>
      <c r="AF2094" s="146"/>
      <c r="AG2094" s="146"/>
      <c r="AH2094" s="146"/>
      <c r="AI2094" s="146"/>
      <c r="AJ2094" s="146"/>
    </row>
    <row r="2095" spans="1:36" x14ac:dyDescent="0.3">
      <c r="B2095" s="146"/>
      <c r="C2095" s="146"/>
      <c r="D2095" s="146"/>
      <c r="E2095" s="146"/>
      <c r="F2095" s="146"/>
      <c r="G2095" s="146"/>
      <c r="H2095" s="146"/>
      <c r="I2095" s="146"/>
      <c r="J2095" s="146"/>
      <c r="K2095" s="146"/>
      <c r="L2095" s="146"/>
      <c r="M2095" s="146"/>
      <c r="N2095" s="146"/>
      <c r="O2095" s="146"/>
      <c r="P2095" s="146"/>
      <c r="Q2095" s="146"/>
      <c r="R2095" s="146"/>
      <c r="S2095" s="146"/>
      <c r="T2095" s="146"/>
      <c r="U2095" s="146"/>
      <c r="V2095" s="146"/>
      <c r="W2095" s="146"/>
      <c r="X2095" s="146"/>
      <c r="Y2095" s="146"/>
      <c r="Z2095" s="146"/>
      <c r="AA2095" s="146"/>
      <c r="AB2095" s="146"/>
      <c r="AC2095" s="146"/>
      <c r="AD2095" s="146"/>
      <c r="AE2095" s="146"/>
      <c r="AF2095" s="146"/>
      <c r="AG2095" s="146"/>
      <c r="AH2095" s="146"/>
      <c r="AI2095" s="146"/>
      <c r="AJ2095" s="146"/>
    </row>
    <row r="2096" spans="1:36" x14ac:dyDescent="0.3">
      <c r="B2096" s="146"/>
      <c r="C2096" s="146"/>
      <c r="D2096" s="146"/>
      <c r="E2096" s="146"/>
      <c r="F2096" s="146"/>
      <c r="G2096" s="146"/>
      <c r="H2096" s="146"/>
      <c r="I2096" s="146"/>
      <c r="J2096" s="146"/>
      <c r="K2096" s="146"/>
      <c r="L2096" s="146"/>
      <c r="M2096" s="146"/>
      <c r="N2096" s="146"/>
      <c r="O2096" s="146"/>
      <c r="P2096" s="146"/>
      <c r="Q2096" s="146"/>
      <c r="R2096" s="146"/>
      <c r="S2096" s="146"/>
      <c r="T2096" s="146"/>
      <c r="U2096" s="146"/>
      <c r="V2096" s="146"/>
      <c r="W2096" s="146"/>
      <c r="X2096" s="146"/>
      <c r="Y2096" s="146"/>
      <c r="Z2096" s="146"/>
      <c r="AA2096" s="146"/>
      <c r="AB2096" s="146"/>
      <c r="AC2096" s="146"/>
      <c r="AD2096" s="146"/>
      <c r="AE2096" s="146"/>
      <c r="AF2096" s="146"/>
      <c r="AG2096" s="146"/>
      <c r="AH2096" s="146"/>
      <c r="AI2096" s="146"/>
      <c r="AJ2096" s="146"/>
    </row>
    <row r="2097" spans="2:50" x14ac:dyDescent="0.3">
      <c r="B2097" s="146"/>
      <c r="C2097" s="146"/>
      <c r="D2097" s="146"/>
      <c r="E2097" s="146"/>
      <c r="F2097" s="146"/>
      <c r="G2097" s="146"/>
      <c r="H2097" s="146"/>
      <c r="I2097" s="146"/>
      <c r="J2097" s="146"/>
      <c r="K2097" s="146"/>
      <c r="L2097" s="146"/>
      <c r="M2097" s="146"/>
      <c r="N2097" s="146"/>
      <c r="O2097" s="146"/>
      <c r="P2097" s="146"/>
      <c r="Q2097" s="146"/>
      <c r="R2097" s="146"/>
      <c r="S2097" s="146"/>
      <c r="T2097" s="146"/>
      <c r="U2097" s="146"/>
      <c r="V2097" s="146"/>
      <c r="W2097" s="146"/>
      <c r="X2097" s="146"/>
      <c r="Y2097" s="146"/>
      <c r="Z2097" s="146"/>
      <c r="AA2097" s="146"/>
      <c r="AB2097" s="146"/>
      <c r="AC2097" s="146"/>
      <c r="AD2097" s="146"/>
      <c r="AE2097" s="146"/>
      <c r="AF2097" s="146"/>
      <c r="AG2097" s="146"/>
      <c r="AH2097" s="146"/>
      <c r="AI2097" s="146"/>
      <c r="AJ2097" s="146"/>
    </row>
    <row r="2098" spans="2:50" x14ac:dyDescent="0.3">
      <c r="B2098" s="146"/>
      <c r="C2098" s="146"/>
      <c r="D2098" s="146"/>
      <c r="E2098" s="146"/>
      <c r="F2098" s="146"/>
      <c r="G2098" s="146"/>
      <c r="H2098" s="146"/>
      <c r="I2098" s="146"/>
      <c r="J2098" s="146"/>
      <c r="K2098" s="146"/>
      <c r="L2098" s="146"/>
      <c r="M2098" s="146"/>
      <c r="N2098" s="146"/>
      <c r="O2098" s="146"/>
      <c r="P2098" s="146"/>
      <c r="Q2098" s="146"/>
      <c r="R2098" s="146"/>
      <c r="S2098" s="146"/>
      <c r="T2098" s="146"/>
      <c r="U2098" s="146"/>
      <c r="V2098" s="146"/>
      <c r="W2098" s="146"/>
      <c r="X2098" s="146"/>
      <c r="Y2098" s="146"/>
      <c r="Z2098" s="146"/>
      <c r="AA2098" s="146"/>
      <c r="AB2098" s="146"/>
      <c r="AC2098" s="146"/>
      <c r="AD2098" s="146"/>
      <c r="AE2098" s="146"/>
      <c r="AF2098" s="146"/>
      <c r="AG2098" s="146"/>
      <c r="AH2098" s="146"/>
      <c r="AI2098" s="146"/>
      <c r="AJ2098" s="146"/>
    </row>
    <row r="2099" spans="2:50" x14ac:dyDescent="0.3">
      <c r="B2099" s="146"/>
      <c r="C2099" s="146"/>
      <c r="D2099" s="146"/>
      <c r="E2099" s="146"/>
      <c r="F2099" s="146"/>
      <c r="G2099" s="146"/>
      <c r="H2099" s="146"/>
      <c r="I2099" s="146"/>
      <c r="J2099" s="146"/>
      <c r="K2099" s="146"/>
      <c r="L2099" s="146"/>
      <c r="M2099" s="146"/>
      <c r="N2099" s="146"/>
      <c r="O2099" s="146"/>
      <c r="P2099" s="146"/>
      <c r="Q2099" s="146"/>
      <c r="R2099" s="146"/>
      <c r="S2099" s="146"/>
      <c r="T2099" s="146"/>
      <c r="U2099" s="146"/>
      <c r="V2099" s="146"/>
      <c r="W2099" s="146"/>
      <c r="X2099" s="146"/>
      <c r="Y2099" s="146"/>
      <c r="Z2099" s="146"/>
      <c r="AA2099" s="146"/>
      <c r="AB2099" s="146"/>
      <c r="AC2099" s="146"/>
      <c r="AD2099" s="146"/>
      <c r="AE2099" s="146"/>
      <c r="AF2099" s="146"/>
      <c r="AG2099" s="146"/>
      <c r="AH2099" s="146"/>
      <c r="AI2099" s="146"/>
      <c r="AJ2099" s="146"/>
    </row>
    <row r="2100" spans="2:50" x14ac:dyDescent="0.3">
      <c r="B2100" s="146"/>
      <c r="C2100" s="146"/>
      <c r="D2100" s="146"/>
      <c r="E2100" s="146"/>
      <c r="F2100" s="146"/>
      <c r="G2100" s="146"/>
      <c r="H2100" s="146"/>
      <c r="I2100" s="146"/>
      <c r="J2100" s="146"/>
      <c r="K2100" s="146"/>
      <c r="L2100" s="146"/>
      <c r="M2100" s="146"/>
      <c r="N2100" s="146"/>
      <c r="O2100" s="146"/>
      <c r="P2100" s="146"/>
      <c r="Q2100" s="146"/>
      <c r="R2100" s="146"/>
      <c r="S2100" s="146"/>
      <c r="T2100" s="146"/>
      <c r="U2100" s="146"/>
      <c r="V2100" s="146"/>
      <c r="W2100" s="146"/>
      <c r="X2100" s="146"/>
      <c r="Y2100" s="146"/>
      <c r="Z2100" s="146"/>
      <c r="AA2100" s="146"/>
      <c r="AB2100" s="146"/>
      <c r="AC2100" s="146"/>
      <c r="AD2100" s="146"/>
      <c r="AE2100" s="146"/>
      <c r="AF2100" s="146"/>
      <c r="AG2100" s="146"/>
      <c r="AH2100" s="146"/>
      <c r="AI2100" s="146"/>
      <c r="AJ2100" s="146"/>
    </row>
    <row r="2101" spans="2:50" x14ac:dyDescent="0.3">
      <c r="B2101" s="146"/>
      <c r="C2101" s="146"/>
      <c r="D2101" s="146"/>
      <c r="E2101" s="146"/>
      <c r="F2101" s="146"/>
      <c r="G2101" s="146"/>
      <c r="H2101" s="146"/>
      <c r="I2101" s="146"/>
      <c r="J2101" s="146"/>
      <c r="K2101" s="146"/>
      <c r="L2101" s="146"/>
      <c r="M2101" s="146"/>
      <c r="N2101" s="146"/>
      <c r="O2101" s="146"/>
      <c r="P2101" s="146"/>
      <c r="Q2101" s="146"/>
      <c r="R2101" s="146"/>
      <c r="S2101" s="146"/>
      <c r="T2101" s="146"/>
      <c r="U2101" s="146"/>
      <c r="V2101" s="146"/>
      <c r="W2101" s="146"/>
      <c r="X2101" s="146"/>
      <c r="Y2101" s="146"/>
      <c r="Z2101" s="146"/>
      <c r="AA2101" s="146"/>
      <c r="AB2101" s="146"/>
      <c r="AC2101" s="146"/>
      <c r="AD2101" s="146"/>
      <c r="AE2101" s="146"/>
      <c r="AF2101" s="146"/>
      <c r="AG2101" s="146"/>
      <c r="AH2101" s="146"/>
      <c r="AI2101" s="146"/>
      <c r="AJ2101" s="146"/>
    </row>
    <row r="2102" spans="2:50" s="160" customFormat="1" ht="15" thickBot="1" x14ac:dyDescent="0.35">
      <c r="B2102" s="140"/>
      <c r="AX2102"/>
    </row>
  </sheetData>
  <conditionalFormatting sqref="BD3:BD1602">
    <cfRule type="dataBar" priority="12">
      <dataBar>
        <cfvo type="min"/>
        <cfvo type="max"/>
        <color rgb="FF638EC6"/>
      </dataBar>
      <extLst>
        <ext xmlns:x14="http://schemas.microsoft.com/office/spreadsheetml/2009/9/main" uri="{B025F937-C7B1-47D3-B67F-A62EFF666E3E}">
          <x14:id>{37460E2C-3F2A-48F6-9B80-6D1BF36C6154}</x14:id>
        </ext>
      </extLst>
    </cfRule>
  </conditionalFormatting>
  <conditionalFormatting sqref="AZ3:AZ1602">
    <cfRule type="dataBar" priority="11">
      <dataBar>
        <cfvo type="min"/>
        <cfvo type="max"/>
        <color rgb="FF638EC6"/>
      </dataBar>
      <extLst>
        <ext xmlns:x14="http://schemas.microsoft.com/office/spreadsheetml/2009/9/main" uri="{B025F937-C7B1-47D3-B67F-A62EFF666E3E}">
          <x14:id>{E8032709-7791-4046-81CD-B7C6702EAAC2}</x14:id>
        </ext>
      </extLst>
    </cfRule>
  </conditionalFormatting>
  <conditionalFormatting sqref="BB3:BB1602">
    <cfRule type="dataBar" priority="10">
      <dataBar>
        <cfvo type="min"/>
        <cfvo type="max"/>
        <color rgb="FF63C384"/>
      </dataBar>
      <extLst>
        <ext xmlns:x14="http://schemas.microsoft.com/office/spreadsheetml/2009/9/main" uri="{B025F937-C7B1-47D3-B67F-A62EFF666E3E}">
          <x14:id>{9D38BEC8-A2F5-4590-B42B-612BA60B1203}</x14:id>
        </ext>
      </extLst>
    </cfRule>
  </conditionalFormatting>
  <conditionalFormatting sqref="E3:E1602">
    <cfRule type="dataBar" priority="9">
      <dataBar>
        <cfvo type="min"/>
        <cfvo type="max"/>
        <color rgb="FFFFB628"/>
      </dataBar>
      <extLst>
        <ext xmlns:x14="http://schemas.microsoft.com/office/spreadsheetml/2009/9/main" uri="{B025F937-C7B1-47D3-B67F-A62EFF666E3E}">
          <x14:id>{8695344C-AD46-49DD-ACC0-09E18B6C3A8E}</x14:id>
        </ext>
      </extLst>
    </cfRule>
  </conditionalFormatting>
  <conditionalFormatting sqref="BE3:BE1602">
    <cfRule type="dataBar" priority="8">
      <dataBar>
        <cfvo type="min"/>
        <cfvo type="max"/>
        <color rgb="FFFF555A"/>
      </dataBar>
      <extLst>
        <ext xmlns:x14="http://schemas.microsoft.com/office/spreadsheetml/2009/9/main" uri="{B025F937-C7B1-47D3-B67F-A62EFF666E3E}">
          <x14:id>{1557B64D-F582-43BC-A7E3-BC27F027E325}</x14:id>
        </ext>
      </extLst>
    </cfRule>
  </conditionalFormatting>
  <conditionalFormatting sqref="BC3:BC1602">
    <cfRule type="dataBar" priority="7">
      <dataBar>
        <cfvo type="min"/>
        <cfvo type="max"/>
        <color rgb="FFFFB628"/>
      </dataBar>
      <extLst>
        <ext xmlns:x14="http://schemas.microsoft.com/office/spreadsheetml/2009/9/main" uri="{B025F937-C7B1-47D3-B67F-A62EFF666E3E}">
          <x14:id>{C0A2755A-94F9-45CC-B635-73731F664E73}</x14:id>
        </ext>
      </extLst>
    </cfRule>
  </conditionalFormatting>
  <conditionalFormatting sqref="BF3:BF1602">
    <cfRule type="dataBar" priority="2">
      <dataBar>
        <cfvo type="min"/>
        <cfvo type="max"/>
        <color rgb="FFFFB628"/>
      </dataBar>
      <extLst>
        <ext xmlns:x14="http://schemas.microsoft.com/office/spreadsheetml/2009/9/main" uri="{B025F937-C7B1-47D3-B67F-A62EFF666E3E}">
          <x14:id>{062BB49F-654E-4634-BF55-E03A098E6636}</x14:id>
        </ext>
      </extLst>
    </cfRule>
  </conditionalFormatting>
  <conditionalFormatting sqref="BH3:BH1602">
    <cfRule type="dataBar" priority="5">
      <dataBar>
        <cfvo type="min"/>
        <cfvo type="max"/>
        <color rgb="FF63C384"/>
      </dataBar>
      <extLst>
        <ext xmlns:x14="http://schemas.microsoft.com/office/spreadsheetml/2009/9/main" uri="{B025F937-C7B1-47D3-B67F-A62EFF666E3E}">
          <x14:id>{E733AA67-0744-4635-B79B-67A713B0F364}</x14:id>
        </ext>
      </extLst>
    </cfRule>
  </conditionalFormatting>
  <conditionalFormatting sqref="BJ3:BJ1602">
    <cfRule type="dataBar" priority="1">
      <dataBar>
        <cfvo type="min"/>
        <cfvo type="max"/>
        <color rgb="FF638EC6"/>
      </dataBar>
      <extLst>
        <ext xmlns:x14="http://schemas.microsoft.com/office/spreadsheetml/2009/9/main" uri="{B025F937-C7B1-47D3-B67F-A62EFF666E3E}">
          <x14:id>{53C4DD5D-3A57-487C-B30B-3EEDCB3A4A5C}</x14:id>
        </ext>
      </extLst>
    </cfRule>
  </conditionalFormatting>
  <pageMargins left="0.7" right="0.7" top="0.75" bottom="0.75" header="0.3" footer="0.3"/>
  <pageSetup paperSize="9" orientation="portrait" verticalDpi="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37460E2C-3F2A-48F6-9B80-6D1BF36C6154}">
            <x14:dataBar minLength="0" maxLength="100" border="1" negativeBarBorderColorSameAsPositive="0">
              <x14:cfvo type="autoMin"/>
              <x14:cfvo type="autoMax"/>
              <x14:borderColor rgb="FF638EC6"/>
              <x14:negativeFillColor rgb="FFFF0000"/>
              <x14:negativeBorderColor rgb="FFFF0000"/>
              <x14:axisColor rgb="FF000000"/>
            </x14:dataBar>
          </x14:cfRule>
          <xm:sqref>BD3:BD1602</xm:sqref>
        </x14:conditionalFormatting>
        <x14:conditionalFormatting xmlns:xm="http://schemas.microsoft.com/office/excel/2006/main">
          <x14:cfRule type="dataBar" id="{E8032709-7791-4046-81CD-B7C6702EAAC2}">
            <x14:dataBar minLength="0" maxLength="100" border="1" negativeBarBorderColorSameAsPositive="0">
              <x14:cfvo type="autoMin"/>
              <x14:cfvo type="autoMax"/>
              <x14:borderColor rgb="FF638EC6"/>
              <x14:negativeFillColor rgb="FFFF0000"/>
              <x14:negativeBorderColor rgb="FFFF0000"/>
              <x14:axisColor rgb="FF000000"/>
            </x14:dataBar>
          </x14:cfRule>
          <xm:sqref>AZ3:AZ1602</xm:sqref>
        </x14:conditionalFormatting>
        <x14:conditionalFormatting xmlns:xm="http://schemas.microsoft.com/office/excel/2006/main">
          <x14:cfRule type="dataBar" id="{9D38BEC8-A2F5-4590-B42B-612BA60B1203}">
            <x14:dataBar minLength="0" maxLength="100" border="1" negativeBarBorderColorSameAsPositive="0">
              <x14:cfvo type="autoMin"/>
              <x14:cfvo type="autoMax"/>
              <x14:borderColor rgb="FF63C384"/>
              <x14:negativeFillColor rgb="FFFF0000"/>
              <x14:negativeBorderColor rgb="FFFF0000"/>
              <x14:axisColor rgb="FF000000"/>
            </x14:dataBar>
          </x14:cfRule>
          <xm:sqref>BB3:BB1602</xm:sqref>
        </x14:conditionalFormatting>
        <x14:conditionalFormatting xmlns:xm="http://schemas.microsoft.com/office/excel/2006/main">
          <x14:cfRule type="dataBar" id="{8695344C-AD46-49DD-ACC0-09E18B6C3A8E}">
            <x14:dataBar minLength="0" maxLength="100" border="1" negativeBarBorderColorSameAsPositive="0">
              <x14:cfvo type="autoMin"/>
              <x14:cfvo type="autoMax"/>
              <x14:borderColor rgb="FFFFB628"/>
              <x14:negativeFillColor rgb="FFFF0000"/>
              <x14:negativeBorderColor rgb="FFFF0000"/>
              <x14:axisColor rgb="FF000000"/>
            </x14:dataBar>
          </x14:cfRule>
          <xm:sqref>E3:E1602</xm:sqref>
        </x14:conditionalFormatting>
        <x14:conditionalFormatting xmlns:xm="http://schemas.microsoft.com/office/excel/2006/main">
          <x14:cfRule type="dataBar" id="{1557B64D-F582-43BC-A7E3-BC27F027E325}">
            <x14:dataBar minLength="0" maxLength="100" border="1" negativeBarBorderColorSameAsPositive="0">
              <x14:cfvo type="autoMin"/>
              <x14:cfvo type="autoMax"/>
              <x14:borderColor rgb="FFFF555A"/>
              <x14:negativeFillColor rgb="FFFF0000"/>
              <x14:negativeBorderColor rgb="FFFF0000"/>
              <x14:axisColor rgb="FF000000"/>
            </x14:dataBar>
          </x14:cfRule>
          <xm:sqref>BE3:BE1602</xm:sqref>
        </x14:conditionalFormatting>
        <x14:conditionalFormatting xmlns:xm="http://schemas.microsoft.com/office/excel/2006/main">
          <x14:cfRule type="dataBar" id="{C0A2755A-94F9-45CC-B635-73731F664E73}">
            <x14:dataBar minLength="0" maxLength="100" border="1" negativeBarBorderColorSameAsPositive="0">
              <x14:cfvo type="autoMin"/>
              <x14:cfvo type="autoMax"/>
              <x14:borderColor rgb="FFFFB628"/>
              <x14:negativeFillColor rgb="FFFF0000"/>
              <x14:negativeBorderColor rgb="FFFF0000"/>
              <x14:axisColor rgb="FF000000"/>
            </x14:dataBar>
          </x14:cfRule>
          <xm:sqref>BC3:BC1602</xm:sqref>
        </x14:conditionalFormatting>
        <x14:conditionalFormatting xmlns:xm="http://schemas.microsoft.com/office/excel/2006/main">
          <x14:cfRule type="dataBar" id="{062BB49F-654E-4634-BF55-E03A098E6636}">
            <x14:dataBar minLength="0" maxLength="100" gradient="0">
              <x14:cfvo type="autoMin"/>
              <x14:cfvo type="autoMax"/>
              <x14:negativeFillColor rgb="FFFF0000"/>
              <x14:axisColor rgb="FF000000"/>
            </x14:dataBar>
          </x14:cfRule>
          <xm:sqref>BF3:BF1602</xm:sqref>
        </x14:conditionalFormatting>
        <x14:conditionalFormatting xmlns:xm="http://schemas.microsoft.com/office/excel/2006/main">
          <x14:cfRule type="dataBar" id="{E733AA67-0744-4635-B79B-67A713B0F364}">
            <x14:dataBar minLength="0" maxLength="100" border="1" negativeBarBorderColorSameAsPositive="0">
              <x14:cfvo type="autoMin"/>
              <x14:cfvo type="autoMax"/>
              <x14:borderColor rgb="FF63C384"/>
              <x14:negativeFillColor rgb="FFFF0000"/>
              <x14:negativeBorderColor rgb="FFFF0000"/>
              <x14:axisColor rgb="FF000000"/>
            </x14:dataBar>
          </x14:cfRule>
          <xm:sqref>BH3:BH1602</xm:sqref>
        </x14:conditionalFormatting>
        <x14:conditionalFormatting xmlns:xm="http://schemas.microsoft.com/office/excel/2006/main">
          <x14:cfRule type="dataBar" id="{53C4DD5D-3A57-487C-B30B-3EEDCB3A4A5C}">
            <x14:dataBar minLength="0" maxLength="100" border="1" negativeBarBorderColorSameAsPositive="0">
              <x14:cfvo type="autoMin"/>
              <x14:cfvo type="autoMax"/>
              <x14:borderColor rgb="FF638EC6"/>
              <x14:negativeFillColor rgb="FFFF0000"/>
              <x14:negativeBorderColor rgb="FFFF0000"/>
              <x14:axisColor rgb="FF000000"/>
            </x14:dataBar>
          </x14:cfRule>
          <xm:sqref>BJ3:BJ1602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50</vt:i4>
      </vt:variant>
    </vt:vector>
  </HeadingPairs>
  <TitlesOfParts>
    <vt:vector size="60" baseType="lpstr">
      <vt:lpstr>Sheet1</vt:lpstr>
      <vt:lpstr>enzyme limited</vt:lpstr>
      <vt:lpstr>Electron transport</vt:lpstr>
      <vt:lpstr>light limited</vt:lpstr>
      <vt:lpstr>Model</vt:lpstr>
      <vt:lpstr>Render</vt:lpstr>
      <vt:lpstr>fitting</vt:lpstr>
      <vt:lpstr>Nmodel</vt:lpstr>
      <vt:lpstr>pivot chart</vt:lpstr>
      <vt:lpstr>sheet2</vt:lpstr>
      <vt:lpstr>_alpha</vt:lpstr>
      <vt:lpstr>_CL</vt:lpstr>
      <vt:lpstr>_CR</vt:lpstr>
      <vt:lpstr>_fNR_CR</vt:lpstr>
      <vt:lpstr>_GammaR</vt:lpstr>
      <vt:lpstr>_KR</vt:lpstr>
      <vt:lpstr>_m</vt:lpstr>
      <vt:lpstr>_Nl</vt:lpstr>
      <vt:lpstr>_NMAX</vt:lpstr>
      <vt:lpstr>_q</vt:lpstr>
      <vt:lpstr>_RR</vt:lpstr>
      <vt:lpstr>_TL</vt:lpstr>
      <vt:lpstr>_TR</vt:lpstr>
      <vt:lpstr>alpha</vt:lpstr>
      <vt:lpstr>assimilation</vt:lpstr>
      <vt:lpstr>atp_demand_enzyme</vt:lpstr>
      <vt:lpstr>chi_rubisco</vt:lpstr>
      <vt:lpstr>cm</vt:lpstr>
      <vt:lpstr>csiGDC</vt:lpstr>
      <vt:lpstr>fC</vt:lpstr>
      <vt:lpstr>fCS</vt:lpstr>
      <vt:lpstr>fcyc</vt:lpstr>
      <vt:lpstr>fPPDK</vt:lpstr>
      <vt:lpstr>fPR</vt:lpstr>
      <vt:lpstr>frlight</vt:lpstr>
      <vt:lpstr>gBs_t</vt:lpstr>
      <vt:lpstr>gM_t</vt:lpstr>
      <vt:lpstr>growth_rate</vt:lpstr>
      <vt:lpstr>Jatp</vt:lpstr>
      <vt:lpstr>jNADPH</vt:lpstr>
      <vt:lpstr>jsat</vt:lpstr>
      <vt:lpstr>Jsat_t</vt:lpstr>
      <vt:lpstr>Kc_t</vt:lpstr>
      <vt:lpstr>KO_t</vt:lpstr>
      <vt:lpstr>Kp_t</vt:lpstr>
      <vt:lpstr>N_level</vt:lpstr>
      <vt:lpstr>NADPH_demand_enzyme</vt:lpstr>
      <vt:lpstr>Nadph_demand_light</vt:lpstr>
      <vt:lpstr>OM</vt:lpstr>
      <vt:lpstr>par</vt:lpstr>
      <vt:lpstr>'light limited'!Print_Area</vt:lpstr>
      <vt:lpstr>Model!Print_Area</vt:lpstr>
      <vt:lpstr>R_light</vt:lpstr>
      <vt:lpstr>Rlight_t</vt:lpstr>
      <vt:lpstr>rPEPCK</vt:lpstr>
      <vt:lpstr>SCO_t</vt:lpstr>
      <vt:lpstr>t°K</vt:lpstr>
      <vt:lpstr>VcMax_t</vt:lpstr>
      <vt:lpstr>Vp_LL</vt:lpstr>
      <vt:lpstr>VpMax_t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Chandra</dc:creator>
  <cp:lastModifiedBy>uib</cp:lastModifiedBy>
  <cp:lastPrinted>2015-02-17T15:57:21Z</cp:lastPrinted>
  <dcterms:created xsi:type="dcterms:W3CDTF">2015-01-12T15:15:26Z</dcterms:created>
  <dcterms:modified xsi:type="dcterms:W3CDTF">2023-05-15T10:46:51Z</dcterms:modified>
</cp:coreProperties>
</file>