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B6" i="4"/>
  <c r="B4"/>
  <c r="B5"/>
  <c r="B7"/>
  <c r="C16"/>
  <c r="C4"/>
  <c r="L7" i="2" l="1"/>
  <c r="M7"/>
  <c r="M15" s="1"/>
  <c r="C15" i="4"/>
  <c r="C8"/>
  <c r="B13"/>
  <c r="C14"/>
  <c r="B15"/>
  <c r="C12"/>
  <c r="B11"/>
  <c r="C10"/>
  <c r="B9"/>
  <c r="C6"/>
  <c r="C9"/>
  <c r="C5"/>
  <c r="B8"/>
  <c r="C7"/>
  <c r="B14"/>
  <c r="C13"/>
  <c r="B10"/>
  <c r="B12"/>
  <c r="C11"/>
  <c r="B16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<sst xmlns="http://schemas.openxmlformats.org/spreadsheetml/2006/main" count="97" uniqueCount="45">
  <si>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</si>
  <si>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</si>
  <si>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</si>
  <si>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</si>
  <si>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</si>
  <si>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</si>
  <si>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</si>
  <si>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</si>
  <si>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</si>
  <si>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</si>
  <si>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</si>
  <si>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</si>
  <si>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</si>
  <si>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</si>
  <si>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</si>
  <si>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</si>
  <si>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</si>
  <si>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</si>
  <si>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</si>
  <si>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</si>
  <si>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</si>
  <si>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</si>
  <si>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</si>
  <si>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</si>
  <si>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</si>
  <si>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</si>
  <si>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</si>
  <si>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</si>
  <si>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</si>
  <si>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</si>
  <si>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</si>
  <si>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</si>
  <si>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</si>
  <si>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</si>
  <si>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</si>
  <si>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</si>
  <si>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</si>
  <si>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</si>
  <si>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</si>
  <si>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</si>
  <si>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</si>
  <si>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</si>
  <si>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</si>
  <si>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>closing</t>
  </si>
  <si>
    <t>?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</si>
</sst>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"/>
    <numFmt numFmtId="165" formatCode="[$-409]d\-mmm\-yy;@"/>
    <numFmt numFmtId="166" formatCode="_(* #,##0.0000_);_(* \(#,##0.0000\);_(* &quot;-&quot;??_);_(@_)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6" fontId="3" fillId="0" borderId="0" xfId="1" applyNumberFormat="1" applyFon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0" fillId="0" borderId="8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2" fontId="0" fillId="0" borderId="4" xfId="0" applyNumberFormat="1" applyBorder="1"/>
    <xf numFmtId="2" fontId="0" fillId="0" borderId="5" xfId="0" applyNumberForma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4" xfId="0" applyFont="1" applyBorder="1"/>
    <xf numFmtId="0" fontId="9" fillId="0" borderId="15" xfId="0" applyFont="1" applyBorder="1"/>
    <xf numFmtId="0" fontId="8" fillId="0" borderId="16" xfId="0" applyFont="1" applyBorder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10" xfId="0" applyNumberFormat="1" applyBorder="1"/>
    <xf numFmtId="164" fontId="8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7" t="s">
        <v>6</v>
      </c>
      <c r="B4" s="32" t="e">
        <f ca="1">_xll.RtGet("IDN","INR=IN","BID")</f>
        <v>#NAME?</v>
      </c>
      <c r="C4" s="33" t="e">
        <f ca="1">_xll.RtGet("IDN","INR=IN","ASK")</f>
        <v>#NAME?</v>
      </c>
      <c r="E4" s="42"/>
    </row>
    <row r="5" spans="1:5">
      <c r="A5" s="28" t="s">
        <v>16</v>
      </c>
      <c r="B5" s="30" t="e">
        <f ca="1">_xll.RtGet("IDN","JPY=","PRIMACT_1")</f>
        <v>#NAME?</v>
      </c>
      <c r="C5" s="31" t="e">
        <f ca="1">_xll.RtGet("IDN","JPY=","SEC_ACT_1")</f>
        <v>#NAME?</v>
      </c>
      <c r="E5" s="42"/>
    </row>
    <row r="6" spans="1:5">
      <c r="A6" s="28" t="s">
        <v>7</v>
      </c>
      <c r="B6" s="40" t="e">
        <f ca="1">_xll.RtGet("IDN","GBP=","PRIMACT_1")</f>
        <v>#NAME?</v>
      </c>
      <c r="C6" s="31" t="e">
        <f ca="1">_xll.RtGet("IDN","GBP=","SEC_ACT_1")</f>
        <v>#NAME?</v>
      </c>
      <c r="E6" s="42"/>
    </row>
    <row r="7" spans="1:5">
      <c r="A7" s="28" t="s">
        <v>8</v>
      </c>
      <c r="B7" s="40" t="e">
        <f ca="1">_xll.RtGet("IDN","EUR=","PRIMACT_1")</f>
        <v>#NAME?</v>
      </c>
      <c r="C7" s="31" t="e">
        <f ca="1">_xll.RtGet("IDN","EUR=","SEC_ACT_1")</f>
        <v>#NAME?</v>
      </c>
      <c r="E7" s="42"/>
    </row>
    <row r="8" spans="1:5">
      <c r="A8" s="28" t="s">
        <v>17</v>
      </c>
      <c r="B8" s="40" t="e">
        <f ca="1">_xll.RtGet("IDN","CHF=","PRIMACT_1")</f>
        <v>#NAME?</v>
      </c>
      <c r="C8" s="31" t="e">
        <f ca="1">_xll.RtGet("IDN","CHF=","SEC_ACT_1")</f>
        <v>#NAME?</v>
      </c>
      <c r="E8" s="42"/>
    </row>
    <row r="9" spans="1:5">
      <c r="A9" s="28" t="s">
        <v>18</v>
      </c>
      <c r="B9" s="30" t="e">
        <f ca="1">_xll.RtGet("IDN","AUD=","PRIMACT_1")</f>
        <v>#NAME?</v>
      </c>
      <c r="C9" s="31" t="e">
        <f ca="1">_xll.RtGet("IDN","AUD=","SEC_ACT_1")</f>
        <v>#NAME?</v>
      </c>
      <c r="E9" s="42"/>
    </row>
    <row r="10" spans="1:5">
      <c r="A10" s="28" t="s">
        <v>9</v>
      </c>
      <c r="B10" s="40" t="e">
        <f ca="1">_xll.RtGet("IDN","AED=","PRIMACT_1")</f>
        <v>#NAME?</v>
      </c>
      <c r="C10" s="31" t="e">
        <f ca="1">_xll.RtGet("IDN","AED=","SEC_ACT_1")</f>
        <v>#NAME?</v>
      </c>
      <c r="E10" s="42"/>
    </row>
    <row r="11" spans="1:5">
      <c r="A11" s="28" t="s">
        <v>10</v>
      </c>
      <c r="B11" s="30" t="e">
        <f ca="1">_xll.RtGet("IDN","SAR=","PRIMACT_1")</f>
        <v>#NAME?</v>
      </c>
      <c r="C11" s="31" t="e">
        <f ca="1">_xll.RtGet("IDN","SAR=","SEC_ACT_1")</f>
        <v>#NAME?</v>
      </c>
      <c r="E11" s="42"/>
    </row>
    <row r="12" spans="1:5">
      <c r="A12" s="28" t="s">
        <v>37</v>
      </c>
      <c r="B12" s="30" t="e">
        <f ca="1">_xll.RtGet("IDN","QAR=","PRIMACT_1")</f>
        <v>#NAME?</v>
      </c>
      <c r="C12" s="31" t="e">
        <f ca="1">_xll.RtGet("IDN","QAR=","SEC_ACT_1")</f>
        <v>#NAME?</v>
      </c>
      <c r="E12" s="42"/>
    </row>
    <row r="13" spans="1:5">
      <c r="A13" s="28" t="s">
        <v>11</v>
      </c>
      <c r="B13" s="30" t="e">
        <f ca="1">_xll.RtGet("IDN","OMR=","PRIMACT_1")</f>
        <v>#NAME?</v>
      </c>
      <c r="C13" s="31" t="e">
        <f ca="1">_xll.RtGet("IDN","OMR=","SEC_ACT_1")</f>
        <v>#NAME?</v>
      </c>
      <c r="E13" s="42"/>
    </row>
    <row r="14" spans="1:5">
      <c r="A14" s="28" t="s">
        <v>12</v>
      </c>
      <c r="B14" s="30" t="e">
        <f ca="1">_xll.RtGet("IDN","KWD=","PRIMACT_1")</f>
        <v>#NAME?</v>
      </c>
      <c r="C14" s="31" t="e">
        <f ca="1">_xll.RtGet("IDN","KWD=","SEC_ACT_1")</f>
        <v>#NAME?</v>
      </c>
      <c r="E14" s="42"/>
    </row>
    <row r="15" spans="1:5">
      <c r="A15" s="28" t="s">
        <v>23</v>
      </c>
      <c r="B15" s="40" t="e">
        <f ca="1">_xll.RtGet("IDN","BHD=","PRIMACT_1")</f>
        <v>#NAME?</v>
      </c>
      <c r="C15" s="31" t="e">
        <f ca="1">_xll.RtGet("IDN","BHD=","SEC_ACT_1")</f>
        <v>#NAME?</v>
      </c>
      <c r="E15" s="42"/>
    </row>
    <row r="16" spans="1:5" ht="15.75" thickBot="1">
      <c r="A16" s="29" t="s">
        <v>24</v>
      </c>
      <c r="B16" s="39" t="e">
        <f ca="1">_xll.RtGet("IDN","CAD=","PRIMACT_1")</f>
        <v>#NAME?</v>
      </c>
      <c r="C16" s="41" t="e">
        <f ca="1">_xll.RtGet("IDN","CAD=","SEC_ACT_1")</f>
        <v>#NAME?</v>
      </c>
      <c r="E16" s="42"/>
    </row>
    <row r="17" spans="5:5">
      <c r="E17" s="42"/>
    </row>
    <row r="18" spans="5:5">
      <c r="E18" s="42"/>
    </row>
    <row r="19" spans="5:5">
      <c r="E19" s="42"/>
    </row>
    <row r="20" spans="5:5">
      <c r="E20" s="42"/>
    </row>
    <row r="21" spans="5:5">
      <c r="E21" s="42"/>
    </row>
    <row r="22" spans="5:5">
      <c r="E22" s="42"/>
    </row>
    <row r="23" spans="5:5">
      <c r="E23" s="42"/>
    </row>
    <row r="24" spans="5:5">
      <c r="E24" s="42"/>
    </row>
    <row r="25" spans="5:5">
      <c r="E25" s="42"/>
    </row>
    <row r="26" spans="5:5">
      <c r="E26" s="42"/>
    </row>
    <row r="27" spans="5:5">
      <c r="E27" s="42"/>
    </row>
    <row r="28" spans="5:5">
      <c r="E28" s="42"/>
    </row>
    <row r="29" spans="5:5">
      <c r="E29" s="42"/>
    </row>
    <row r="30" spans="5:5">
      <c r="E30" s="42"/>
    </row>
    <row r="31" spans="5:5">
      <c r="E31" s="42"/>
    </row>
    <row r="32" spans="5:5">
      <c r="E32" s="42"/>
    </row>
    <row r="33" spans="5:13">
      <c r="E33" s="42"/>
    </row>
    <row r="34" spans="5:13">
      <c r="E34" s="42"/>
    </row>
    <row r="35" spans="5:13">
      <c r="M35" s="42"/>
    </row>
    <row r="36" spans="5:13">
      <c r="M36" s="42"/>
    </row>
    <row r="37" spans="5:13">
      <c r="M37" s="42"/>
    </row>
    <row r="38" spans="5:13">
      <c r="M38" s="42"/>
    </row>
    <row r="39" spans="5:13">
      <c r="M39" s="42"/>
    </row>
    <row r="40" spans="5:13">
      <c r="M40" s="42"/>
    </row>
    <row r="41" spans="5:13">
      <c r="M41" s="42"/>
    </row>
    <row r="42" spans="5:13">
      <c r="M42" s="42"/>
    </row>
    <row r="43" spans="5:13">
      <c r="M43" s="42"/>
    </row>
    <row r="44" spans="5:13">
      <c r="M44" s="42"/>
    </row>
    <row r="45" spans="5:13">
      <c r="M45" s="42"/>
    </row>
    <row r="46" spans="5:13">
      <c r="M46" s="42"/>
    </row>
    <row r="47" spans="5:13">
      <c r="M47" s="42"/>
    </row>
    <row r="48" spans="5:13">
      <c r="M48" s="42"/>
    </row>
    <row r="49" spans="13:13">
      <c r="M49" s="42"/>
    </row>
    <row r="50" spans="13:13">
      <c r="M50" s="42"/>
    </row>
    <row r="51" spans="13:13">
      <c r="M51" s="42"/>
    </row>
    <row r="52" spans="13:13">
      <c r="M52" s="42"/>
    </row>
    <row r="53" spans="13:13">
      <c r="M53" s="42"/>
    </row>
    <row r="54" spans="13:13">
      <c r="M54" s="42"/>
    </row>
    <row r="55" spans="13:13">
      <c r="M55" s="42"/>
    </row>
    <row r="56" spans="13:13">
      <c r="M56" s="42"/>
    </row>
    <row r="57" spans="13:13">
      <c r="M57" s="42"/>
    </row>
    <row r="58" spans="13:13">
      <c r="M58" s="42"/>
    </row>
    <row r="59" spans="13:13">
      <c r="M59" s="42"/>
    </row>
    <row r="60" spans="13:13">
      <c r="M60" s="42"/>
    </row>
    <row r="61" spans="13:13">
      <c r="M61" s="42"/>
    </row>
    <row r="62" spans="13:13">
      <c r="M62" s="42"/>
    </row>
    <row r="63" spans="13:13">
      <c r="M63" s="42"/>
    </row>
    <row r="64" spans="13:13">
      <c r="M64" s="42"/>
    </row>
    <row r="65" spans="13:13">
      <c r="M65" s="42"/>
    </row>
    <row r="66" spans="13:13">
      <c r="M66" s="42"/>
    </row>
    <row r="67" spans="13:13">
      <c r="M67" s="42"/>
    </row>
    <row r="68" spans="13:13">
      <c r="M68" s="42"/>
    </row>
    <row r="69" spans="13:13">
      <c r="M69" s="42"/>
    </row>
    <row r="70" spans="13:13">
      <c r="M70" s="42"/>
    </row>
    <row r="71" spans="13:13">
      <c r="M71" s="42"/>
    </row>
    <row r="72" spans="13:13">
      <c r="M72" s="42"/>
    </row>
    <row r="73" spans="13:13">
      <c r="M73" s="42"/>
    </row>
    <row r="74" spans="13:13">
      <c r="M74" s="42"/>
    </row>
    <row r="75" spans="13:13">
      <c r="M75" s="42"/>
    </row>
    <row r="76" spans="13:13">
      <c r="M76" s="42"/>
    </row>
    <row r="77" spans="13:13">
      <c r="M77" s="42"/>
    </row>
    <row r="78" spans="13:13">
      <c r="M78" s="42"/>
    </row>
    <row r="79" spans="13:13">
      <c r="M79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W448"/>
  <sheetViews>
    <sheetView tabSelected="1" workbookViewId="0">
      <selection activeCell="Q1" sqref="Q1:R1048576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bestFit="1" customWidth="1"/>
    <col min="14" max="16" width="10" customWidth="1"/>
    <col min="17" max="17" width="11.5703125" style="48" bestFit="1" customWidth="1"/>
    <col min="18" max="18" width="10.5703125" style="48" bestFit="1" customWidth="1"/>
    <col min="20" max="20" width="9.5703125" bestFit="1" customWidth="1"/>
    <col min="23" max="23" width="0" hidden="1" customWidth="1"/>
  </cols>
  <sheetData>
    <row r="1" spans="2:23" ht="26.25">
      <c r="L1" s="44"/>
      <c r="M1" s="44"/>
      <c r="N1" s="44"/>
      <c r="O1" s="44"/>
      <c r="P1" s="45"/>
    </row>
    <row r="2" spans="2:23">
      <c r="B2" s="55" t="s">
        <v>30</v>
      </c>
      <c r="C2" s="55"/>
      <c r="D2" s="55"/>
      <c r="E2" s="55"/>
      <c r="F2" s="55"/>
      <c r="G2" s="55"/>
      <c r="H2" s="55"/>
      <c r="I2" s="55"/>
      <c r="J2" s="55"/>
    </row>
    <row r="4" spans="2:23">
      <c r="B4" s="1" t="s">
        <v>29</v>
      </c>
      <c r="E4" s="37">
        <f ca="1">TODAY()</f>
        <v>43713</v>
      </c>
      <c r="G4" s="25" t="s">
        <v>43</v>
      </c>
      <c r="I4" s="1"/>
      <c r="J4" s="38">
        <v>17</v>
      </c>
      <c r="K4" s="26"/>
      <c r="L4" s="52" t="s">
        <v>20</v>
      </c>
      <c r="M4" s="52"/>
      <c r="N4" s="47"/>
      <c r="O4" s="46"/>
      <c r="P4" s="3"/>
      <c r="Q4" s="53" t="s">
        <v>25</v>
      </c>
      <c r="R4" s="53"/>
      <c r="S4" s="54" t="s">
        <v>26</v>
      </c>
      <c r="T4" s="54"/>
    </row>
    <row r="5" spans="2:23">
      <c r="L5" s="3" t="s">
        <v>21</v>
      </c>
      <c r="M5" s="3" t="s">
        <v>22</v>
      </c>
      <c r="N5" s="47"/>
      <c r="O5" s="46"/>
      <c r="P5" s="3"/>
      <c r="Q5" s="49" t="s">
        <v>21</v>
      </c>
      <c r="R5" s="49" t="s">
        <v>22</v>
      </c>
      <c r="S5" s="3" t="s">
        <v>21</v>
      </c>
      <c r="T5" s="3" t="s">
        <v>22</v>
      </c>
    </row>
    <row r="6" spans="2:23" ht="15.75" thickBot="1">
      <c r="B6" s="20" t="s">
        <v>13</v>
      </c>
      <c r="C6" s="21" t="s">
        <v>3</v>
      </c>
      <c r="D6" s="21" t="s">
        <v>1</v>
      </c>
      <c r="E6" s="21" t="s">
        <v>14</v>
      </c>
      <c r="F6" s="21" t="s">
        <v>5</v>
      </c>
      <c r="G6" s="21" t="s">
        <v>15</v>
      </c>
      <c r="H6" s="21" t="s">
        <v>0</v>
      </c>
      <c r="I6" s="21" t="s">
        <v>4</v>
      </c>
      <c r="J6" s="22" t="s">
        <v>2</v>
      </c>
    </row>
    <row r="7" spans="2:23">
      <c r="B7" s="11" t="s">
        <v>6</v>
      </c>
      <c r="C7" s="12">
        <f>M7*101.46%</f>
        <v>72.870601199999996</v>
      </c>
      <c r="D7" s="12">
        <f>L7*97.99%</f>
        <v>70.367598900000004</v>
      </c>
      <c r="E7" s="12">
        <f>M7*100.45%</f>
        <v>72.145199000000005</v>
      </c>
      <c r="F7" s="12">
        <f>M7*100.48%</f>
        <v>72.166745600000013</v>
      </c>
      <c r="G7" s="12">
        <f>L7*99.48%</f>
        <v>71.437582800000001</v>
      </c>
      <c r="H7" s="12">
        <f>L7*99.5%</f>
        <v>71.451945000000009</v>
      </c>
      <c r="I7" s="12">
        <f>M7*103.24%</f>
        <v>74.149032800000001</v>
      </c>
      <c r="J7" s="13">
        <f>L7*97.65%</f>
        <v>70.123441500000013</v>
      </c>
      <c r="L7" s="4">
        <f>Q7-T7/100</f>
        <v>71.811000000000007</v>
      </c>
      <c r="M7" s="4">
        <f>R7-S7/100</f>
        <v>71.822000000000003</v>
      </c>
      <c r="N7" s="4" t="s">
        <v>44</v>
      </c>
      <c r="O7" s="4" t="s">
        <v>44</v>
      </c>
      <c r="P7" s="27" t="s">
        <v>6</v>
      </c>
      <c r="Q7" s="32">
        <v>71.84</v>
      </c>
      <c r="R7" s="33">
        <v>71.850000000000009</v>
      </c>
      <c r="S7" s="5">
        <v>2.8</v>
      </c>
      <c r="T7" s="6">
        <v>2.9</v>
      </c>
      <c r="U7" s="2" t="s">
        <v>27</v>
      </c>
      <c r="V7" s="2"/>
      <c r="W7" t="s">
        <v>28</v>
      </c>
    </row>
    <row r="8" spans="2:23">
      <c r="B8" s="14" t="s">
        <v>16</v>
      </c>
      <c r="C8" s="15">
        <f>M8*101.96%</f>
        <v>68.650708915346385</v>
      </c>
      <c r="D8" s="15">
        <f>L8*98.17%</f>
        <v>66.070158106841617</v>
      </c>
      <c r="E8" s="15">
        <f>M8*100.94%</f>
        <v>67.963932502109316</v>
      </c>
      <c r="F8" s="15">
        <f>M8*100.98%</f>
        <v>67.990864910471558</v>
      </c>
      <c r="G8" s="15">
        <f>L8*99.1625%</f>
        <v>66.738128280224927</v>
      </c>
      <c r="H8" s="15">
        <f>L8*99.18%</f>
        <v>66.749906091846299</v>
      </c>
      <c r="I8" s="15">
        <f>M8*104%</f>
        <v>70.024261741820567</v>
      </c>
      <c r="J8" s="16">
        <f>L8*93.26%</f>
        <v>62.76564067478914</v>
      </c>
      <c r="L8" s="4">
        <f>L7/R8*100</f>
        <v>67.301780693533274</v>
      </c>
      <c r="M8" s="4">
        <f>M7/Q8*100</f>
        <v>67.331020905596702</v>
      </c>
      <c r="N8" s="4" t="s">
        <v>44</v>
      </c>
      <c r="O8" s="4" t="s">
        <v>44</v>
      </c>
      <c r="P8" s="28" t="s">
        <v>16</v>
      </c>
      <c r="Q8" s="40">
        <v>106.67</v>
      </c>
      <c r="R8" s="50">
        <v>106.7</v>
      </c>
      <c r="S8" s="7">
        <v>0</v>
      </c>
      <c r="T8" s="8">
        <v>0</v>
      </c>
    </row>
    <row r="9" spans="2:23">
      <c r="B9" s="14" t="s">
        <v>7</v>
      </c>
      <c r="C9" s="15">
        <f>M9*101.96%</f>
        <v>90.380109563039994</v>
      </c>
      <c r="D9" s="15">
        <f>L9*98.15%</f>
        <v>86.961304181700001</v>
      </c>
      <c r="E9" s="15">
        <f>M9*100.96%</f>
        <v>89.493682439039986</v>
      </c>
      <c r="F9" s="15">
        <f>M9*100.98%</f>
        <v>89.511410981520015</v>
      </c>
      <c r="G9" s="15">
        <f>L9*99.13%</f>
        <v>87.829588217340003</v>
      </c>
      <c r="H9" s="15">
        <f>L9*99.15%</f>
        <v>87.847308299700003</v>
      </c>
      <c r="I9" s="15">
        <f t="shared" ref="I9:I17" si="0">M9*104%</f>
        <v>92.188420896000011</v>
      </c>
      <c r="J9" s="16">
        <f>L9*93.23%</f>
        <v>82.602163921140004</v>
      </c>
      <c r="L9" s="4">
        <f>L7*Q9</f>
        <v>88.600411800000003</v>
      </c>
      <c r="M9" s="4">
        <f>M7*R9</f>
        <v>88.642712400000008</v>
      </c>
      <c r="N9" s="4" t="s">
        <v>44</v>
      </c>
      <c r="O9" s="4" t="s">
        <v>44</v>
      </c>
      <c r="P9" s="28" t="s">
        <v>7</v>
      </c>
      <c r="Q9" s="40">
        <v>1.2338</v>
      </c>
      <c r="R9" s="50">
        <v>1.2342</v>
      </c>
      <c r="S9" s="7">
        <v>0</v>
      </c>
      <c r="T9" s="8">
        <v>0</v>
      </c>
    </row>
    <row r="10" spans="2:23">
      <c r="B10" s="14" t="s">
        <v>8</v>
      </c>
      <c r="C10" s="15">
        <f>M10*101.96%</f>
        <v>81.028675442799994</v>
      </c>
      <c r="D10" s="15">
        <f>L10*98.14%</f>
        <v>77.952746363940022</v>
      </c>
      <c r="E10" s="15">
        <f>M10*100.96%</f>
        <v>80.233965012799999</v>
      </c>
      <c r="F10" s="15">
        <f>M10*100.98%</f>
        <v>80.249859221400015</v>
      </c>
      <c r="G10" s="15">
        <f>L10*99.13%</f>
        <v>78.739104820230011</v>
      </c>
      <c r="H10" s="15">
        <f>L10*99.13%</f>
        <v>78.739104820230011</v>
      </c>
      <c r="I10" s="15">
        <f t="shared" si="0"/>
        <v>82.649884720000017</v>
      </c>
      <c r="J10" s="16">
        <f>L10*93.24%</f>
        <v>74.060669156040007</v>
      </c>
      <c r="L10" s="4">
        <f>L7*Q10</f>
        <v>79.430147100000013</v>
      </c>
      <c r="M10" s="4">
        <f>M7*R10</f>
        <v>79.471043000000009</v>
      </c>
      <c r="N10" s="4" t="s">
        <v>44</v>
      </c>
      <c r="O10" s="4" t="s">
        <v>44</v>
      </c>
      <c r="P10" s="28" t="s">
        <v>8</v>
      </c>
      <c r="Q10" s="40">
        <v>1.1061000000000001</v>
      </c>
      <c r="R10" s="50">
        <v>1.1065</v>
      </c>
      <c r="S10" s="7">
        <v>0</v>
      </c>
      <c r="T10" s="8">
        <v>0</v>
      </c>
    </row>
    <row r="11" spans="2:23">
      <c r="B11" s="14" t="s">
        <v>17</v>
      </c>
      <c r="C11" s="15">
        <f>M11*101.96%</f>
        <v>74.526471809485031</v>
      </c>
      <c r="D11" s="15">
        <f>L11*98.14%</f>
        <v>71.694115361139382</v>
      </c>
      <c r="E11" s="15">
        <f>M11*100.96%</f>
        <v>73.795533482597179</v>
      </c>
      <c r="F11" s="15">
        <f>M11*100.98%</f>
        <v>73.810152249134958</v>
      </c>
      <c r="G11" s="15">
        <f>L11*99.13%</f>
        <v>72.417339064089518</v>
      </c>
      <c r="H11" s="15">
        <f>L11*99.13%</f>
        <v>72.417339064089518</v>
      </c>
      <c r="I11" s="15">
        <f t="shared" si="0"/>
        <v>76.017585996336251</v>
      </c>
      <c r="J11" s="16">
        <f>L11*93.24%</f>
        <v>68.114523296032544</v>
      </c>
      <c r="L11" s="4">
        <f>L7/R11</f>
        <v>73.052899287894206</v>
      </c>
      <c r="M11" s="4">
        <f>M7/Q11</f>
        <v>73.093832688784858</v>
      </c>
      <c r="N11" s="4" t="s">
        <v>44</v>
      </c>
      <c r="O11" s="4" t="s">
        <v>44</v>
      </c>
      <c r="P11" s="28" t="s">
        <v>17</v>
      </c>
      <c r="Q11" s="40">
        <v>0.98260000000000003</v>
      </c>
      <c r="R11" s="50">
        <v>0.9830000000000001</v>
      </c>
      <c r="S11" s="7">
        <v>0</v>
      </c>
      <c r="T11" s="8">
        <v>0</v>
      </c>
    </row>
    <row r="12" spans="2:23">
      <c r="B12" s="14" t="s">
        <v>18</v>
      </c>
      <c r="C12" s="15">
        <f>M12*101.96%</f>
        <v>49.964631951759998</v>
      </c>
      <c r="D12" s="15">
        <f>L12*98.14%</f>
        <v>48.071212634340014</v>
      </c>
      <c r="E12" s="15">
        <f>M12*100.96%</f>
        <v>49.474590445759993</v>
      </c>
      <c r="F12" s="15">
        <f>M12*100.98%</f>
        <v>49.484391275880007</v>
      </c>
      <c r="G12" s="15">
        <f>L12*99.13%</f>
        <v>48.556137237030008</v>
      </c>
      <c r="H12" s="15">
        <f>L12*99.13%</f>
        <v>48.556137237030008</v>
      </c>
      <c r="I12" s="15">
        <f t="shared" si="0"/>
        <v>50.964316624000006</v>
      </c>
      <c r="J12" s="16">
        <f>L12*93.24%</f>
        <v>45.671080762440006</v>
      </c>
      <c r="L12" s="4">
        <f>L7*Q12</f>
        <v>48.982283100000011</v>
      </c>
      <c r="M12" s="4">
        <f>M7*R12</f>
        <v>49.004150600000003</v>
      </c>
      <c r="N12" s="4" t="s">
        <v>44</v>
      </c>
      <c r="O12" s="4" t="s">
        <v>44</v>
      </c>
      <c r="P12" s="28" t="s">
        <v>18</v>
      </c>
      <c r="Q12" s="40">
        <v>0.68210000000000004</v>
      </c>
      <c r="R12" s="50">
        <v>0.68230000000000002</v>
      </c>
      <c r="S12" s="7">
        <v>0</v>
      </c>
      <c r="T12" s="8">
        <v>0</v>
      </c>
    </row>
    <row r="13" spans="2:23">
      <c r="B13" s="14" t="s">
        <v>9</v>
      </c>
      <c r="C13" s="15"/>
      <c r="D13" s="15"/>
      <c r="E13" s="15">
        <f>M13*101.49%</f>
        <v>19.846478926159879</v>
      </c>
      <c r="F13" s="15">
        <f>M13*101.49%</f>
        <v>19.846478926159879</v>
      </c>
      <c r="G13" s="15">
        <f>L13*98.5%</f>
        <v>19.255161290322583</v>
      </c>
      <c r="H13" s="15">
        <f>L13*98.5%</f>
        <v>19.255161290322583</v>
      </c>
      <c r="I13" s="15">
        <f t="shared" si="0"/>
        <v>20.337312132433023</v>
      </c>
      <c r="J13" s="16">
        <f>L13*92.56%</f>
        <v>18.093987096774196</v>
      </c>
      <c r="L13" s="4">
        <f>L7/R13</f>
        <v>19.548387096774196</v>
      </c>
      <c r="M13" s="4">
        <f>M7/Q13</f>
        <v>19.555107819647137</v>
      </c>
      <c r="N13" s="4" t="s">
        <v>44</v>
      </c>
      <c r="O13" s="4" t="s">
        <v>44</v>
      </c>
      <c r="P13" s="28" t="s">
        <v>9</v>
      </c>
      <c r="Q13" s="40">
        <v>3.6728000000000001</v>
      </c>
      <c r="R13" s="50">
        <v>3.6735000000000002</v>
      </c>
      <c r="S13" s="7">
        <v>0</v>
      </c>
      <c r="T13" s="8">
        <v>0</v>
      </c>
    </row>
    <row r="14" spans="2:23">
      <c r="B14" s="14" t="s">
        <v>10</v>
      </c>
      <c r="C14" s="15"/>
      <c r="D14" s="15"/>
      <c r="E14" s="15">
        <f>M14*101.49%</f>
        <v>19.434796512557988</v>
      </c>
      <c r="F14" s="15">
        <f>M14*101.49%</f>
        <v>19.434796512557988</v>
      </c>
      <c r="G14" s="15">
        <f>L14*98.5%</f>
        <v>18.858332888983686</v>
      </c>
      <c r="H14" s="15">
        <f>L14*98.5%</f>
        <v>18.858332888983686</v>
      </c>
      <c r="I14" s="15">
        <f t="shared" si="0"/>
        <v>19.915448194955474</v>
      </c>
      <c r="J14" s="16">
        <f>L14*92.56%</f>
        <v>17.721089260957662</v>
      </c>
      <c r="L14" s="4">
        <f>L7/R14</f>
        <v>19.14551562333369</v>
      </c>
      <c r="M14" s="4">
        <f>M7/Q14</f>
        <v>19.149469418226417</v>
      </c>
      <c r="N14" s="4" t="s">
        <v>44</v>
      </c>
      <c r="O14" s="4" t="s">
        <v>44</v>
      </c>
      <c r="P14" s="28" t="s">
        <v>10</v>
      </c>
      <c r="Q14" s="40">
        <v>3.7506000000000004</v>
      </c>
      <c r="R14" s="50">
        <v>3.7508000000000004</v>
      </c>
      <c r="S14" s="7">
        <v>0</v>
      </c>
      <c r="T14" s="8">
        <v>0</v>
      </c>
    </row>
    <row r="15" spans="2:23">
      <c r="B15" s="14" t="s">
        <v>19</v>
      </c>
      <c r="C15" s="15"/>
      <c r="D15" s="15"/>
      <c r="E15" s="15">
        <f>M15*101.49%</f>
        <v>20.025315329670331</v>
      </c>
      <c r="F15" s="15">
        <f>M15*101.49%</f>
        <v>20.025315329670331</v>
      </c>
      <c r="G15" s="15">
        <f>L15*98.5%</f>
        <v>19.421700988467872</v>
      </c>
      <c r="H15" s="15">
        <f>L15*98.5%</f>
        <v>19.421700988467872</v>
      </c>
      <c r="I15" s="15">
        <f t="shared" si="0"/>
        <v>20.520571428571433</v>
      </c>
      <c r="J15" s="16">
        <f>L15*92.56%</f>
        <v>18.250483690280063</v>
      </c>
      <c r="L15" s="4">
        <f>L7/R15</f>
        <v>19.717462932454694</v>
      </c>
      <c r="M15" s="4">
        <f>M7/Q15</f>
        <v>19.731318681318683</v>
      </c>
      <c r="N15" s="4" t="s">
        <v>44</v>
      </c>
      <c r="O15" s="4" t="s">
        <v>44</v>
      </c>
      <c r="P15" s="28" t="s">
        <v>37</v>
      </c>
      <c r="Q15" s="40">
        <v>3.64</v>
      </c>
      <c r="R15" s="50">
        <v>3.6420000000000003</v>
      </c>
      <c r="S15" s="7">
        <v>0</v>
      </c>
      <c r="T15" s="8">
        <v>0</v>
      </c>
    </row>
    <row r="16" spans="2:23">
      <c r="B16" s="14" t="s">
        <v>11</v>
      </c>
      <c r="C16" s="15"/>
      <c r="D16" s="15"/>
      <c r="E16" s="15">
        <f>M16*101.49%</f>
        <v>189.34008987479865</v>
      </c>
      <c r="F16" s="15">
        <f>M16*101.49%</f>
        <v>189.34008987479865</v>
      </c>
      <c r="G16" s="15">
        <f>L16*98.5%</f>
        <v>183.71470313230481</v>
      </c>
      <c r="H16" s="15">
        <f>L16*98.5%</f>
        <v>183.71470313230481</v>
      </c>
      <c r="I16" s="15">
        <f t="shared" si="0"/>
        <v>194.02275442880148</v>
      </c>
      <c r="J16" s="16">
        <f>L16*92.1%</f>
        <v>171.77791023842917</v>
      </c>
      <c r="L16" s="4">
        <f>L7/R16</f>
        <v>186.51238896680692</v>
      </c>
      <c r="M16" s="4">
        <f>M7/Q16</f>
        <v>186.56034079692449</v>
      </c>
      <c r="N16" s="4" t="s">
        <v>44</v>
      </c>
      <c r="O16" s="4" t="s">
        <v>44</v>
      </c>
      <c r="P16" s="28" t="s">
        <v>11</v>
      </c>
      <c r="Q16" s="40">
        <v>0.38498000000000004</v>
      </c>
      <c r="R16" s="50">
        <v>0.38502000000000003</v>
      </c>
      <c r="S16" s="7">
        <v>0</v>
      </c>
      <c r="T16" s="8">
        <v>0</v>
      </c>
    </row>
    <row r="17" spans="2:20">
      <c r="B17" s="18" t="s">
        <v>12</v>
      </c>
      <c r="C17" s="23"/>
      <c r="D17" s="23"/>
      <c r="E17" s="23">
        <f>M17*101.49%</f>
        <v>240.10853086501086</v>
      </c>
      <c r="F17" s="23">
        <f>M17*101.49%</f>
        <v>240.10853086501086</v>
      </c>
      <c r="G17" s="23">
        <f>L17*98.5%</f>
        <v>232.79195326641437</v>
      </c>
      <c r="H17" s="23">
        <f>L17*98.5%</f>
        <v>232.79195326641437</v>
      </c>
      <c r="I17" s="23">
        <f t="shared" si="0"/>
        <v>246.04677514987813</v>
      </c>
      <c r="J17" s="24">
        <f>L17*88.83%</f>
        <v>209.93816455487908</v>
      </c>
      <c r="L17" s="4">
        <f>L7/R17</f>
        <v>236.33700839229886</v>
      </c>
      <c r="M17" s="4">
        <f>M7/Q17</f>
        <v>236.58343764411359</v>
      </c>
      <c r="N17" s="4" t="s">
        <v>44</v>
      </c>
      <c r="O17" s="4" t="s">
        <v>44</v>
      </c>
      <c r="P17" s="28" t="s">
        <v>12</v>
      </c>
      <c r="Q17" s="40">
        <v>0.30358000000000002</v>
      </c>
      <c r="R17" s="50">
        <v>0.30385000000000001</v>
      </c>
      <c r="S17" s="7">
        <v>0</v>
      </c>
      <c r="T17" s="8">
        <v>0</v>
      </c>
    </row>
    <row r="18" spans="2:20">
      <c r="B18" s="17"/>
      <c r="C18" s="17"/>
      <c r="D18" s="17"/>
      <c r="E18" s="17"/>
      <c r="F18" s="17"/>
      <c r="G18" s="17"/>
      <c r="H18" s="17"/>
      <c r="I18" s="17"/>
      <c r="J18" s="17"/>
      <c r="L18" s="4">
        <f>L7/R18</f>
        <v>190.42454456259446</v>
      </c>
      <c r="M18" s="4">
        <f>M7/Q18</f>
        <v>190.47896886437172</v>
      </c>
      <c r="N18" s="4" t="s">
        <v>44</v>
      </c>
      <c r="O18" s="4" t="s">
        <v>44</v>
      </c>
      <c r="P18" s="28" t="s">
        <v>23</v>
      </c>
      <c r="Q18" s="40">
        <v>0.37706000000000001</v>
      </c>
      <c r="R18" s="50">
        <v>0.37711000000000006</v>
      </c>
      <c r="S18" s="7">
        <v>0</v>
      </c>
      <c r="T18" s="8">
        <v>0</v>
      </c>
    </row>
    <row r="19" spans="2:20" ht="15.75" thickBot="1">
      <c r="B19" t="s">
        <v>31</v>
      </c>
      <c r="C19" s="17"/>
      <c r="D19" s="17"/>
      <c r="E19" s="17"/>
      <c r="F19" s="17"/>
      <c r="G19" s="17"/>
      <c r="H19" s="17"/>
      <c r="I19" s="17"/>
      <c r="J19" s="17"/>
      <c r="L19" s="4">
        <f>L7/R19</f>
        <v>54.406394423819989</v>
      </c>
      <c r="M19" s="4">
        <f>M7/Q19</f>
        <v>54.422974918542089</v>
      </c>
      <c r="N19" s="4" t="s">
        <v>44</v>
      </c>
      <c r="O19" s="4" t="s">
        <v>44</v>
      </c>
      <c r="P19" s="29" t="s">
        <v>24</v>
      </c>
      <c r="Q19" s="39">
        <v>1.3197000000000001</v>
      </c>
      <c r="R19" s="41">
        <v>1.3199000000000001</v>
      </c>
      <c r="S19" s="9">
        <v>0</v>
      </c>
      <c r="T19" s="10">
        <v>0</v>
      </c>
    </row>
    <row r="20" spans="2:20">
      <c r="B20" t="s">
        <v>32</v>
      </c>
    </row>
    <row r="21" spans="2:20">
      <c r="B21" t="s">
        <v>33</v>
      </c>
      <c r="Q21" s="51" t="s">
        <v>38</v>
      </c>
    </row>
    <row r="22" spans="2:20" ht="15.75" thickBot="1">
      <c r="B22" t="s">
        <v>34</v>
      </c>
      <c r="J22" t="s">
        <v>42</v>
      </c>
      <c r="Q22" s="51" t="s">
        <v>39</v>
      </c>
    </row>
    <row r="23" spans="2:20" ht="27" thickBot="1">
      <c r="B23" s="19" t="s">
        <v>36</v>
      </c>
      <c r="L23" s="34" t="s">
        <v>40</v>
      </c>
      <c r="M23" s="35"/>
      <c r="N23" s="35"/>
      <c r="O23" s="35"/>
      <c r="P23" s="36"/>
    </row>
    <row r="24" spans="2:20">
      <c r="B24" t="s">
        <v>35</v>
      </c>
    </row>
    <row r="448" spans="3:3" ht="26.25">
      <c r="C448" s="43" t="s">
        <v>41</v>
      </c>
    </row>
  </sheetData>
  <mergeCells count="4">
    <mergeCell ref="L4:M4"/>
    <mergeCell ref="Q4:R4"/>
    <mergeCell ref="S4:T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2019-09-05T12:15:16Z</dcterms:modified>
</cp:coreProperties>
</file>