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200" windowHeight="9525" activeTab="2"/>
  </bookViews>
  <sheets>
    <sheet name="Sheet" sheetId="4" r:id="rId1"/>
    <sheet name="FWD" sheetId="5" r:id="rId2"/>
    <sheet name="WORKING" sheetId="2" r:id="rId3"/>
    <sheet name="Sheet1" sheetId="3" state="hidden" r:id="rId4"/>
  </sheets>
  <definedNames>
    <definedName name="_xlnm.Print_Area" localSheetId="2">WORKING!$B$2:$J$26</definedName>
  </definedNames>
  <calcPr calcId="125725"/>
</workbook>
</file>

<file path=xl/calcChain.xml><?xml version="1.0" encoding="utf-8"?>
<calcChain xmlns="http://schemas.openxmlformats.org/spreadsheetml/2006/main">
  <c r="E4" i="2"/>
  <c r="C16" i="4"/>
  <c r="C4"/>
  <c r="B6"/>
  <c r="B4"/>
  <c r="B5"/>
  <c r="B7"/>
  <c r="L7" i="2" l="1"/>
  <c r="M7"/>
  <c r="M15" s="1"/>
  <c r="B14" i="4"/>
  <c r="C14"/>
  <c r="B13"/>
  <c r="C7"/>
  <c r="B11"/>
  <c r="C15"/>
  <c r="B9"/>
  <c r="C10"/>
  <c r="B8"/>
  <c r="B15"/>
  <c r="C12"/>
  <c r="B12"/>
  <c r="C6"/>
  <c r="B16"/>
  <c r="C5"/>
  <c r="C13"/>
  <c r="C11"/>
  <c r="B10"/>
  <c r="C9"/>
  <c r="C8"/>
  <c r="L12" i="2" l="1"/>
  <c r="J12" s="1"/>
  <c r="G7"/>
  <c r="H7"/>
  <c r="M18"/>
  <c r="L13"/>
  <c r="C7"/>
  <c r="L14"/>
  <c r="F7"/>
  <c r="D7"/>
  <c r="M12"/>
  <c r="F12" s="1"/>
  <c r="M14"/>
  <c r="E14" s="1"/>
  <c r="M16"/>
  <c r="F16" s="1"/>
  <c r="M17"/>
  <c r="E17" s="1"/>
  <c r="M11"/>
  <c r="E11" s="1"/>
  <c r="M8"/>
  <c r="E8" s="1"/>
  <c r="M10"/>
  <c r="F10" s="1"/>
  <c r="L17"/>
  <c r="H17" s="1"/>
  <c r="M9"/>
  <c r="E9" s="1"/>
  <c r="M13"/>
  <c r="I13" s="1"/>
  <c r="L8"/>
  <c r="I7"/>
  <c r="M19"/>
  <c r="L9"/>
  <c r="J7"/>
  <c r="L18"/>
  <c r="L10"/>
  <c r="L16"/>
  <c r="L11"/>
  <c r="L15"/>
  <c r="L19"/>
  <c r="E7"/>
  <c r="F15"/>
  <c r="E15"/>
  <c r="I15"/>
  <c r="D12" l="1"/>
  <c r="G11"/>
  <c r="H11"/>
  <c r="G8"/>
  <c r="H8"/>
  <c r="G16"/>
  <c r="H16"/>
  <c r="G10"/>
  <c r="H10"/>
  <c r="G12"/>
  <c r="H12"/>
  <c r="J9"/>
  <c r="G9"/>
  <c r="H9"/>
  <c r="G14"/>
  <c r="H14"/>
  <c r="G15"/>
  <c r="H15"/>
  <c r="J13"/>
  <c r="G13"/>
  <c r="H13"/>
  <c r="E10"/>
  <c r="C10"/>
  <c r="J16"/>
  <c r="C9"/>
  <c r="J17"/>
  <c r="J14"/>
  <c r="I10"/>
  <c r="G17"/>
  <c r="E12"/>
  <c r="C12"/>
  <c r="D8"/>
  <c r="E16"/>
  <c r="F14"/>
  <c r="I12"/>
  <c r="I16"/>
  <c r="I14"/>
  <c r="C8"/>
  <c r="F9"/>
  <c r="F8"/>
  <c r="I8"/>
  <c r="D9"/>
  <c r="I11"/>
  <c r="J8"/>
  <c r="I17"/>
  <c r="F13"/>
  <c r="F11"/>
  <c r="I9"/>
  <c r="F17"/>
  <c r="E13"/>
  <c r="C11"/>
  <c r="D11"/>
  <c r="J10"/>
  <c r="D10"/>
  <c r="J11"/>
  <c r="J15"/>
</calcChain>
</file>

<file path=xl/sharedStrings.xml><?xml version="1.0" encoding="utf-8"?>
<sst xmlns="http://schemas.openxmlformats.org/spreadsheetml/2006/main" count="71" uniqueCount="44">
  <si>
    <t>BILL BUY</t>
  </si>
  <si>
    <t>TC BUY</t>
  </si>
  <si>
    <t>CCY BUY</t>
  </si>
  <si>
    <t>TC SELL</t>
  </si>
  <si>
    <t>CCY SELL</t>
  </si>
  <si>
    <t>BILL SELL</t>
  </si>
  <si>
    <t>USD</t>
  </si>
  <si>
    <t>GBP</t>
  </si>
  <si>
    <t>EUR</t>
  </si>
  <si>
    <t>AED</t>
  </si>
  <si>
    <t>SAR</t>
  </si>
  <si>
    <t>OMR</t>
  </si>
  <si>
    <t>KWD</t>
  </si>
  <si>
    <t>CCY</t>
  </si>
  <si>
    <t>TT SELL</t>
  </si>
  <si>
    <t>TT BUY</t>
  </si>
  <si>
    <t>JPY*</t>
  </si>
  <si>
    <t>CHF</t>
  </si>
  <si>
    <t>AUD</t>
  </si>
  <si>
    <t>QTR</t>
  </si>
  <si>
    <t>BASE RATE</t>
  </si>
  <si>
    <t>BID</t>
  </si>
  <si>
    <t>ASK</t>
  </si>
  <si>
    <t>BHD</t>
  </si>
  <si>
    <t>CAD</t>
  </si>
  <si>
    <t>SPOT RATE</t>
  </si>
  <si>
    <t>C/S DIFFERENCE</t>
  </si>
  <si>
    <t xml:space="preserve"> To be updated</t>
  </si>
  <si>
    <t>to be taken from daya sir sheet row no. 32</t>
  </si>
  <si>
    <t xml:space="preserve">CARD RATES AS OF:        </t>
  </si>
  <si>
    <t>ABU DHABI COMMERCIAL BANK - INDIA TREASURY</t>
  </si>
  <si>
    <t>1. Rates are subject to change without any notice</t>
  </si>
  <si>
    <t xml:space="preserve">2. *Represents rates per units of 100 </t>
  </si>
  <si>
    <t>3. TT/Bill  Buy and Sell rates of Gulf Currencies other than AED are only for information</t>
  </si>
  <si>
    <t>4. Errors &amp; Omissions are excepted</t>
  </si>
  <si>
    <t>6. Currency (USD, GBP, EUR) prices are adjusted in tune with market prices</t>
  </si>
  <si>
    <t xml:space="preserve">5. For amounts above USD 5,000.00 or equivalent, contact Treasury for rates </t>
  </si>
  <si>
    <t>QAR</t>
  </si>
  <si>
    <t>COPY-PASTSPECIAL-VALUE</t>
  </si>
  <si>
    <t>FROM sheet</t>
  </si>
  <si>
    <t>CHANGE THE DATE</t>
  </si>
  <si>
    <t>BANK MUSCAT OMAN</t>
  </si>
  <si>
    <t xml:space="preserve"> </t>
  </si>
  <si>
    <t>AUTOMATED BY CHANDU SANJITH T , HAPPY COADING!!!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</si>
</sst>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0"/>
    <numFmt numFmtId="165" formatCode="[$-409]d\-mmm\-yy;@"/>
    <numFmt numFmtId="167" formatCode="[$-409]h:mm:ss\ AM/PM;@"/>
  </numFmts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Border="1"/>
    <xf numFmtId="0" fontId="5" fillId="0" borderId="0" xfId="0" applyFont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0" fontId="6" fillId="0" borderId="0" xfId="0" applyFont="1" applyAlignment="1">
      <alignment horizontal="center"/>
    </xf>
    <xf numFmtId="18" fontId="0" fillId="0" borderId="0" xfId="0" applyNumberFormat="1"/>
    <xf numFmtId="16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164" fontId="0" fillId="0" borderId="12" xfId="0" applyNumberFormat="1" applyBorder="1"/>
    <xf numFmtId="164" fontId="0" fillId="0" borderId="13" xfId="0" applyNumberFormat="1" applyBorder="1"/>
    <xf numFmtId="0" fontId="9" fillId="0" borderId="15" xfId="0" applyFont="1" applyBorder="1"/>
    <xf numFmtId="0" fontId="8" fillId="0" borderId="16" xfId="0" applyFont="1" applyBorder="1"/>
    <xf numFmtId="0" fontId="8" fillId="0" borderId="0" xfId="0" applyFont="1"/>
    <xf numFmtId="165" fontId="2" fillId="0" borderId="0" xfId="0" applyNumberFormat="1" applyFont="1"/>
    <xf numFmtId="2" fontId="7" fillId="0" borderId="0" xfId="0" applyNumberFormat="1" applyFont="1"/>
    <xf numFmtId="164" fontId="0" fillId="0" borderId="1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7" fontId="0" fillId="0" borderId="0" xfId="0" applyNumberFormat="1"/>
    <xf numFmtId="0" fontId="9" fillId="0" borderId="0" xfId="0" applyFont="1"/>
    <xf numFmtId="0" fontId="9" fillId="0" borderId="0" xfId="0" applyFont="1" applyFill="1" applyBorder="1"/>
    <xf numFmtId="0" fontId="8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9" fillId="0" borderId="0" xfId="0" applyNumberFormat="1" applyFont="1" applyFill="1" applyBorder="1"/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1" applyNumberFormat="1" applyFont="1" applyFill="1"/>
    <xf numFmtId="164" fontId="9" fillId="0" borderId="14" xfId="0" applyNumberFormat="1" applyFont="1" applyBorder="1"/>
    <xf numFmtId="164" fontId="9" fillId="0" borderId="15" xfId="0" applyNumberFormat="1" applyFont="1" applyBorder="1"/>
    <xf numFmtId="164" fontId="0" fillId="5" borderId="0" xfId="0" applyNumberFormat="1" applyFill="1"/>
    <xf numFmtId="2" fontId="0" fillId="5" borderId="3" xfId="0" applyNumberFormat="1" applyFill="1" applyBorder="1"/>
    <xf numFmtId="2" fontId="0" fillId="5" borderId="0" xfId="0" applyNumberFormat="1" applyFill="1" applyBorder="1"/>
    <xf numFmtId="0" fontId="0" fillId="5" borderId="7" xfId="0" applyFill="1" applyBorder="1"/>
    <xf numFmtId="2" fontId="0" fillId="5" borderId="5" xfId="0" applyNumberFormat="1" applyFill="1" applyBorder="1"/>
    <xf numFmtId="2" fontId="0" fillId="5" borderId="4" xfId="0" applyNumberFormat="1" applyFill="1" applyBorder="1"/>
    <xf numFmtId="0" fontId="0" fillId="5" borderId="8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79"/>
  <sheetViews>
    <sheetView workbookViewId="0">
      <selection activeCell="B4" sqref="B4:C16"/>
    </sheetView>
  </sheetViews>
  <sheetFormatPr defaultRowHeight="15"/>
  <cols>
    <col min="5" max="5" width="11.5703125" bestFit="1" customWidth="1"/>
    <col min="10" max="10" width="13.42578125" customWidth="1"/>
    <col min="11" max="11" width="11" customWidth="1"/>
    <col min="13" max="13" width="11.42578125" customWidth="1"/>
    <col min="18" max="18" width="11.42578125" customWidth="1"/>
    <col min="19" max="19" width="11.42578125" bestFit="1" customWidth="1"/>
  </cols>
  <sheetData>
    <row r="3" spans="1:5" ht="15.75" thickBot="1"/>
    <row r="4" spans="1:5">
      <c r="A4" s="23" t="s">
        <v>6</v>
      </c>
      <c r="B4" s="28" t="e">
        <f ca="1">_xll.RtGet("IDN","INR=IN","BID")</f>
        <v>#NAME?</v>
      </c>
      <c r="C4" s="29" t="e">
        <f ca="1">_xll.RtGet("IDN","INR=IN","ASK")</f>
        <v>#NAME?</v>
      </c>
      <c r="E4" s="38"/>
    </row>
    <row r="5" spans="1:5">
      <c r="A5" s="24" t="s">
        <v>16</v>
      </c>
      <c r="B5" s="26" t="e">
        <f ca="1">_xll.RtGet("IDN","JPY=","PRIMACT_1")</f>
        <v>#NAME?</v>
      </c>
      <c r="C5" s="27" t="e">
        <f ca="1">_xll.RtGet("IDN","JPY=","SEC_ACT_1")</f>
        <v>#NAME?</v>
      </c>
      <c r="E5" s="38"/>
    </row>
    <row r="6" spans="1:5">
      <c r="A6" s="24" t="s">
        <v>7</v>
      </c>
      <c r="B6" s="36" t="e">
        <f ca="1">_xll.RtGet("IDN","GBP=","PRIMACT_1")</f>
        <v>#NAME?</v>
      </c>
      <c r="C6" s="27" t="e">
        <f ca="1">_xll.RtGet("IDN","GBP=","SEC_ACT_1")</f>
        <v>#NAME?</v>
      </c>
      <c r="E6" s="38"/>
    </row>
    <row r="7" spans="1:5">
      <c r="A7" s="24" t="s">
        <v>8</v>
      </c>
      <c r="B7" s="36" t="e">
        <f ca="1">_xll.RtGet("IDN","EUR=","PRIMACT_1")</f>
        <v>#NAME?</v>
      </c>
      <c r="C7" s="27" t="e">
        <f ca="1">_xll.RtGet("IDN","EUR=","SEC_ACT_1")</f>
        <v>#NAME?</v>
      </c>
      <c r="E7" s="38"/>
    </row>
    <row r="8" spans="1:5">
      <c r="A8" s="24" t="s">
        <v>17</v>
      </c>
      <c r="B8" s="36" t="e">
        <f ca="1">_xll.RtGet("IDN","CHF=","PRIMACT_1")</f>
        <v>#NAME?</v>
      </c>
      <c r="C8" s="27" t="e">
        <f ca="1">_xll.RtGet("IDN","CHF=","SEC_ACT_1")</f>
        <v>#NAME?</v>
      </c>
      <c r="E8" s="38"/>
    </row>
    <row r="9" spans="1:5">
      <c r="A9" s="24" t="s">
        <v>18</v>
      </c>
      <c r="B9" s="26" t="e">
        <f ca="1">_xll.RtGet("IDN","AUD=","PRIMACT_1")</f>
        <v>#NAME?</v>
      </c>
      <c r="C9" s="27" t="e">
        <f ca="1">_xll.RtGet("IDN","AUD=","SEC_ACT_1")</f>
        <v>#NAME?</v>
      </c>
      <c r="E9" s="38"/>
    </row>
    <row r="10" spans="1:5">
      <c r="A10" s="24" t="s">
        <v>9</v>
      </c>
      <c r="B10" s="36" t="e">
        <f ca="1">_xll.RtGet("IDN","AED=","PRIMACT_1")</f>
        <v>#NAME?</v>
      </c>
      <c r="C10" s="27" t="e">
        <f ca="1">_xll.RtGet("IDN","AED=","SEC_ACT_1")</f>
        <v>#NAME?</v>
      </c>
      <c r="E10" s="38"/>
    </row>
    <row r="11" spans="1:5">
      <c r="A11" s="24" t="s">
        <v>10</v>
      </c>
      <c r="B11" s="26" t="e">
        <f ca="1">_xll.RtGet("IDN","SAR=","PRIMACT_1")</f>
        <v>#NAME?</v>
      </c>
      <c r="C11" s="27" t="e">
        <f ca="1">_xll.RtGet("IDN","SAR=","SEC_ACT_1")</f>
        <v>#NAME?</v>
      </c>
      <c r="E11" s="38"/>
    </row>
    <row r="12" spans="1:5">
      <c r="A12" s="24" t="s">
        <v>37</v>
      </c>
      <c r="B12" s="26" t="e">
        <f ca="1">_xll.RtGet("IDN","QAR=","PRIMACT_1")</f>
        <v>#NAME?</v>
      </c>
      <c r="C12" s="27" t="e">
        <f ca="1">_xll.RtGet("IDN","QAR=","SEC_ACT_1")</f>
        <v>#NAME?</v>
      </c>
      <c r="E12" s="38"/>
    </row>
    <row r="13" spans="1:5">
      <c r="A13" s="24" t="s">
        <v>11</v>
      </c>
      <c r="B13" s="26" t="e">
        <f ca="1">_xll.RtGet("IDN","OMR=","PRIMACT_1")</f>
        <v>#NAME?</v>
      </c>
      <c r="C13" s="27" t="e">
        <f ca="1">_xll.RtGet("IDN","OMR=","SEC_ACT_1")</f>
        <v>#NAME?</v>
      </c>
      <c r="E13" s="38"/>
    </row>
    <row r="14" spans="1:5">
      <c r="A14" s="24" t="s">
        <v>12</v>
      </c>
      <c r="B14" s="26" t="e">
        <f ca="1">_xll.RtGet("IDN","KWD=","PRIMACT_1")</f>
        <v>#NAME?</v>
      </c>
      <c r="C14" s="27" t="e">
        <f ca="1">_xll.RtGet("IDN","KWD=","SEC_ACT_1")</f>
        <v>#NAME?</v>
      </c>
      <c r="E14" s="38"/>
    </row>
    <row r="15" spans="1:5">
      <c r="A15" s="24" t="s">
        <v>23</v>
      </c>
      <c r="B15" s="36" t="e">
        <f ca="1">_xll.RtGet("IDN","BHD=","PRIMACT_1")</f>
        <v>#NAME?</v>
      </c>
      <c r="C15" s="27" t="e">
        <f ca="1">_xll.RtGet("IDN","BHD=","SEC_ACT_1")</f>
        <v>#NAME?</v>
      </c>
      <c r="E15" s="38"/>
    </row>
    <row r="16" spans="1:5" ht="15.75" thickBot="1">
      <c r="A16" s="25" t="s">
        <v>24</v>
      </c>
      <c r="B16" s="35" t="e">
        <f ca="1">_xll.RtGet("IDN","CAD=","PRIMACT_1")</f>
        <v>#NAME?</v>
      </c>
      <c r="C16" s="37" t="e">
        <f ca="1">_xll.RtGet("IDN","CAD=","SEC_ACT_1")</f>
        <v>#NAME?</v>
      </c>
      <c r="E16" s="38"/>
    </row>
    <row r="17" spans="5:5">
      <c r="E17" s="38"/>
    </row>
    <row r="18" spans="5:5">
      <c r="E18" s="38"/>
    </row>
    <row r="19" spans="5:5">
      <c r="E19" s="38"/>
    </row>
    <row r="20" spans="5:5">
      <c r="E20" s="38"/>
    </row>
    <row r="21" spans="5:5">
      <c r="E21" s="38"/>
    </row>
    <row r="22" spans="5:5">
      <c r="E22" s="38"/>
    </row>
    <row r="23" spans="5:5">
      <c r="E23" s="38"/>
    </row>
    <row r="24" spans="5:5">
      <c r="E24" s="38"/>
    </row>
    <row r="25" spans="5:5">
      <c r="E25" s="38"/>
    </row>
    <row r="26" spans="5:5">
      <c r="E26" s="38"/>
    </row>
    <row r="27" spans="5:5">
      <c r="E27" s="38"/>
    </row>
    <row r="28" spans="5:5">
      <c r="E28" s="38"/>
    </row>
    <row r="29" spans="5:5">
      <c r="E29" s="38"/>
    </row>
    <row r="30" spans="5:5">
      <c r="E30" s="38"/>
    </row>
    <row r="31" spans="5:5">
      <c r="E31" s="38"/>
    </row>
    <row r="32" spans="5:5">
      <c r="E32" s="38"/>
    </row>
    <row r="33" spans="5:13">
      <c r="E33" s="38"/>
    </row>
    <row r="34" spans="5:13">
      <c r="E34" s="38"/>
    </row>
    <row r="35" spans="5:13">
      <c r="M35" s="38"/>
    </row>
    <row r="36" spans="5:13">
      <c r="M36" s="38"/>
    </row>
    <row r="37" spans="5:13">
      <c r="M37" s="38"/>
    </row>
    <row r="38" spans="5:13">
      <c r="M38" s="38"/>
    </row>
    <row r="39" spans="5:13">
      <c r="M39" s="38"/>
    </row>
    <row r="40" spans="5:13">
      <c r="M40" s="38"/>
    </row>
    <row r="41" spans="5:13">
      <c r="M41" s="38"/>
    </row>
    <row r="42" spans="5:13">
      <c r="M42" s="38"/>
    </row>
    <row r="43" spans="5:13">
      <c r="M43" s="38"/>
    </row>
    <row r="44" spans="5:13">
      <c r="M44" s="38"/>
    </row>
    <row r="45" spans="5:13">
      <c r="M45" s="38"/>
    </row>
    <row r="46" spans="5:13">
      <c r="M46" s="38"/>
    </row>
    <row r="47" spans="5:13">
      <c r="M47" s="38"/>
    </row>
    <row r="48" spans="5:13">
      <c r="M48" s="38"/>
    </row>
    <row r="49" spans="13:13">
      <c r="M49" s="38"/>
    </row>
    <row r="50" spans="13:13">
      <c r="M50" s="38"/>
    </row>
    <row r="51" spans="13:13">
      <c r="M51" s="38"/>
    </row>
    <row r="52" spans="13:13">
      <c r="M52" s="38"/>
    </row>
    <row r="53" spans="13:13">
      <c r="M53" s="38"/>
    </row>
    <row r="54" spans="13:13">
      <c r="M54" s="38"/>
    </row>
    <row r="55" spans="13:13">
      <c r="M55" s="38"/>
    </row>
    <row r="56" spans="13:13">
      <c r="M56" s="38"/>
    </row>
    <row r="57" spans="13:13">
      <c r="M57" s="38"/>
    </row>
    <row r="58" spans="13:13">
      <c r="M58" s="38"/>
    </row>
    <row r="59" spans="13:13">
      <c r="M59" s="38"/>
    </row>
    <row r="60" spans="13:13">
      <c r="M60" s="38"/>
    </row>
    <row r="61" spans="13:13">
      <c r="M61" s="38"/>
    </row>
    <row r="62" spans="13:13">
      <c r="M62" s="38"/>
    </row>
    <row r="63" spans="13:13">
      <c r="M63" s="38"/>
    </row>
    <row r="64" spans="13:13">
      <c r="M64" s="38"/>
    </row>
    <row r="65" spans="13:13">
      <c r="M65" s="38"/>
    </row>
    <row r="66" spans="13:13">
      <c r="M66" s="38"/>
    </row>
    <row r="67" spans="13:13">
      <c r="M67" s="38"/>
    </row>
    <row r="68" spans="13:13">
      <c r="M68" s="38"/>
    </row>
    <row r="69" spans="13:13">
      <c r="M69" s="38"/>
    </row>
    <row r="70" spans="13:13">
      <c r="M70" s="38"/>
    </row>
    <row r="71" spans="13:13">
      <c r="M71" s="38"/>
    </row>
    <row r="72" spans="13:13">
      <c r="M72" s="38"/>
    </row>
    <row r="73" spans="13:13">
      <c r="M73" s="38"/>
    </row>
    <row r="74" spans="13:13">
      <c r="M74" s="38"/>
    </row>
    <row r="75" spans="13:13">
      <c r="M75" s="38"/>
    </row>
    <row r="76" spans="13:13">
      <c r="M76" s="38"/>
    </row>
    <row r="77" spans="13:13">
      <c r="M77" s="38"/>
    </row>
    <row r="78" spans="13:13">
      <c r="M78" s="38"/>
    </row>
    <row r="79" spans="13:13">
      <c r="M79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4" sqref="I14"/>
    </sheetView>
  </sheetViews>
  <sheetFormatPr defaultRowHeight="15"/>
  <cols>
    <col min="1" max="1" width="11.5703125" bestFit="1" customWidth="1"/>
    <col min="2" max="2" width="12" customWidth="1"/>
    <col min="15" max="15" width="12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D448"/>
  <sheetViews>
    <sheetView tabSelected="1" workbookViewId="0">
      <selection activeCell="K17" sqref="K17"/>
    </sheetView>
  </sheetViews>
  <sheetFormatPr defaultRowHeight="15"/>
  <cols>
    <col min="1" max="1" width="5.140625" customWidth="1"/>
    <col min="2" max="2" width="7.28515625" customWidth="1"/>
    <col min="4" max="4" width="9.5703125" customWidth="1"/>
    <col min="5" max="5" width="10" customWidth="1"/>
    <col min="6" max="6" width="9.5703125" customWidth="1"/>
    <col min="7" max="7" width="10.28515625" customWidth="1"/>
    <col min="12" max="13" width="10" style="47" bestFit="1" customWidth="1"/>
    <col min="14" max="15" width="10" customWidth="1"/>
    <col min="16" max="16" width="11.5703125" bestFit="1" customWidth="1"/>
    <col min="17" max="17" width="10.5703125" bestFit="1" customWidth="1"/>
    <col min="19" max="19" width="9.5703125" bestFit="1" customWidth="1"/>
    <col min="22" max="22" width="0" hidden="1" customWidth="1"/>
  </cols>
  <sheetData>
    <row r="1" spans="2:30" ht="26.25">
      <c r="H1" t="s">
        <v>43</v>
      </c>
      <c r="L1" s="46"/>
      <c r="M1" s="46"/>
      <c r="N1" s="40"/>
      <c r="O1" s="41"/>
    </row>
    <row r="2" spans="2:30">
      <c r="B2" s="45" t="s">
        <v>30</v>
      </c>
      <c r="C2" s="45"/>
      <c r="D2" s="45"/>
      <c r="E2" s="45"/>
      <c r="F2" s="45"/>
      <c r="G2" s="45"/>
      <c r="H2" s="45"/>
      <c r="I2" s="45"/>
      <c r="J2" s="45"/>
    </row>
    <row r="4" spans="2:30">
      <c r="B4" s="1" t="s">
        <v>29</v>
      </c>
      <c r="E4" s="33">
        <f ca="1">TODAY()</f>
        <v>43712</v>
      </c>
      <c r="G4" s="21"/>
      <c r="I4" s="1"/>
      <c r="J4" s="34">
        <v>9.18</v>
      </c>
      <c r="K4" s="22"/>
      <c r="L4" s="48" t="s">
        <v>20</v>
      </c>
      <c r="M4" s="48"/>
      <c r="N4" s="42"/>
      <c r="O4" s="3"/>
      <c r="P4" s="43" t="s">
        <v>25</v>
      </c>
      <c r="Q4" s="43"/>
      <c r="R4" s="44" t="s">
        <v>26</v>
      </c>
      <c r="S4" s="44"/>
    </row>
    <row r="5" spans="2:30">
      <c r="L5" s="49" t="s">
        <v>21</v>
      </c>
      <c r="M5" s="49" t="s">
        <v>22</v>
      </c>
      <c r="N5" s="42"/>
      <c r="O5" s="3"/>
      <c r="P5" s="3" t="s">
        <v>21</v>
      </c>
      <c r="Q5" s="3" t="s">
        <v>22</v>
      </c>
      <c r="R5" s="3" t="s">
        <v>21</v>
      </c>
      <c r="S5" s="3" t="s">
        <v>22</v>
      </c>
    </row>
    <row r="6" spans="2:30" ht="15.75" thickBot="1">
      <c r="B6" s="18" t="s">
        <v>13</v>
      </c>
      <c r="C6" s="19" t="s">
        <v>3</v>
      </c>
      <c r="D6" s="19" t="s">
        <v>1</v>
      </c>
      <c r="E6" s="19" t="s">
        <v>14</v>
      </c>
      <c r="F6" s="19" t="s">
        <v>5</v>
      </c>
      <c r="G6" s="19" t="s">
        <v>15</v>
      </c>
      <c r="H6" s="19" t="s">
        <v>0</v>
      </c>
      <c r="I6" s="19" t="s">
        <v>4</v>
      </c>
      <c r="J6" s="20" t="s">
        <v>2</v>
      </c>
    </row>
    <row r="7" spans="2:30">
      <c r="B7" s="10" t="s">
        <v>6</v>
      </c>
      <c r="C7" s="11">
        <f>M7*101.46%</f>
        <v>73.2911529</v>
      </c>
      <c r="D7" s="11">
        <f>L7*97.99%</f>
        <v>70.773767450000008</v>
      </c>
      <c r="E7" s="11">
        <f>M7*100.45%</f>
        <v>72.561564250000004</v>
      </c>
      <c r="F7" s="11">
        <f>M7*100.48%</f>
        <v>72.583235200000018</v>
      </c>
      <c r="G7" s="11">
        <f>L7*99.48%</f>
        <v>71.849927400000013</v>
      </c>
      <c r="H7" s="11">
        <f>L7*99.5%</f>
        <v>71.864372500000016</v>
      </c>
      <c r="I7" s="11">
        <f>M7*103.24%</f>
        <v>74.576962600000002</v>
      </c>
      <c r="J7" s="12">
        <f>L7*97.65%</f>
        <v>70.528200750000011</v>
      </c>
      <c r="L7" s="50">
        <f>P7-S7/100</f>
        <v>72.225500000000011</v>
      </c>
      <c r="M7" s="50">
        <f>Q7-R7/100</f>
        <v>72.236500000000007</v>
      </c>
      <c r="N7" s="50">
        <v>72.231000000000009</v>
      </c>
      <c r="O7" s="23" t="s">
        <v>6</v>
      </c>
      <c r="P7" s="28">
        <v>72.240000000000009</v>
      </c>
      <c r="Q7" s="29">
        <v>72.25</v>
      </c>
      <c r="R7" s="4">
        <v>1.35</v>
      </c>
      <c r="S7" s="5">
        <v>1.45</v>
      </c>
      <c r="T7" s="2" t="s">
        <v>27</v>
      </c>
      <c r="U7" s="2"/>
      <c r="V7" t="s">
        <v>28</v>
      </c>
      <c r="AD7">
        <v>144.46200000000002</v>
      </c>
    </row>
    <row r="8" spans="2:30">
      <c r="B8" s="13" t="s">
        <v>16</v>
      </c>
      <c r="C8" s="14">
        <f>M8*101.96%</f>
        <v>69.52925082601719</v>
      </c>
      <c r="D8" s="14">
        <f>L8*98.17%</f>
        <v>66.928236124221272</v>
      </c>
      <c r="E8" s="14">
        <f>M8*100.94%</f>
        <v>68.833685547059403</v>
      </c>
      <c r="F8" s="14">
        <f>M8*100.98%</f>
        <v>68.860962616822448</v>
      </c>
      <c r="G8" s="14">
        <f>L8*99.1625%</f>
        <v>67.604881477723254</v>
      </c>
      <c r="H8" s="14">
        <f>L8*99.18%</f>
        <v>67.616812252218253</v>
      </c>
      <c r="I8" s="14">
        <f>M8*104%</f>
        <v>70.920381383932806</v>
      </c>
      <c r="J8" s="15">
        <f>L8*93.26%</f>
        <v>63.580801680196352</v>
      </c>
      <c r="L8" s="50">
        <f>L7/Q8*100</f>
        <v>68.175854257126687</v>
      </c>
      <c r="M8" s="50">
        <f>M7/P8*100</f>
        <v>68.192674407627692</v>
      </c>
      <c r="N8" s="50">
        <v>68.184264332377182</v>
      </c>
      <c r="O8" s="24" t="s">
        <v>16</v>
      </c>
      <c r="P8" s="26">
        <v>105.93</v>
      </c>
      <c r="Q8" s="27">
        <v>105.94</v>
      </c>
      <c r="R8" s="6">
        <v>0</v>
      </c>
      <c r="S8" s="7">
        <v>0</v>
      </c>
      <c r="AD8">
        <v>136.36852866475436</v>
      </c>
    </row>
    <row r="9" spans="2:30">
      <c r="B9" s="13" t="s">
        <v>7</v>
      </c>
      <c r="C9" s="14">
        <f>M9*101.96%</f>
        <v>89.192978169400007</v>
      </c>
      <c r="D9" s="14">
        <f>L9*98.15%</f>
        <v>85.839887577925026</v>
      </c>
      <c r="E9" s="14">
        <f>M9*100.96%</f>
        <v>88.318194154400004</v>
      </c>
      <c r="F9" s="14">
        <f>M9*100.98%</f>
        <v>88.33568983470002</v>
      </c>
      <c r="G9" s="14">
        <f>L9*99.13%</f>
        <v>86.696974585835008</v>
      </c>
      <c r="H9" s="14">
        <f>L9*99.15%</f>
        <v>86.714466157425022</v>
      </c>
      <c r="I9" s="14">
        <f t="shared" ref="I9:I17" si="0">M9*104%</f>
        <v>90.977537560000016</v>
      </c>
      <c r="J9" s="15">
        <f>L9*93.23%</f>
        <v>81.536960966785017</v>
      </c>
      <c r="L9" s="50">
        <f>L7*P9</f>
        <v>87.457857950000019</v>
      </c>
      <c r="M9" s="50">
        <f>M7*Q9</f>
        <v>87.478401500000018</v>
      </c>
      <c r="N9" s="50">
        <v>87.468129725000011</v>
      </c>
      <c r="O9" s="24" t="s">
        <v>7</v>
      </c>
      <c r="P9" s="36">
        <v>1.2109000000000001</v>
      </c>
      <c r="Q9" s="27">
        <v>1.2110000000000001</v>
      </c>
      <c r="R9" s="6">
        <v>0</v>
      </c>
      <c r="S9" s="7">
        <v>0</v>
      </c>
      <c r="AD9">
        <v>174.93625945000002</v>
      </c>
    </row>
    <row r="10" spans="2:30">
      <c r="B10" s="13" t="s">
        <v>8</v>
      </c>
      <c r="C10" s="14">
        <f>M10*101.96%</f>
        <v>80.848168568580007</v>
      </c>
      <c r="D10" s="14">
        <f>L10*98.14%</f>
        <v>77.778934584609999</v>
      </c>
      <c r="E10" s="14">
        <f>M10*100.96%</f>
        <v>80.055228508080006</v>
      </c>
      <c r="F10" s="14">
        <f>M10*100.98%</f>
        <v>80.071087309290021</v>
      </c>
      <c r="G10" s="14">
        <f>L10*99.13%</f>
        <v>78.563539691995004</v>
      </c>
      <c r="H10" s="14">
        <f>L10*99.13%</f>
        <v>78.563539691995004</v>
      </c>
      <c r="I10" s="14">
        <f t="shared" si="0"/>
        <v>82.465766292000026</v>
      </c>
      <c r="J10" s="15">
        <f>L10*93.24%</f>
        <v>73.895535568259987</v>
      </c>
      <c r="L10" s="50">
        <f>L7*P10</f>
        <v>79.253041150000001</v>
      </c>
      <c r="M10" s="50">
        <f>M7*Q10</f>
        <v>79.294006050000021</v>
      </c>
      <c r="N10" s="50">
        <v>79.273523600000004</v>
      </c>
      <c r="O10" s="24" t="s">
        <v>8</v>
      </c>
      <c r="P10" s="36">
        <v>1.0972999999999999</v>
      </c>
      <c r="Q10" s="27">
        <v>1.0977000000000001</v>
      </c>
      <c r="R10" s="6">
        <v>0</v>
      </c>
      <c r="S10" s="7">
        <v>0</v>
      </c>
      <c r="AD10">
        <v>158.54704720000001</v>
      </c>
    </row>
    <row r="11" spans="2:30">
      <c r="B11" s="13" t="s">
        <v>17</v>
      </c>
      <c r="C11" s="14">
        <f>M11*101.96%</f>
        <v>74.652681329819572</v>
      </c>
      <c r="D11" s="14">
        <f>L11*98.14%</f>
        <v>71.837545049153761</v>
      </c>
      <c r="E11" s="14">
        <f>M11*100.96%</f>
        <v>73.920505169268182</v>
      </c>
      <c r="F11" s="14">
        <f>M11*100.98%</f>
        <v>73.935148692479231</v>
      </c>
      <c r="G11" s="14">
        <f>L11*99.13%</f>
        <v>72.562215617715623</v>
      </c>
      <c r="H11" s="14">
        <f>L11*99.13%</f>
        <v>72.562215617715623</v>
      </c>
      <c r="I11" s="14">
        <f t="shared" si="0"/>
        <v>76.146320697344422</v>
      </c>
      <c r="J11" s="15">
        <f>L11*93.24%</f>
        <v>68.250791730009126</v>
      </c>
      <c r="L11" s="50">
        <f>L7/Q11</f>
        <v>73.199047329482127</v>
      </c>
      <c r="M11" s="50">
        <f>M7/P11</f>
        <v>73.217616055138862</v>
      </c>
      <c r="N11" s="50">
        <v>73.208331692310495</v>
      </c>
      <c r="O11" s="24" t="s">
        <v>17</v>
      </c>
      <c r="P11" s="36">
        <v>0.98660000000000003</v>
      </c>
      <c r="Q11" s="27">
        <v>0.98670000000000002</v>
      </c>
      <c r="R11" s="6">
        <v>0</v>
      </c>
      <c r="S11" s="7">
        <v>0</v>
      </c>
      <c r="AD11">
        <v>146.41666338462099</v>
      </c>
    </row>
    <row r="12" spans="2:30">
      <c r="B12" s="13" t="s">
        <v>18</v>
      </c>
      <c r="C12" s="14">
        <f>M12*101.96%</f>
        <v>49.928918167660001</v>
      </c>
      <c r="D12" s="14">
        <f>L12*98.14%</f>
        <v>48.036803032890013</v>
      </c>
      <c r="E12" s="14">
        <f>M12*100.96%</f>
        <v>49.439226934160004</v>
      </c>
      <c r="F12" s="14">
        <f>M12*100.98%</f>
        <v>49.449020758830009</v>
      </c>
      <c r="G12" s="14">
        <f>L12*99.13%</f>
        <v>48.521380524255015</v>
      </c>
      <c r="H12" s="14">
        <f>L12*99.13%</f>
        <v>48.521380524255015</v>
      </c>
      <c r="I12" s="14">
        <f t="shared" si="0"/>
        <v>50.927888284000012</v>
      </c>
      <c r="J12" s="15">
        <f>L12*93.24%</f>
        <v>45.638389186740007</v>
      </c>
      <c r="L12" s="50">
        <f>L7*P12</f>
        <v>48.947221350000014</v>
      </c>
      <c r="M12" s="50">
        <f>M7*Q12</f>
        <v>48.969123350000011</v>
      </c>
      <c r="N12" s="50">
        <v>48.958172350000012</v>
      </c>
      <c r="O12" s="24" t="s">
        <v>18</v>
      </c>
      <c r="P12" s="26">
        <v>0.67770000000000008</v>
      </c>
      <c r="Q12" s="27">
        <v>0.67790000000000006</v>
      </c>
      <c r="R12" s="6">
        <v>0</v>
      </c>
      <c r="S12" s="7">
        <v>0</v>
      </c>
      <c r="AD12">
        <v>97.916344700000025</v>
      </c>
    </row>
    <row r="13" spans="2:30">
      <c r="B13" s="56" t="s">
        <v>9</v>
      </c>
      <c r="C13" s="55"/>
      <c r="D13" s="55"/>
      <c r="E13" s="55">
        <f>M13*101.49%</f>
        <v>19.961017166739271</v>
      </c>
      <c r="F13" s="55">
        <f>M13*101.49%</f>
        <v>19.961017166739271</v>
      </c>
      <c r="G13" s="55">
        <f>L13*98.5%</f>
        <v>19.366303933578333</v>
      </c>
      <c r="H13" s="55">
        <f>L13*98.5%</f>
        <v>19.366303933578333</v>
      </c>
      <c r="I13" s="55">
        <f t="shared" si="0"/>
        <v>20.454683075582665</v>
      </c>
      <c r="J13" s="54">
        <f>L13*92.56%</f>
        <v>18.198427330883355</v>
      </c>
      <c r="K13" s="53">
        <v>19.551292101183538</v>
      </c>
      <c r="L13" s="50">
        <f>L7/Q13</f>
        <v>19.661222267592215</v>
      </c>
      <c r="M13" s="50">
        <f>M7/P13</f>
        <v>19.66796449575256</v>
      </c>
      <c r="N13" s="50">
        <v>19.66459338167239</v>
      </c>
      <c r="O13" s="24" t="s">
        <v>9</v>
      </c>
      <c r="P13" s="36">
        <v>3.6728000000000001</v>
      </c>
      <c r="Q13" s="27">
        <v>3.6735000000000002</v>
      </c>
      <c r="R13" s="6">
        <v>0</v>
      </c>
      <c r="S13" s="7">
        <v>0</v>
      </c>
      <c r="AD13">
        <v>117.30775260710124</v>
      </c>
    </row>
    <row r="14" spans="2:30">
      <c r="B14" s="13" t="s">
        <v>10</v>
      </c>
      <c r="C14" s="14"/>
      <c r="D14" s="14"/>
      <c r="E14" s="14">
        <f>M14*101.49%</f>
        <v>19.547480029329424</v>
      </c>
      <c r="F14" s="14">
        <f>M14*101.49%</f>
        <v>19.547480029329424</v>
      </c>
      <c r="G14" s="14">
        <f>L14*98.5%</f>
        <v>18.967690697736423</v>
      </c>
      <c r="H14" s="14">
        <f>L14*98.5%</f>
        <v>18.967690697736423</v>
      </c>
      <c r="I14" s="14">
        <f t="shared" si="0"/>
        <v>20.030918544194112</v>
      </c>
      <c r="J14" s="15">
        <f>L14*92.56%</f>
        <v>17.82385229423841</v>
      </c>
      <c r="L14" s="50">
        <f>L7/Q14</f>
        <v>19.256538779427842</v>
      </c>
      <c r="M14" s="50">
        <f>M7/P14</f>
        <v>19.260498600186644</v>
      </c>
      <c r="N14" s="50">
        <v>19.258518689807243</v>
      </c>
      <c r="O14" s="24" t="s">
        <v>10</v>
      </c>
      <c r="P14" s="26">
        <v>3.7505000000000002</v>
      </c>
      <c r="Q14" s="27">
        <v>3.7507000000000001</v>
      </c>
      <c r="R14" s="6">
        <v>0</v>
      </c>
      <c r="S14" s="7">
        <v>0</v>
      </c>
      <c r="AD14">
        <v>38.517037379614486</v>
      </c>
    </row>
    <row r="15" spans="2:30">
      <c r="B15" s="56" t="s">
        <v>19</v>
      </c>
      <c r="C15" s="55"/>
      <c r="D15" s="55"/>
      <c r="E15" s="55">
        <f>M15*101.49%</f>
        <v>20.140885673076923</v>
      </c>
      <c r="F15" s="55">
        <f>M15*101.49%</f>
        <v>20.140885673076923</v>
      </c>
      <c r="G15" s="55">
        <f>L15*98.5%</f>
        <v>19.533804914881934</v>
      </c>
      <c r="H15" s="55">
        <f>L15*98.5%</f>
        <v>19.533804914881934</v>
      </c>
      <c r="I15" s="55">
        <f t="shared" si="0"/>
        <v>20.638999999999999</v>
      </c>
      <c r="J15" s="54">
        <f>L15*92.56%</f>
        <v>18.35582723778144</v>
      </c>
      <c r="K15" s="53">
        <v>19.724034735616524</v>
      </c>
      <c r="L15" s="50">
        <f>L7/Q15</f>
        <v>19.831274025260846</v>
      </c>
      <c r="M15" s="50">
        <f>M7/P15</f>
        <v>19.845192307692308</v>
      </c>
      <c r="N15" s="50">
        <v>19.838233166476577</v>
      </c>
      <c r="O15" s="24" t="s">
        <v>37</v>
      </c>
      <c r="P15" s="26">
        <v>3.64</v>
      </c>
      <c r="Q15" s="27">
        <v>3.6420000000000003</v>
      </c>
      <c r="R15" s="6">
        <v>0</v>
      </c>
      <c r="S15" s="7">
        <v>0</v>
      </c>
      <c r="AD15">
        <v>118.34420841369915</v>
      </c>
    </row>
    <row r="16" spans="2:30">
      <c r="B16" s="13" t="s">
        <v>11</v>
      </c>
      <c r="C16" s="14"/>
      <c r="D16" s="14"/>
      <c r="E16" s="14">
        <f>M16*101.49%</f>
        <v>190.42786526922774</v>
      </c>
      <c r="F16" s="14">
        <f>M16*101.49%</f>
        <v>190.42786526922774</v>
      </c>
      <c r="G16" s="14">
        <f>L16*98.5%</f>
        <v>184.77512207158071</v>
      </c>
      <c r="H16" s="14">
        <f>L16*98.5%</f>
        <v>184.77512207158071</v>
      </c>
      <c r="I16" s="14">
        <f t="shared" si="0"/>
        <v>195.13743214109456</v>
      </c>
      <c r="J16" s="15">
        <f>L16*92.1%</f>
        <v>172.76942886083839</v>
      </c>
      <c r="L16" s="50">
        <f>L7/Q16</f>
        <v>187.58895641784844</v>
      </c>
      <c r="M16" s="50">
        <f>M7/P16</f>
        <v>187.632146289514</v>
      </c>
      <c r="N16" s="50">
        <v>187.61055135368122</v>
      </c>
      <c r="O16" s="24" t="s">
        <v>11</v>
      </c>
      <c r="P16" s="26">
        <v>0.38499000000000005</v>
      </c>
      <c r="Q16" s="27">
        <v>0.38502000000000003</v>
      </c>
      <c r="R16" s="6">
        <v>0</v>
      </c>
      <c r="S16" s="7">
        <v>0</v>
      </c>
      <c r="AD16">
        <v>375.22110270736243</v>
      </c>
    </row>
    <row r="17" spans="2:30">
      <c r="B17" s="59" t="s">
        <v>12</v>
      </c>
      <c r="C17" s="58"/>
      <c r="D17" s="58"/>
      <c r="E17" s="58">
        <f>M17*101.49%</f>
        <v>241.35909086419753</v>
      </c>
      <c r="F17" s="58">
        <f>M17*101.49%</f>
        <v>241.35909086419753</v>
      </c>
      <c r="G17" s="58">
        <f>L17*98.5%</f>
        <v>234.13565081454666</v>
      </c>
      <c r="H17" s="58">
        <f>L17*98.5%</f>
        <v>234.13565081454666</v>
      </c>
      <c r="I17" s="58">
        <f t="shared" si="0"/>
        <v>247.32826337448563</v>
      </c>
      <c r="J17" s="57">
        <f>L17*88.83%</f>
        <v>211.14994783610337</v>
      </c>
      <c r="K17" s="53">
        <v>234.9112824280129</v>
      </c>
      <c r="L17" s="50">
        <f>L7/Q17</f>
        <v>237.7011683396413</v>
      </c>
      <c r="M17" s="50">
        <f>M7/P17</f>
        <v>237.81563786008232</v>
      </c>
      <c r="N17" s="50">
        <v>237.75840309986182</v>
      </c>
      <c r="O17" s="24" t="s">
        <v>12</v>
      </c>
      <c r="P17" s="26">
        <v>0.30375000000000002</v>
      </c>
      <c r="Q17" s="27">
        <v>0.30385000000000001</v>
      </c>
      <c r="R17" s="6">
        <v>0</v>
      </c>
      <c r="S17" s="7">
        <v>0</v>
      </c>
      <c r="AD17">
        <v>1409.4676945680774</v>
      </c>
    </row>
    <row r="18" spans="2:30">
      <c r="B18" s="16"/>
      <c r="C18" s="16"/>
      <c r="D18" s="16"/>
      <c r="E18" s="16"/>
      <c r="F18" s="16"/>
      <c r="G18" s="16"/>
      <c r="H18" s="16"/>
      <c r="I18" s="16"/>
      <c r="J18" s="16"/>
      <c r="L18" s="50">
        <f>L7/Q18</f>
        <v>191.5541705344119</v>
      </c>
      <c r="M18" s="50">
        <f>M7/P18</f>
        <v>191.60367099015943</v>
      </c>
      <c r="N18" s="50">
        <v>191.57892076228566</v>
      </c>
      <c r="O18" s="24" t="s">
        <v>23</v>
      </c>
      <c r="P18" s="36">
        <v>0.37701000000000001</v>
      </c>
      <c r="Q18" s="27">
        <v>0.37705000000000005</v>
      </c>
      <c r="R18" s="6">
        <v>0</v>
      </c>
      <c r="S18" s="7">
        <v>0</v>
      </c>
      <c r="AD18">
        <v>383.15784152457132</v>
      </c>
    </row>
    <row r="19" spans="2:30" ht="15.75" thickBot="1">
      <c r="B19" t="s">
        <v>31</v>
      </c>
      <c r="C19" s="16"/>
      <c r="D19" s="16"/>
      <c r="E19" s="16"/>
      <c r="F19" s="16"/>
      <c r="G19" s="16"/>
      <c r="H19" s="16"/>
      <c r="I19" s="16"/>
      <c r="J19" s="16"/>
      <c r="L19" s="50">
        <f>L7/Q19</f>
        <v>54.190801320528223</v>
      </c>
      <c r="M19" s="50">
        <f>M7/P19</f>
        <v>54.21532572800961</v>
      </c>
      <c r="N19" s="50">
        <v>54.203063524268913</v>
      </c>
      <c r="O19" s="25" t="s">
        <v>24</v>
      </c>
      <c r="P19" s="35">
        <v>1.3324</v>
      </c>
      <c r="Q19" s="37">
        <v>1.3328</v>
      </c>
      <c r="R19" s="8">
        <v>0</v>
      </c>
      <c r="S19" s="9">
        <v>0</v>
      </c>
      <c r="AD19">
        <v>108.40612704853783</v>
      </c>
    </row>
    <row r="20" spans="2:30">
      <c r="B20" t="s">
        <v>32</v>
      </c>
    </row>
    <row r="21" spans="2:30">
      <c r="B21" t="s">
        <v>33</v>
      </c>
      <c r="P21" s="32" t="s">
        <v>38</v>
      </c>
    </row>
    <row r="22" spans="2:30" ht="15.75" thickBot="1">
      <c r="B22" t="s">
        <v>34</v>
      </c>
      <c r="J22" t="s">
        <v>42</v>
      </c>
      <c r="P22" s="32" t="s">
        <v>39</v>
      </c>
    </row>
    <row r="23" spans="2:30" ht="27" thickBot="1">
      <c r="B23" s="17" t="s">
        <v>36</v>
      </c>
      <c r="L23" s="51" t="s">
        <v>40</v>
      </c>
      <c r="M23" s="52"/>
      <c r="N23" s="30"/>
      <c r="O23" s="31"/>
    </row>
    <row r="24" spans="2:30">
      <c r="B24" t="s">
        <v>35</v>
      </c>
    </row>
    <row r="448" spans="3:3" ht="26.25">
      <c r="C448" s="39" t="s">
        <v>41</v>
      </c>
    </row>
  </sheetData>
  <mergeCells count="4">
    <mergeCell ref="L4:M4"/>
    <mergeCell ref="P4:Q4"/>
    <mergeCell ref="R4:S4"/>
    <mergeCell ref="B2:J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</vt:lpstr>
      <vt:lpstr>FWD</vt:lpstr>
      <vt:lpstr>WORKING</vt:lpstr>
      <vt:lpstr>Sheet1</vt:lpstr>
      <vt:lpstr>WORKING!Print_Area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</dc:creator>
  <cp:lastModifiedBy>chandu.s</cp:lastModifiedBy>
  <cp:lastPrinted>2019-05-16T03:46:31Z</cp:lastPrinted>
  <dcterms:created xsi:type="dcterms:W3CDTF">2013-02-09T06:45:15Z</dcterms:created>
  <dcterms:modified xsi:type="dcterms:W3CDTF">2019-09-04T05:17:18Z</dcterms:modified>
</cp:coreProperties>
</file>