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over" state="visible" r:id="rId5"/>
    <sheet sheetId="2" name="Financial Model&gt;&gt;&gt;" state="visible" r:id="rId6"/>
    <sheet sheetId="3" name="Operational Assumptions" state="visible" r:id="rId7"/>
    <sheet sheetId="4" name="Model" state="visible" r:id="rId8"/>
    <sheet sheetId="5" name="DCF&gt;&gt;&gt;" state="visible" r:id="rId9"/>
    <sheet sheetId="6" name="Control" state="visible" r:id="rId10"/>
    <sheet sheetId="7" name="DCF" state="visible" r:id="rId11"/>
    <sheet sheetId="8" name="DCF Output" state="visible" r:id="rId12"/>
    <sheet sheetId="9" name="LBO&gt;&gt;&gt;" state="visible" r:id="rId13"/>
    <sheet sheetId="10" name="LBO Control" state="visible" r:id="rId14"/>
    <sheet sheetId="11" name="LBO" state="visible" r:id="rId15"/>
    <sheet sheetId="12" name="LBO Output" state="visible" r:id="rId16"/>
    <sheet sheetId="13" name="WACC" state="visible" r:id="rId17"/>
  </sheets>
  <calcPr calcId="171027" fullCalcOnLoad="1"/>
</workbook>
</file>

<file path=xl/sharedStrings.xml><?xml version="1.0" encoding="utf-8"?>
<sst xmlns="http://schemas.openxmlformats.org/spreadsheetml/2006/main" count="8942" uniqueCount="285">
  <si>
    <t/>
  </si>
  <si>
    <t>Financial Model</t>
  </si>
  <si>
    <t>DCF</t>
  </si>
  <si>
    <t>LBO</t>
  </si>
  <si>
    <t>Operational Assumptions</t>
  </si>
  <si>
    <t>Model</t>
  </si>
  <si>
    <t>Date</t>
  </si>
  <si>
    <t>Last Actual Year Available</t>
  </si>
  <si>
    <t>Morgan Stanley</t>
  </si>
  <si>
    <t>Assumptions</t>
  </si>
  <si>
    <t>Year #</t>
  </si>
  <si>
    <t>Year # (Mid-year Convention)</t>
  </si>
  <si>
    <t>Year</t>
  </si>
  <si>
    <t>Scenario in Use</t>
  </si>
  <si>
    <t>Volume</t>
  </si>
  <si>
    <t>% YoY Growth</t>
  </si>
  <si>
    <t>Scenario 1 - MS (Sponsor Guidance)</t>
  </si>
  <si>
    <t>Scenario 2 - Management</t>
  </si>
  <si>
    <t>Scenario 3 - MS (Conservative)</t>
  </si>
  <si>
    <t>Revenue</t>
  </si>
  <si>
    <t>Segment 1, % YoY Growth</t>
  </si>
  <si>
    <t>Scenario 1 - Management</t>
  </si>
  <si>
    <t>Scenario 1 - MS (Conservative)</t>
  </si>
  <si>
    <t>Segment 2, % YoY Growth</t>
  </si>
  <si>
    <t>Segment 3, % YoY Growth</t>
  </si>
  <si>
    <t>Gross Profit</t>
  </si>
  <si>
    <t>Segment 1, Gross margin</t>
  </si>
  <si>
    <t>Segment 2, Gross margin</t>
  </si>
  <si>
    <t>Segment 3, Gross margin</t>
  </si>
  <si>
    <t>EBITDA</t>
  </si>
  <si>
    <t>Group Adj. % EBITDA Margin</t>
  </si>
  <si>
    <t>Capex &amp; Depreciation</t>
  </si>
  <si>
    <t>Capex % of Revenue</t>
  </si>
  <si>
    <t>D&amp;A % of Capex</t>
  </si>
  <si>
    <t>Tax</t>
  </si>
  <si>
    <t>Tax Rate</t>
  </si>
  <si>
    <t>NWC</t>
  </si>
  <si>
    <t>Change in NWC</t>
  </si>
  <si>
    <t>Debt</t>
  </si>
  <si>
    <t>Leverage</t>
  </si>
  <si>
    <t>Interest Rate</t>
  </si>
  <si>
    <t>$ MM, unless otherwise stated</t>
  </si>
  <si>
    <t>Income Statement</t>
  </si>
  <si>
    <t>Segment 1</t>
  </si>
  <si>
    <t>Segment 2</t>
  </si>
  <si>
    <t>Segment 3</t>
  </si>
  <si>
    <t>Total Revenue</t>
  </si>
  <si>
    <t>% Margin</t>
  </si>
  <si>
    <t>Total Gross Profit</t>
  </si>
  <si>
    <t>Total Opex</t>
  </si>
  <si>
    <t>Total Adjusted EBITDA</t>
  </si>
  <si>
    <t>D&amp;A</t>
  </si>
  <si>
    <t>% D&amp;A of Capex</t>
  </si>
  <si>
    <t>EBIT</t>
  </si>
  <si>
    <t>Interest</t>
  </si>
  <si>
    <t>PBT</t>
  </si>
  <si>
    <t>% Tax Rate</t>
  </si>
  <si>
    <t>Net Income</t>
  </si>
  <si>
    <t>Cash Flow</t>
  </si>
  <si>
    <t>Capex</t>
  </si>
  <si>
    <t>Free Cash Flow</t>
  </si>
  <si>
    <t>Unlevered FCF (UFCF)</t>
  </si>
  <si>
    <t>Illustrative Debt</t>
  </si>
  <si>
    <t>Debt BoP</t>
  </si>
  <si>
    <t>Debt EoP</t>
  </si>
  <si>
    <t>% Rate</t>
  </si>
  <si>
    <t>Cash</t>
  </si>
  <si>
    <t>Discounted Cash Flow Analysis</t>
  </si>
  <si>
    <t>DCF Control</t>
  </si>
  <si>
    <t>Exit Calculations</t>
  </si>
  <si>
    <t>Entry</t>
  </si>
  <si>
    <t>Exit</t>
  </si>
  <si>
    <t>Exit Year</t>
  </si>
  <si>
    <t>WACC</t>
  </si>
  <si>
    <t>EBITDA (x)</t>
  </si>
  <si>
    <t>Terminal Growth</t>
  </si>
  <si>
    <t>Base</t>
  </si>
  <si>
    <t>Step</t>
  </si>
  <si>
    <t>Historical</t>
  </si>
  <si>
    <t>Projected</t>
  </si>
  <si>
    <t>CAGR</t>
  </si>
  <si>
    <t>Fiscal year ending 31 December</t>
  </si>
  <si>
    <t xml:space="preserve"> </t>
  </si>
  <si>
    <t>% Change</t>
  </si>
  <si>
    <t>Adj. EBITDA</t>
  </si>
  <si>
    <t>% Revenue</t>
  </si>
  <si>
    <t>% of Revenue</t>
  </si>
  <si>
    <t>Taxes</t>
  </si>
  <si>
    <t>% Effective Tax Rate</t>
  </si>
  <si>
    <t>NOPAT</t>
  </si>
  <si>
    <t>Unlevered Free Cash Flow</t>
  </si>
  <si>
    <t>% Conversion (Cash Conversion)</t>
  </si>
  <si>
    <t>Terminal Free Cash Flow</t>
  </si>
  <si>
    <t>Cash Flow Received</t>
  </si>
  <si>
    <t>Cash Flow Available</t>
  </si>
  <si>
    <t>Discount Period</t>
  </si>
  <si>
    <t>Exit Multiple Method Terminus</t>
  </si>
  <si>
    <t>Unlevered Free Cash Flow Generated</t>
  </si>
  <si>
    <t>Discounted Cash Flow</t>
  </si>
  <si>
    <t>Sum of DCFs</t>
  </si>
  <si>
    <t>Exit Multiple Method</t>
  </si>
  <si>
    <t>LTM EBITDA</t>
  </si>
  <si>
    <t xml:space="preserve">Terminal </t>
  </si>
  <si>
    <t xml:space="preserve">Present </t>
  </si>
  <si>
    <t xml:space="preserve">Implied </t>
  </si>
  <si>
    <t>x TV Discount Period</t>
  </si>
  <si>
    <t>Multiple</t>
  </si>
  <si>
    <t>Value</t>
  </si>
  <si>
    <t>Value of TV</t>
  </si>
  <si>
    <t>Growth</t>
  </si>
  <si>
    <t>PGR TV Discount Period</t>
  </si>
  <si>
    <t>TV UFCF</t>
  </si>
  <si>
    <t>PGR Method</t>
  </si>
  <si>
    <t>PGR</t>
  </si>
  <si>
    <t>Discounted Cash Flow - Terminal EBITDA Multiple</t>
  </si>
  <si>
    <t>Terminal Multiple</t>
  </si>
  <si>
    <t>Discount Rate</t>
  </si>
  <si>
    <t>Present Value of:</t>
  </si>
  <si>
    <t>Cash Flows</t>
  </si>
  <si>
    <t>Terminus</t>
  </si>
  <si>
    <t>Aggregate Value</t>
  </si>
  <si>
    <t>Net Debt</t>
  </si>
  <si>
    <t>Equity Value</t>
  </si>
  <si>
    <t>Terminal Value Analysis</t>
  </si>
  <si>
    <t>% Value in Cash Flows</t>
  </si>
  <si>
    <t>% Value in Terminus</t>
  </si>
  <si>
    <t>Implied Perpetual Growth Rate</t>
  </si>
  <si>
    <t>Perpetual Growth</t>
  </si>
  <si>
    <t>Discounted Cash Flow - Perpetual Growth Rate</t>
  </si>
  <si>
    <t>Perpetual Growth Rate</t>
  </si>
  <si>
    <t>Implied AV / EBITDA</t>
  </si>
  <si>
    <t>Projected Free Cash Flow</t>
  </si>
  <si>
    <t>Adjusted EBITDA</t>
  </si>
  <si>
    <t xml:space="preserve">D&amp;A </t>
  </si>
  <si>
    <t xml:space="preserve">Change in NWC </t>
  </si>
  <si>
    <t>Capex (-)</t>
  </si>
  <si>
    <t>% Conversion</t>
  </si>
  <si>
    <t>Valuation Sensitivity</t>
  </si>
  <si>
    <t>Terminal EBITDA Multiple</t>
  </si>
  <si>
    <t>Implied PGR</t>
  </si>
  <si>
    <t>Implied Multiples:</t>
  </si>
  <si>
    <t>Leveraged Buyout Analysis</t>
  </si>
  <si>
    <t>LBO Control</t>
  </si>
  <si>
    <t>Sources &amp; Uses</t>
  </si>
  <si>
    <t>Entry Calculations</t>
  </si>
  <si>
    <t>Financing</t>
  </si>
  <si>
    <t>Sources</t>
  </si>
  <si>
    <t>$MM</t>
  </si>
  <si>
    <t>xLTM EBITDA</t>
  </si>
  <si>
    <t>Minimum Cash</t>
  </si>
  <si>
    <t>Sponsor Equity</t>
  </si>
  <si>
    <t>1st Lien</t>
  </si>
  <si>
    <t>New Debt</t>
  </si>
  <si>
    <t>2nd Lien</t>
  </si>
  <si>
    <t>Entry Mutiple</t>
  </si>
  <si>
    <t>Total</t>
  </si>
  <si>
    <t>Implied Aggregate Value</t>
  </si>
  <si>
    <t>Uses</t>
  </si>
  <si>
    <t>Cash (total)</t>
  </si>
  <si>
    <t>Interest Rate (bps)</t>
  </si>
  <si>
    <t>Implied Equity Value</t>
  </si>
  <si>
    <t>OID</t>
  </si>
  <si>
    <t>Debt Paydown</t>
  </si>
  <si>
    <t>Amortization</t>
  </si>
  <si>
    <t>Fees</t>
  </si>
  <si>
    <t>Entry Multiple</t>
  </si>
  <si>
    <t>Target IRR Analysis</t>
  </si>
  <si>
    <t>Target IRR</t>
  </si>
  <si>
    <t>Equity Value at Exit</t>
  </si>
  <si>
    <t>Implied Equity Value at Entry</t>
  </si>
  <si>
    <t>Revolver</t>
  </si>
  <si>
    <t>(+) Entry Debt</t>
  </si>
  <si>
    <t>Leverage Cap</t>
  </si>
  <si>
    <t>(-) BS Cash</t>
  </si>
  <si>
    <t>(-) Other Uses</t>
  </si>
  <si>
    <t>Initial Sponsor Equity</t>
  </si>
  <si>
    <t>Commitment Fee</t>
  </si>
  <si>
    <t>Implied Purchase Price</t>
  </si>
  <si>
    <t>Entry Date</t>
  </si>
  <si>
    <t>Exit Date</t>
  </si>
  <si>
    <t>Hold Period</t>
  </si>
  <si>
    <t>Fees as a % of AV</t>
  </si>
  <si>
    <t>Exit LTM AV / EBITDA</t>
  </si>
  <si>
    <t>Transaction Fees</t>
  </si>
  <si>
    <t>Exit LTM EBITDA</t>
  </si>
  <si>
    <t>Fees as a % of New Debt</t>
  </si>
  <si>
    <t>Net Debt at Exit</t>
  </si>
  <si>
    <t>Financing Fees</t>
  </si>
  <si>
    <t>IRR</t>
  </si>
  <si>
    <t>Amortization Period</t>
  </si>
  <si>
    <t>MoM</t>
  </si>
  <si>
    <t>Annual Amortization</t>
  </si>
  <si>
    <t>Exit Multiple</t>
  </si>
  <si>
    <t xml:space="preserve">Revenue CAGR </t>
  </si>
  <si>
    <t>IRR Sensitivity</t>
  </si>
  <si>
    <t>LTM EBITDA Exit Multiple</t>
  </si>
  <si>
    <t>LTM EBITDA Entry Multiple</t>
  </si>
  <si>
    <t>Purchase Price Sensitivity</t>
  </si>
  <si>
    <t>Leveraged Buyout</t>
  </si>
  <si>
    <t>Circular Switch</t>
  </si>
  <si>
    <t>% Growth</t>
  </si>
  <si>
    <t>Interest Expense</t>
  </si>
  <si>
    <t>Amortization of Financing Fees</t>
  </si>
  <si>
    <t>EBT</t>
  </si>
  <si>
    <t xml:space="preserve">Tax </t>
  </si>
  <si>
    <t>% ETR</t>
  </si>
  <si>
    <t>Cash Flow Statement</t>
  </si>
  <si>
    <t>Change in Net Working Capital</t>
  </si>
  <si>
    <t>Capital Expenditures</t>
  </si>
  <si>
    <t>Levered Free Cash Flow</t>
  </si>
  <si>
    <t>% of Adjusted EBITDA</t>
  </si>
  <si>
    <t>Cumulative Levered Free Cash Flow</t>
  </si>
  <si>
    <t>% Entry Debt</t>
  </si>
  <si>
    <t>% Total Debt</t>
  </si>
  <si>
    <t>Debt Schedule</t>
  </si>
  <si>
    <t>Beginning Cash</t>
  </si>
  <si>
    <t>% Levered Free Cash Flow Available</t>
  </si>
  <si>
    <t>Mandatory Repayments</t>
  </si>
  <si>
    <t>Cash Available For Voluntary Debt Paydown</t>
  </si>
  <si>
    <t>Ending Cash</t>
  </si>
  <si>
    <t>LIBOR Forward Curve (3M)</t>
  </si>
  <si>
    <t>Credit Facility</t>
  </si>
  <si>
    <t>Beginning Balance</t>
  </si>
  <si>
    <t>Size:</t>
  </si>
  <si>
    <t>Revolver Issuance / (Repayment)</t>
  </si>
  <si>
    <t>Sweep:</t>
  </si>
  <si>
    <t>Ending Balance</t>
  </si>
  <si>
    <t>Unused Balance</t>
  </si>
  <si>
    <t>Rate (bps):</t>
  </si>
  <si>
    <t>Rate:</t>
  </si>
  <si>
    <t>Interest Expense and Commitment Fee</t>
  </si>
  <si>
    <t>Cash flow Available for Voluntary Debt Repayment (1st Lien)</t>
  </si>
  <si>
    <t>Mandatory Repayment</t>
  </si>
  <si>
    <t>Amortization Rate</t>
  </si>
  <si>
    <t>Discretionary (Paydown) / Issuance</t>
  </si>
  <si>
    <t>Balance</t>
  </si>
  <si>
    <t>Interest Expense (1st Lien)</t>
  </si>
  <si>
    <t>Cash flow Available for Voluntary Debt Repayment (2nd Lien)</t>
  </si>
  <si>
    <t>Metrics and Returns</t>
  </si>
  <si>
    <t>Total Interest Expense</t>
  </si>
  <si>
    <t>Total Debt</t>
  </si>
  <si>
    <t>Total Debt / LTM EBITDA</t>
  </si>
  <si>
    <t>Net Debt / LTM EBITDA</t>
  </si>
  <si>
    <t>LTM Exit Multiple</t>
  </si>
  <si>
    <t>Transaction Snapshot</t>
  </si>
  <si>
    <t>AV:Entry vs Revenue CAGR</t>
  </si>
  <si>
    <t>IRR (%)</t>
  </si>
  <si>
    <t>Revenue CAGR (%)</t>
  </si>
  <si>
    <t>Source</t>
  </si>
  <si>
    <t>%</t>
  </si>
  <si>
    <t>Purchase Equity</t>
  </si>
  <si>
    <t>WACC Summary Inputs</t>
  </si>
  <si>
    <t>Current WACC</t>
  </si>
  <si>
    <t>Beta  Calculations (as of 25-Jun-2020)</t>
  </si>
  <si>
    <t>Cost of Equity</t>
  </si>
  <si>
    <t>Comps</t>
  </si>
  <si>
    <t>Levered Beta</t>
  </si>
  <si>
    <t>EQT ($)</t>
  </si>
  <si>
    <t>Debt ($)</t>
  </si>
  <si>
    <t>D/E</t>
  </si>
  <si>
    <t>Unlevered Beta</t>
  </si>
  <si>
    <t>Include / Exclude</t>
  </si>
  <si>
    <t>Risk Free Rate (10Y Turkish Government Eurobond Yield 26-Apr-2029) as of 25-Jun-2020</t>
  </si>
  <si>
    <t>Ubisoft (ENXTPA:UBI)</t>
  </si>
  <si>
    <t>Zynga (NadaqGS:ZNGA)</t>
  </si>
  <si>
    <t>Market Risk Premium</t>
  </si>
  <si>
    <t>Activision (NadaqGS:ATVI)</t>
  </si>
  <si>
    <t>Size Premium (Duff &amp; Phelps Size Premium for Micro Cap)</t>
  </si>
  <si>
    <t>Take-Two (NasdaqGS:TTWO)</t>
  </si>
  <si>
    <t>Glu Mobile (NasdaqGS:GLUU)</t>
  </si>
  <si>
    <t>Predicted Beta</t>
  </si>
  <si>
    <t>CD Projekt SA (WSE:CDR)</t>
  </si>
  <si>
    <t>Sciplay Corp (NasdaqGS:SCPL)</t>
  </si>
  <si>
    <t>CAPM Cost of Equity</t>
  </si>
  <si>
    <t>Average</t>
  </si>
  <si>
    <t xml:space="preserve">Cost of Debt </t>
  </si>
  <si>
    <t>Risk Free Rate</t>
  </si>
  <si>
    <t>Spread</t>
  </si>
  <si>
    <t>Pre-tax Cost of Debt</t>
  </si>
  <si>
    <t>Turkey Tax Rate</t>
  </si>
  <si>
    <t>Post-tax Cost of Debt</t>
  </si>
  <si>
    <t>Inputs</t>
  </si>
  <si>
    <t>Target Debt / Equity</t>
  </si>
  <si>
    <t>Target Debt / Capital</t>
  </si>
  <si>
    <t>Target Equity /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</si>
</sst>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[$-409]dd\-mmm\-yy;@"/>
    <numFmt numFmtId="165" formatCode="[$-409]mmm\-yy;@"/>
    <numFmt numFmtId="166" formatCode="0.0"/>
    <numFmt numFmtId="167" formatCode="0&quot;A&quot;"/>
    <numFmt numFmtId="168" formatCode="0&quot;E&quot;"/>
    <numFmt numFmtId="169" formatCode="#,##0.0;\(#,##0.0\);&quot;-&quot;"/>
    <numFmt numFmtId="170" formatCode="0.0%;\(0.0%\);\ &quot;-&quot;"/>
    <numFmt numFmtId="171" formatCode="0.0&quot;x&quot;;\(0.0&quot;x&quot;\)"/>
    <numFmt numFmtId="172" formatCode="#,##0.0"/>
    <numFmt numFmtId="173" formatCode="[$-409]d\-mmm\-yyyy;@"/>
    <numFmt numFmtId="174" formatCode="#,##0.0\ &quot;Years&quot;"/>
    <numFmt numFmtId="175" formatCode="[$-409]d\-mmm\-yy;@"/>
    <numFmt numFmtId="176" formatCode="#,##0.00000000000"/>
    <numFmt numFmtId="177" formatCode="0&quot; Years&quot;"/>
    <numFmt numFmtId="178" formatCode="[=1]&quot;ON&quot;;[=0]&quot;OFF&quot;"/>
    <numFmt numFmtId="179" formatCode="0.0%"/>
    <numFmt numFmtId="180" formatCode="0.000"/>
    <numFmt numFmtId="181" formatCode="0.000%"/>
  </numFmts>
  <fonts count="37" x14ac:knownFonts="1">
    <font>
      <color theme="1"/>
      <family val="2"/>
      <scheme val="minor"/>
      <sz val="11"/>
      <name val="Calibri"/>
    </font>
    <font>
      <color rgb="FF0000FF"/>
      <sz val="11"/>
      <name val="Arial"/>
    </font>
    <font>
      <color rgb="FF000000"/>
      <sz val="11"/>
      <name val="Arial"/>
    </font>
    <font>
      <color rgb="FFFFFFFF"/>
      <sz val="11"/>
      <name val="Arial"/>
    </font>
    <font>
      <b/>
      <color rgb="FF000000"/>
      <sz val="11"/>
      <name val="Arial"/>
    </font>
    <font>
      <b/>
      <color rgb="FF0000FF"/>
      <sz val="11"/>
      <name val="Arial"/>
    </font>
    <font>
      <b/>
      <color rgb="FF00B050"/>
      <sz val="11"/>
      <name val="Arial"/>
    </font>
    <font>
      <b/>
      <sz val="11"/>
      <name val="Arial"/>
    </font>
    <font>
      <b/>
      <color rgb="FF00A1E2"/>
      <sz val="11"/>
      <name val="Arial"/>
    </font>
    <font>
      <sz val="11"/>
      <name val="Arial"/>
    </font>
    <font>
      <i/>
      <color rgb="FF000000"/>
      <sz val="11"/>
      <name val="Arial"/>
    </font>
    <font>
      <i/>
      <color rgb="FF00B050"/>
      <sz val="11"/>
      <name val="Arial"/>
    </font>
    <font>
      <i/>
      <sz val="11"/>
      <name val="Arial"/>
    </font>
    <font>
      <b/>
      <color rgb="FFFFFFFF"/>
      <sz val="11"/>
      <name val="Arial"/>
    </font>
    <font>
      <b/>
      <u/>
      <color rgb="FFFFFFFF"/>
      <sz val="11"/>
      <name val="Arial"/>
    </font>
    <font>
      <u/>
      <color rgb="FFFFFFFF"/>
      <sz val="11"/>
      <name val="Arial"/>
    </font>
    <font>
      <b/>
      <i/>
      <u/>
      <color rgb="FFFFFFFF"/>
      <sz val="11"/>
      <name val="Arial"/>
    </font>
    <font>
      <i/>
      <color rgb="FFFFFFFF"/>
      <sz val="11"/>
      <name val="Arial"/>
    </font>
    <font>
      <b/>
      <i/>
      <color rgb="FFFFFFFF"/>
      <sz val="11"/>
      <name val="Arial"/>
    </font>
    <font>
      <color rgb="FF00B050"/>
      <sz val="11"/>
      <name val="Arial"/>
    </font>
    <font>
      <b/>
      <i/>
      <color rgb="FF000000"/>
      <sz val="11"/>
      <name val="Arial"/>
    </font>
    <font>
      <b/>
      <i/>
      <u/>
      <color rgb="FF000000"/>
      <sz val="11"/>
      <name val="Arial"/>
    </font>
    <font>
      <b/>
      <color rgb="FF000000"/>
      <sz val="10"/>
      <name val="Arial"/>
    </font>
    <font>
      <i/>
      <color rgb="FF0000FF"/>
      <sz val="11"/>
      <name val="Arial"/>
    </font>
    <font>
      <b/>
      <color rgb="FF005AA4"/>
      <sz val="11"/>
      <name val="Arial"/>
    </font>
    <font>
      <i/>
      <color rgb="FF00A1E2"/>
      <sz val="11"/>
      <name val="Arial"/>
    </font>
    <font>
      <color rgb="FF000000"/>
      <sz val="16"/>
      <name val="Arial"/>
    </font>
    <font>
      <color rgb="FF000000"/>
      <sz val="10"/>
      <name val="Arial"/>
    </font>
    <font>
      <b/>
      <color rgb="FFFFFFFF"/>
      <sz val="10"/>
      <name val="Arial"/>
    </font>
    <font>
      <color rgb="FFFFFFFF"/>
      <sz val="10"/>
      <name val="Arial"/>
    </font>
    <font>
      <color rgb="FF005AA4"/>
      <sz val="10"/>
      <name val="Arial"/>
    </font>
    <font>
      <color rgb="FF00A1E2"/>
      <sz val="10"/>
      <name val="Arial"/>
    </font>
    <font>
      <color rgb="FF93959B"/>
      <sz val="10"/>
      <name val="Arial"/>
    </font>
    <font>
      <b/>
      <i/>
      <color rgb="FF000000"/>
      <sz val="10"/>
      <name val="Arial"/>
    </font>
    <font>
      <sz val="10"/>
      <name val="Arial"/>
    </font>
    <font>
      <b/>
      <sz val="10"/>
      <name val="Arial"/>
    </font>
    <font>
      <b/>
      <color rgb="FF005AA4"/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A1E2"/>
      </patternFill>
    </fill>
    <fill>
      <patternFill patternType="solid">
        <fgColor rgb="FFd9d9d9"/>
      </patternFill>
    </fill>
    <fill>
      <patternFill patternType="solid">
        <fgColor rgb="FF000000"/>
      </patternFill>
    </fill>
    <fill>
      <patternFill patternType="solid">
        <fgColor rgb="FFc6efff"/>
      </patternFill>
    </fill>
    <fill>
      <patternFill patternType="solid">
        <fgColor rgb="FF005AA4"/>
      </patternFill>
    </fill>
    <fill>
      <patternFill patternType="solid">
        <fgColor rgb="FFd8f3ed"/>
      </patternFill>
    </fill>
    <fill>
      <patternFill patternType="solid">
        <fgColor rgb="FFbae0ff"/>
      </patternFill>
    </fill>
    <fill>
      <patternFill patternType="solid">
        <fgColor rgb="FFe9eaeb"/>
      </patternFill>
    </fill>
    <fill>
      <patternFill patternType="solid">
        <fgColor rgb="FF2fa1ff"/>
      </patternFill>
    </fill>
  </fills>
  <borders count="37">
    <border>
      <left/>
      <right/>
      <top/>
      <bottom/>
      <diagonal/>
    </border>
    <border>
      <left/>
      <right/>
      <top style="thin">
        <color rgb="FFA9B1B0"/>
      </top>
      <bottom style="thin">
        <color rgb="FFA9B1B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A9B1B0"/>
      </bottom>
      <diagonal/>
    </border>
    <border>
      <left/>
      <right/>
      <top style="thin">
        <color rgb="FF00A1E2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A9B1B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1">
    <xf numFmtId="0" fontId="0" fillId="0" borderId="0" xfId="0"/>
    <xf numFmtId="164" fontId="1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right" vertical="top"/>
    </xf>
    <xf numFmtId="165" fontId="3" fillId="3" borderId="0" xfId="0" applyNumberFormat="1" applyFont="1" applyFill="1" applyAlignment="1">
      <alignment horizontal="left" vertical="top"/>
    </xf>
    <xf numFmtId="0" fontId="4" fillId="0" borderId="0" xfId="0" applyFont="1" applyAlignment="1">
      <alignment vertical="top"/>
    </xf>
    <xf numFmtId="166" fontId="5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167" fontId="6" fillId="0" borderId="0" xfId="0" applyNumberFormat="1" applyFont="1" applyAlignment="1">
      <alignment vertical="top"/>
    </xf>
    <xf numFmtId="168" fontId="7" fillId="0" borderId="0" xfId="0" applyNumberFormat="1" applyFont="1" applyAlignment="1">
      <alignment vertical="top"/>
    </xf>
    <xf numFmtId="0" fontId="5" fillId="4" borderId="0" xfId="0" applyFont="1" applyFill="1" applyAlignment="1">
      <alignment horizontal="right" vertical="top"/>
    </xf>
    <xf numFmtId="0" fontId="8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16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right" vertical="top"/>
    </xf>
    <xf numFmtId="170" fontId="9" fillId="0" borderId="1" xfId="0" applyNumberFormat="1" applyFont="1" applyBorder="1" applyAlignment="1">
      <alignment vertical="top"/>
    </xf>
    <xf numFmtId="170" fontId="1" fillId="0" borderId="1" xfId="0" applyNumberFormat="1" applyFont="1" applyBorder="1" applyAlignment="1">
      <alignment vertical="top"/>
    </xf>
    <xf numFmtId="169" fontId="9" fillId="0" borderId="1" xfId="0" applyNumberFormat="1" applyFont="1" applyBorder="1" applyAlignment="1">
      <alignment vertical="top"/>
    </xf>
    <xf numFmtId="169" fontId="1" fillId="0" borderId="1" xfId="0" applyNumberFormat="1" applyFont="1" applyBorder="1" applyAlignment="1">
      <alignment vertical="top"/>
    </xf>
    <xf numFmtId="171" fontId="9" fillId="0" borderId="1" xfId="0" applyNumberFormat="1" applyFont="1" applyBorder="1" applyAlignment="1">
      <alignment vertical="top"/>
    </xf>
    <xf numFmtId="171" fontId="1" fillId="0" borderId="1" xfId="0" applyNumberFormat="1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horizontal="right" vertical="top"/>
    </xf>
    <xf numFmtId="167" fontId="2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vertical="top"/>
    </xf>
    <xf numFmtId="170" fontId="10" fillId="0" borderId="1" xfId="0" applyNumberFormat="1" applyFont="1" applyBorder="1" applyAlignment="1">
      <alignment vertical="top"/>
    </xf>
    <xf numFmtId="0" fontId="10" fillId="2" borderId="1" xfId="0" applyFont="1" applyFill="1" applyBorder="1" applyAlignment="1">
      <alignment vertical="top"/>
    </xf>
    <xf numFmtId="170" fontId="11" fillId="0" borderId="1" xfId="0" applyNumberFormat="1" applyFont="1" applyBorder="1" applyAlignment="1">
      <alignment vertical="top"/>
    </xf>
    <xf numFmtId="0" fontId="4" fillId="6" borderId="1" xfId="0" applyFont="1" applyFill="1" applyBorder="1" applyAlignment="1">
      <alignment vertical="top"/>
    </xf>
    <xf numFmtId="172" fontId="4" fillId="6" borderId="1" xfId="0" applyNumberFormat="1" applyFont="1" applyFill="1" applyBorder="1" applyAlignment="1">
      <alignment vertical="top"/>
    </xf>
    <xf numFmtId="169" fontId="4" fillId="6" borderId="1" xfId="0" applyNumberFormat="1" applyFont="1" applyFill="1" applyBorder="1" applyAlignment="1">
      <alignment vertical="top"/>
    </xf>
    <xf numFmtId="170" fontId="12" fillId="0" borderId="1" xfId="0" applyNumberFormat="1" applyFont="1" applyBorder="1" applyAlignment="1">
      <alignment vertical="top"/>
    </xf>
    <xf numFmtId="170" fontId="2" fillId="0" borderId="1" xfId="0" applyNumberFormat="1" applyFont="1" applyBorder="1" applyAlignment="1">
      <alignment vertical="top"/>
    </xf>
    <xf numFmtId="170" fontId="10" fillId="2" borderId="1" xfId="0" applyNumberFormat="1" applyFont="1" applyFill="1" applyBorder="1" applyAlignment="1">
      <alignment vertical="top"/>
    </xf>
    <xf numFmtId="169" fontId="2" fillId="2" borderId="1" xfId="0" applyNumberFormat="1" applyFont="1" applyFill="1" applyBorder="1" applyAlignment="1">
      <alignment vertical="top"/>
    </xf>
    <xf numFmtId="171" fontId="6" fillId="4" borderId="1" xfId="0" applyNumberFormat="1" applyFont="1" applyFill="1" applyBorder="1" applyAlignment="1">
      <alignment horizontal="right" vertical="top"/>
    </xf>
    <xf numFmtId="0" fontId="3" fillId="7" borderId="0" xfId="0" applyFont="1" applyFill="1" applyAlignment="1">
      <alignment vertical="top"/>
    </xf>
    <xf numFmtId="0" fontId="13" fillId="7" borderId="0" xfId="0" applyFont="1" applyFill="1" applyAlignment="1">
      <alignment vertical="top"/>
    </xf>
    <xf numFmtId="0" fontId="4" fillId="8" borderId="2" xfId="0" applyFont="1" applyFill="1" applyBorder="1" applyAlignment="1">
      <alignment horizontal="right" vertical="top"/>
    </xf>
    <xf numFmtId="0" fontId="2" fillId="8" borderId="3" xfId="0" applyFont="1" applyFill="1" applyBorder="1" applyAlignment="1">
      <alignment horizontal="right" vertical="top"/>
    </xf>
    <xf numFmtId="0" fontId="2" fillId="8" borderId="4" xfId="0" applyFont="1" applyFill="1" applyBorder="1" applyAlignment="1">
      <alignment horizontal="right" vertical="top"/>
    </xf>
    <xf numFmtId="0" fontId="4" fillId="2" borderId="2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173" fontId="1" fillId="0" borderId="0" xfId="0" applyNumberFormat="1" applyFont="1" applyAlignment="1">
      <alignment vertical="top"/>
    </xf>
    <xf numFmtId="0" fontId="2" fillId="0" borderId="5" xfId="0" applyFont="1" applyBorder="1" applyAlignment="1">
      <alignment vertical="top"/>
    </xf>
    <xf numFmtId="174" fontId="2" fillId="0" borderId="5" xfId="0" applyNumberFormat="1" applyFont="1" applyBorder="1" applyAlignment="1">
      <alignment vertical="top"/>
    </xf>
    <xf numFmtId="170" fontId="1" fillId="0" borderId="0" xfId="0" applyNumberFormat="1" applyFont="1" applyAlignment="1">
      <alignment vertical="top"/>
    </xf>
    <xf numFmtId="171" fontId="1" fillId="0" borderId="0" xfId="0" applyNumberFormat="1" applyFont="1" applyAlignment="1">
      <alignment vertical="top"/>
    </xf>
    <xf numFmtId="0" fontId="2" fillId="0" borderId="6" xfId="0" applyFont="1" applyBorder="1" applyAlignment="1">
      <alignment vertical="top"/>
    </xf>
    <xf numFmtId="170" fontId="1" fillId="0" borderId="6" xfId="0" applyNumberFormat="1" applyFont="1" applyBorder="1" applyAlignment="1">
      <alignment vertical="top"/>
    </xf>
    <xf numFmtId="171" fontId="1" fillId="0" borderId="6" xfId="0" applyNumberFormat="1" applyFont="1" applyBorder="1" applyAlignment="1">
      <alignment vertical="top"/>
    </xf>
    <xf numFmtId="0" fontId="14" fillId="7" borderId="0" xfId="0" applyFont="1" applyFill="1" applyAlignment="1">
      <alignment horizontal="right" vertical="top"/>
    </xf>
    <xf numFmtId="0" fontId="15" fillId="7" borderId="0" xfId="0" applyFont="1" applyFill="1" applyAlignment="1">
      <alignment horizontal="right" vertical="top"/>
    </xf>
    <xf numFmtId="0" fontId="16" fillId="7" borderId="0" xfId="0" applyFont="1" applyFill="1" applyAlignment="1">
      <alignment horizontal="right" vertical="top"/>
    </xf>
    <xf numFmtId="0" fontId="17" fillId="7" borderId="0" xfId="0" applyFont="1" applyFill="1" applyAlignment="1">
      <alignment vertical="top"/>
    </xf>
    <xf numFmtId="167" fontId="13" fillId="7" borderId="0" xfId="0" applyNumberFormat="1" applyFont="1" applyFill="1" applyAlignment="1">
      <alignment vertical="top"/>
    </xf>
    <xf numFmtId="168" fontId="13" fillId="7" borderId="0" xfId="0" applyNumberFormat="1" applyFont="1" applyFill="1" applyAlignment="1">
      <alignment vertical="top"/>
    </xf>
    <xf numFmtId="0" fontId="18" fillId="7" borderId="0" xfId="0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175" fontId="2" fillId="6" borderId="0" xfId="0" applyNumberFormat="1" applyFont="1" applyFill="1" applyAlignment="1">
      <alignment vertical="top"/>
    </xf>
    <xf numFmtId="169" fontId="6" fillId="0" borderId="0" xfId="0" applyNumberFormat="1" applyFont="1" applyAlignment="1">
      <alignment vertical="top"/>
    </xf>
    <xf numFmtId="170" fontId="10" fillId="2" borderId="0" xfId="0" applyNumberFormat="1" applyFont="1" applyFill="1" applyAlignment="1">
      <alignment horizontal="right" vertical="top"/>
    </xf>
    <xf numFmtId="0" fontId="10" fillId="0" borderId="0" xfId="0" applyFont="1" applyAlignment="1">
      <alignment horizontal="left" vertical="top"/>
    </xf>
    <xf numFmtId="170" fontId="10" fillId="0" borderId="0" xfId="0" applyNumberFormat="1" applyFont="1" applyAlignment="1">
      <alignment vertical="top"/>
    </xf>
    <xf numFmtId="0" fontId="10" fillId="2" borderId="0" xfId="0" applyFont="1" applyFill="1" applyAlignment="1">
      <alignment vertical="top"/>
    </xf>
    <xf numFmtId="169" fontId="19" fillId="0" borderId="0" xfId="0" applyNumberFormat="1" applyFont="1" applyAlignment="1">
      <alignment vertical="top"/>
    </xf>
    <xf numFmtId="0" fontId="4" fillId="0" borderId="5" xfId="0" applyFont="1" applyBorder="1" applyAlignment="1">
      <alignment vertical="top"/>
    </xf>
    <xf numFmtId="169" fontId="4" fillId="0" borderId="5" xfId="0" applyNumberFormat="1" applyFont="1" applyBorder="1" applyAlignment="1">
      <alignment vertical="top"/>
    </xf>
    <xf numFmtId="170" fontId="10" fillId="2" borderId="5" xfId="0" applyNumberFormat="1" applyFont="1" applyFill="1" applyBorder="1" applyAlignment="1">
      <alignment horizontal="right" vertical="top"/>
    </xf>
    <xf numFmtId="172" fontId="2" fillId="0" borderId="0" xfId="0" applyNumberFormat="1" applyFont="1" applyAlignment="1">
      <alignment vertical="top"/>
    </xf>
    <xf numFmtId="170" fontId="11" fillId="0" borderId="0" xfId="0" applyNumberFormat="1" applyFont="1" applyAlignment="1">
      <alignment vertical="top"/>
    </xf>
    <xf numFmtId="169" fontId="2" fillId="0" borderId="0" xfId="0" applyNumberFormat="1" applyFont="1" applyAlignment="1">
      <alignment vertical="top"/>
    </xf>
    <xf numFmtId="175" fontId="19" fillId="0" borderId="0" xfId="0" applyNumberFormat="1" applyFont="1" applyAlignment="1">
      <alignment vertical="top"/>
    </xf>
    <xf numFmtId="175" fontId="9" fillId="0" borderId="0" xfId="0" applyNumberFormat="1" applyFont="1" applyAlignment="1">
      <alignment vertical="top"/>
    </xf>
    <xf numFmtId="0" fontId="20" fillId="0" borderId="0" xfId="0" applyFont="1" applyAlignment="1">
      <alignment horizontal="right" vertical="top"/>
    </xf>
    <xf numFmtId="0" fontId="20" fillId="2" borderId="0" xfId="0" applyFont="1" applyFill="1" applyAlignment="1">
      <alignment horizontal="right" vertical="top"/>
    </xf>
    <xf numFmtId="170" fontId="19" fillId="2" borderId="7" xfId="0" applyNumberFormat="1" applyFont="1" applyFill="1" applyBorder="1" applyAlignment="1">
      <alignment horizontal="right" vertical="top"/>
    </xf>
    <xf numFmtId="169" fontId="2" fillId="0" borderId="5" xfId="0" applyNumberFormat="1" applyFont="1" applyBorder="1" applyAlignment="1">
      <alignment vertical="top"/>
    </xf>
    <xf numFmtId="169" fontId="4" fillId="2" borderId="5" xfId="0" applyNumberFormat="1" applyFont="1" applyFill="1" applyBorder="1" applyAlignment="1">
      <alignment horizontal="right" vertical="top"/>
    </xf>
    <xf numFmtId="170" fontId="19" fillId="2" borderId="8" xfId="0" applyNumberFormat="1" applyFont="1" applyFill="1" applyBorder="1" applyAlignment="1">
      <alignment horizontal="right" vertical="top"/>
    </xf>
    <xf numFmtId="169" fontId="4" fillId="2" borderId="0" xfId="0" applyNumberFormat="1" applyFont="1" applyFill="1" applyAlignment="1">
      <alignment horizontal="right" vertical="top"/>
    </xf>
    <xf numFmtId="170" fontId="19" fillId="2" borderId="9" xfId="0" applyNumberFormat="1" applyFont="1" applyFill="1" applyBorder="1" applyAlignment="1">
      <alignment horizontal="right" vertical="top"/>
    </xf>
    <xf numFmtId="169" fontId="2" fillId="0" borderId="6" xfId="0" applyNumberFormat="1" applyFont="1" applyBorder="1" applyAlignment="1">
      <alignment vertical="top"/>
    </xf>
    <xf numFmtId="169" fontId="4" fillId="2" borderId="6" xfId="0" applyNumberFormat="1" applyFont="1" applyFill="1" applyBorder="1" applyAlignment="1">
      <alignment horizontal="right" vertical="top"/>
    </xf>
    <xf numFmtId="0" fontId="4" fillId="2" borderId="10" xfId="0" applyFont="1" applyFill="1" applyBorder="1" applyAlignment="1">
      <alignment horizontal="right" vertical="top"/>
    </xf>
    <xf numFmtId="0" fontId="4" fillId="6" borderId="0" xfId="0" applyFont="1" applyFill="1" applyAlignment="1">
      <alignment horizontal="right" vertical="top"/>
    </xf>
    <xf numFmtId="169" fontId="4" fillId="0" borderId="10" xfId="0" applyNumberFormat="1" applyFont="1" applyBorder="1" applyAlignment="1">
      <alignment horizontal="right" vertical="top"/>
    </xf>
    <xf numFmtId="0" fontId="4" fillId="0" borderId="11" xfId="0" applyFont="1" applyBorder="1" applyAlignment="1">
      <alignment vertical="top"/>
    </xf>
    <xf numFmtId="0" fontId="4" fillId="0" borderId="0" xfId="0" applyFont="1" applyAlignment="1">
      <alignment horizontal="right" vertical="top"/>
    </xf>
    <xf numFmtId="0" fontId="4" fillId="2" borderId="12" xfId="0" applyFont="1" applyFill="1" applyBorder="1" applyAlignment="1">
      <alignment horizontal="right" vertical="top"/>
    </xf>
    <xf numFmtId="0" fontId="4" fillId="0" borderId="13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4" fillId="2" borderId="14" xfId="0" applyFont="1" applyFill="1" applyBorder="1" applyAlignment="1">
      <alignment horizontal="right" vertical="top"/>
    </xf>
    <xf numFmtId="170" fontId="2" fillId="0" borderId="15" xfId="0" applyNumberFormat="1" applyFont="1" applyBorder="1" applyAlignment="1">
      <alignment horizontal="right" vertical="top"/>
    </xf>
    <xf numFmtId="171" fontId="19" fillId="0" borderId="5" xfId="0" applyNumberFormat="1" applyFont="1" applyBorder="1" applyAlignment="1">
      <alignment horizontal="right" vertical="top"/>
    </xf>
    <xf numFmtId="169" fontId="2" fillId="0" borderId="5" xfId="0" applyNumberFormat="1" applyFont="1" applyBorder="1" applyAlignment="1">
      <alignment horizontal="right" vertical="top"/>
    </xf>
    <xf numFmtId="170" fontId="2" fillId="2" borderId="16" xfId="0" applyNumberFormat="1" applyFont="1" applyFill="1" applyBorder="1" applyAlignment="1">
      <alignment horizontal="right" vertical="top"/>
    </xf>
    <xf numFmtId="170" fontId="2" fillId="0" borderId="11" xfId="0" applyNumberFormat="1" applyFont="1" applyBorder="1" applyAlignment="1">
      <alignment horizontal="right" vertical="top"/>
    </xf>
    <xf numFmtId="171" fontId="2" fillId="0" borderId="0" xfId="0" applyNumberFormat="1" applyFont="1" applyAlignment="1">
      <alignment horizontal="right" vertical="top"/>
    </xf>
    <xf numFmtId="169" fontId="2" fillId="0" borderId="0" xfId="0" applyNumberFormat="1" applyFont="1" applyAlignment="1">
      <alignment horizontal="right" vertical="top"/>
    </xf>
    <xf numFmtId="170" fontId="2" fillId="2" borderId="12" xfId="0" applyNumberFormat="1" applyFont="1" applyFill="1" applyBorder="1" applyAlignment="1">
      <alignment horizontal="right" vertical="top"/>
    </xf>
    <xf numFmtId="170" fontId="2" fillId="0" borderId="13" xfId="0" applyNumberFormat="1" applyFont="1" applyBorder="1" applyAlignment="1">
      <alignment horizontal="right" vertical="top"/>
    </xf>
    <xf numFmtId="171" fontId="2" fillId="0" borderId="6" xfId="0" applyNumberFormat="1" applyFont="1" applyBorder="1" applyAlignment="1">
      <alignment horizontal="right" vertical="top"/>
    </xf>
    <xf numFmtId="169" fontId="2" fillId="0" borderId="6" xfId="0" applyNumberFormat="1" applyFont="1" applyBorder="1" applyAlignment="1">
      <alignment horizontal="right" vertical="top"/>
    </xf>
    <xf numFmtId="170" fontId="2" fillId="2" borderId="14" xfId="0" applyNumberFormat="1" applyFont="1" applyFill="1" applyBorder="1" applyAlignment="1">
      <alignment horizontal="right" vertical="top"/>
    </xf>
    <xf numFmtId="170" fontId="19" fillId="0" borderId="5" xfId="0" applyNumberFormat="1" applyFont="1" applyBorder="1" applyAlignment="1">
      <alignment horizontal="right" vertical="top"/>
    </xf>
    <xf numFmtId="171" fontId="2" fillId="2" borderId="16" xfId="0" applyNumberFormat="1" applyFont="1" applyFill="1" applyBorder="1" applyAlignment="1">
      <alignment horizontal="right" vertical="top"/>
    </xf>
    <xf numFmtId="170" fontId="2" fillId="0" borderId="0" xfId="0" applyNumberFormat="1" applyFont="1" applyAlignment="1">
      <alignment horizontal="right" vertical="top"/>
    </xf>
    <xf numFmtId="171" fontId="2" fillId="2" borderId="12" xfId="0" applyNumberFormat="1" applyFont="1" applyFill="1" applyBorder="1" applyAlignment="1">
      <alignment horizontal="right" vertical="top"/>
    </xf>
    <xf numFmtId="170" fontId="2" fillId="0" borderId="6" xfId="0" applyNumberFormat="1" applyFont="1" applyBorder="1" applyAlignment="1">
      <alignment horizontal="right" vertical="top"/>
    </xf>
    <xf numFmtId="171" fontId="2" fillId="2" borderId="14" xfId="0" applyNumberFormat="1" applyFont="1" applyFill="1" applyBorder="1" applyAlignment="1">
      <alignment horizontal="right" vertical="top"/>
    </xf>
    <xf numFmtId="0" fontId="4" fillId="0" borderId="17" xfId="0" applyFont="1" applyBorder="1" applyAlignment="1">
      <alignment vertical="top"/>
    </xf>
    <xf numFmtId="0" fontId="2" fillId="7" borderId="0" xfId="0" applyFont="1" applyFill="1" applyAlignment="1">
      <alignment vertical="top"/>
    </xf>
    <xf numFmtId="0" fontId="4" fillId="6" borderId="18" xfId="0" applyFont="1" applyFill="1" applyBorder="1" applyAlignment="1">
      <alignment vertical="top"/>
    </xf>
    <xf numFmtId="0" fontId="2" fillId="6" borderId="19" xfId="0" applyFont="1" applyFill="1" applyBorder="1" applyAlignment="1">
      <alignment vertical="top"/>
    </xf>
    <xf numFmtId="171" fontId="4" fillId="6" borderId="18" xfId="0" applyNumberFormat="1" applyFont="1" applyFill="1" applyBorder="1" applyAlignment="1">
      <alignment horizontal="right" vertical="top"/>
    </xf>
    <xf numFmtId="0" fontId="4" fillId="6" borderId="18" xfId="0" applyFont="1" applyFill="1" applyBorder="1" applyAlignment="1">
      <alignment horizontal="right" vertical="top"/>
    </xf>
    <xf numFmtId="0" fontId="4" fillId="6" borderId="19" xfId="0" applyFont="1" applyFill="1" applyBorder="1" applyAlignment="1">
      <alignment horizontal="right" vertical="top"/>
    </xf>
    <xf numFmtId="0" fontId="4" fillId="0" borderId="20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170" fontId="6" fillId="0" borderId="20" xfId="0" applyNumberFormat="1" applyFont="1" applyBorder="1" applyAlignment="1">
      <alignment horizontal="right" vertical="top"/>
    </xf>
    <xf numFmtId="170" fontId="6" fillId="0" borderId="21" xfId="0" applyNumberFormat="1" applyFont="1" applyBorder="1" applyAlignment="1">
      <alignment horizontal="right" vertical="top"/>
    </xf>
    <xf numFmtId="170" fontId="4" fillId="0" borderId="20" xfId="0" applyNumberFormat="1" applyFont="1" applyBorder="1" applyAlignment="1">
      <alignment vertical="top"/>
    </xf>
    <xf numFmtId="170" fontId="4" fillId="0" borderId="21" xfId="0" applyNumberFormat="1" applyFont="1" applyBorder="1" applyAlignment="1">
      <alignment vertical="top"/>
    </xf>
    <xf numFmtId="0" fontId="20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16" xfId="0" applyFont="1" applyBorder="1" applyAlignment="1">
      <alignment vertical="top"/>
    </xf>
    <xf numFmtId="169" fontId="2" fillId="0" borderId="16" xfId="0" applyNumberFormat="1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12" xfId="0" applyFont="1" applyBorder="1" applyAlignment="1">
      <alignment horizontal="right" vertical="top"/>
    </xf>
    <xf numFmtId="0" fontId="10" fillId="0" borderId="0" xfId="0" applyFont="1" applyAlignment="1">
      <alignment vertical="top"/>
    </xf>
    <xf numFmtId="0" fontId="10" fillId="0" borderId="12" xfId="0" applyFont="1" applyBorder="1" applyAlignment="1">
      <alignment vertical="top"/>
    </xf>
    <xf numFmtId="171" fontId="10" fillId="0" borderId="0" xfId="0" applyNumberFormat="1" applyFont="1" applyAlignment="1">
      <alignment horizontal="right" vertical="top"/>
    </xf>
    <xf numFmtId="171" fontId="10" fillId="0" borderId="12" xfId="0" applyNumberFormat="1" applyFont="1" applyBorder="1" applyAlignment="1">
      <alignment horizontal="right" vertical="top"/>
    </xf>
    <xf numFmtId="170" fontId="10" fillId="0" borderId="0" xfId="0" applyNumberFormat="1" applyFont="1" applyAlignment="1">
      <alignment horizontal="right" vertical="top"/>
    </xf>
    <xf numFmtId="170" fontId="10" fillId="0" borderId="12" xfId="0" applyNumberFormat="1" applyFont="1" applyBorder="1" applyAlignment="1">
      <alignment horizontal="right" vertical="top"/>
    </xf>
    <xf numFmtId="0" fontId="10" fillId="0" borderId="18" xfId="0" applyFont="1" applyBorder="1" applyAlignment="1">
      <alignment horizontal="left" vertical="top"/>
    </xf>
    <xf numFmtId="0" fontId="10" fillId="0" borderId="19" xfId="0" applyFont="1" applyBorder="1" applyAlignment="1">
      <alignment vertical="top"/>
    </xf>
    <xf numFmtId="170" fontId="10" fillId="0" borderId="18" xfId="0" applyNumberFormat="1" applyFont="1" applyBorder="1" applyAlignment="1">
      <alignment horizontal="right" vertical="top"/>
    </xf>
    <xf numFmtId="0" fontId="4" fillId="8" borderId="18" xfId="0" applyFont="1" applyFill="1" applyBorder="1" applyAlignment="1">
      <alignment vertical="top"/>
    </xf>
    <xf numFmtId="0" fontId="2" fillId="8" borderId="19" xfId="0" applyFont="1" applyFill="1" applyBorder="1" applyAlignment="1">
      <alignment vertical="top"/>
    </xf>
    <xf numFmtId="170" fontId="4" fillId="8" borderId="18" xfId="0" applyNumberFormat="1" applyFont="1" applyFill="1" applyBorder="1" applyAlignment="1">
      <alignment horizontal="right" vertical="top"/>
    </xf>
    <xf numFmtId="0" fontId="4" fillId="8" borderId="18" xfId="0" applyFont="1" applyFill="1" applyBorder="1" applyAlignment="1">
      <alignment horizontal="right" vertical="top"/>
    </xf>
    <xf numFmtId="0" fontId="4" fillId="8" borderId="19" xfId="0" applyFont="1" applyFill="1" applyBorder="1" applyAlignment="1">
      <alignment horizontal="right" vertical="top"/>
    </xf>
    <xf numFmtId="171" fontId="10" fillId="0" borderId="18" xfId="0" applyNumberFormat="1" applyFont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4" fillId="2" borderId="18" xfId="0" applyFont="1" applyFill="1" applyBorder="1" applyAlignment="1">
      <alignment vertical="top"/>
    </xf>
    <xf numFmtId="168" fontId="4" fillId="2" borderId="18" xfId="0" applyNumberFormat="1" applyFont="1" applyFill="1" applyBorder="1" applyAlignment="1">
      <alignment vertical="top"/>
    </xf>
    <xf numFmtId="0" fontId="20" fillId="2" borderId="22" xfId="0" applyFont="1" applyFill="1" applyBorder="1" applyAlignment="1">
      <alignment horizontal="right" vertical="top"/>
    </xf>
    <xf numFmtId="170" fontId="10" fillId="2" borderId="8" xfId="0" applyNumberFormat="1" applyFont="1" applyFill="1" applyBorder="1" applyAlignment="1">
      <alignment horizontal="right" vertical="top"/>
    </xf>
    <xf numFmtId="0" fontId="2" fillId="2" borderId="8" xfId="0" applyFont="1" applyFill="1" applyBorder="1" applyAlignment="1">
      <alignment vertical="top"/>
    </xf>
    <xf numFmtId="0" fontId="4" fillId="0" borderId="23" xfId="0" applyFont="1" applyBorder="1" applyAlignment="1">
      <alignment vertical="top"/>
    </xf>
    <xf numFmtId="169" fontId="4" fillId="0" borderId="23" xfId="0" applyNumberFormat="1" applyFont="1" applyBorder="1" applyAlignment="1">
      <alignment vertical="top"/>
    </xf>
    <xf numFmtId="170" fontId="10" fillId="2" borderId="24" xfId="0" applyNumberFormat="1" applyFont="1" applyFill="1" applyBorder="1" applyAlignment="1">
      <alignment horizontal="right" vertical="top"/>
    </xf>
    <xf numFmtId="0" fontId="4" fillId="6" borderId="23" xfId="0" applyFont="1" applyFill="1" applyBorder="1" applyAlignment="1">
      <alignment vertical="top"/>
    </xf>
    <xf numFmtId="169" fontId="4" fillId="6" borderId="23" xfId="0" applyNumberFormat="1" applyFont="1" applyFill="1" applyBorder="1" applyAlignment="1">
      <alignment vertical="top"/>
    </xf>
    <xf numFmtId="170" fontId="10" fillId="6" borderId="24" xfId="0" applyNumberFormat="1" applyFont="1" applyFill="1" applyBorder="1" applyAlignment="1">
      <alignment horizontal="right" vertical="top"/>
    </xf>
    <xf numFmtId="170" fontId="10" fillId="0" borderId="18" xfId="0" applyNumberFormat="1" applyFont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171" fontId="4" fillId="2" borderId="6" xfId="0" applyNumberFormat="1" applyFont="1" applyFill="1" applyBorder="1" applyAlignment="1">
      <alignment horizontal="right" vertical="top"/>
    </xf>
    <xf numFmtId="0" fontId="4" fillId="0" borderId="3" xfId="0" applyFont="1" applyBorder="1" applyAlignment="1">
      <alignment vertical="top"/>
    </xf>
    <xf numFmtId="170" fontId="4" fillId="0" borderId="3" xfId="0" applyNumberFormat="1" applyFont="1" applyBorder="1" applyAlignment="1">
      <alignment horizontal="right" vertical="top"/>
    </xf>
    <xf numFmtId="170" fontId="4" fillId="0" borderId="0" xfId="0" applyNumberFormat="1" applyFont="1" applyAlignment="1">
      <alignment horizontal="right" vertical="top"/>
    </xf>
    <xf numFmtId="0" fontId="4" fillId="6" borderId="5" xfId="0" applyFont="1" applyFill="1" applyBorder="1" applyAlignment="1">
      <alignment vertical="top"/>
    </xf>
    <xf numFmtId="169" fontId="4" fillId="6" borderId="5" xfId="0" applyNumberFormat="1" applyFont="1" applyFill="1" applyBorder="1" applyAlignment="1">
      <alignment horizontal="right" vertical="top"/>
    </xf>
    <xf numFmtId="0" fontId="20" fillId="0" borderId="5" xfId="0" applyFont="1" applyBorder="1" applyAlignment="1">
      <alignment vertical="top"/>
    </xf>
    <xf numFmtId="170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vertical="top"/>
    </xf>
    <xf numFmtId="171" fontId="10" fillId="0" borderId="5" xfId="0" applyNumberFormat="1" applyFont="1" applyBorder="1" applyAlignment="1">
      <alignment horizontal="right" vertical="top"/>
    </xf>
    <xf numFmtId="0" fontId="10" fillId="0" borderId="18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170" fontId="4" fillId="2" borderId="6" xfId="0" applyNumberFormat="1" applyFont="1" applyFill="1" applyBorder="1" applyAlignment="1">
      <alignment horizontal="right" vertical="top"/>
    </xf>
    <xf numFmtId="0" fontId="4" fillId="8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right" vertical="top"/>
    </xf>
    <xf numFmtId="0" fontId="4" fillId="0" borderId="18" xfId="0" applyFont="1" applyBorder="1" applyAlignment="1">
      <alignment vertical="top"/>
    </xf>
    <xf numFmtId="169" fontId="1" fillId="0" borderId="0" xfId="0" applyNumberFormat="1" applyFont="1" applyAlignment="1">
      <alignment vertical="top"/>
    </xf>
    <xf numFmtId="171" fontId="2" fillId="0" borderId="0" xfId="0" applyNumberFormat="1" applyFont="1" applyAlignment="1">
      <alignment vertical="top"/>
    </xf>
    <xf numFmtId="0" fontId="4" fillId="2" borderId="0" xfId="0" applyFont="1" applyFill="1" applyAlignment="1">
      <alignment vertical="top"/>
    </xf>
    <xf numFmtId="169" fontId="4" fillId="2" borderId="0" xfId="0" applyNumberFormat="1" applyFont="1" applyFill="1" applyAlignment="1">
      <alignment vertical="top"/>
    </xf>
    <xf numFmtId="171" fontId="4" fillId="2" borderId="0" xfId="0" applyNumberFormat="1" applyFont="1" applyFill="1" applyAlignment="1">
      <alignment vertical="top"/>
    </xf>
    <xf numFmtId="0" fontId="2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5" fillId="6" borderId="3" xfId="0" applyFont="1" applyFill="1" applyBorder="1" applyAlignment="1">
      <alignment horizontal="right" vertical="top"/>
    </xf>
    <xf numFmtId="171" fontId="4" fillId="6" borderId="3" xfId="0" applyNumberFormat="1" applyFont="1" applyFill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171" fontId="2" fillId="0" borderId="3" xfId="0" applyNumberFormat="1" applyFont="1" applyBorder="1" applyAlignment="1">
      <alignment horizontal="right" vertical="top"/>
    </xf>
    <xf numFmtId="170" fontId="1" fillId="2" borderId="0" xfId="0" applyNumberFormat="1" applyFont="1" applyFill="1" applyAlignment="1">
      <alignment vertical="top"/>
    </xf>
    <xf numFmtId="0" fontId="2" fillId="0" borderId="25" xfId="0" applyFont="1" applyBorder="1" applyAlignment="1">
      <alignment horizontal="right" vertical="top"/>
    </xf>
    <xf numFmtId="171" fontId="2" fillId="0" borderId="25" xfId="0" applyNumberFormat="1" applyFont="1" applyBorder="1" applyAlignment="1">
      <alignment horizontal="right" vertical="top"/>
    </xf>
    <xf numFmtId="175" fontId="1" fillId="0" borderId="0" xfId="0" applyNumberFormat="1" applyFont="1" applyAlignment="1">
      <alignment vertical="top"/>
    </xf>
    <xf numFmtId="176" fontId="2" fillId="0" borderId="0" xfId="0" applyNumberFormat="1" applyFont="1" applyAlignment="1">
      <alignment vertical="top"/>
    </xf>
    <xf numFmtId="177" fontId="2" fillId="0" borderId="5" xfId="0" applyNumberFormat="1" applyFont="1" applyBorder="1" applyAlignment="1">
      <alignment vertical="top"/>
    </xf>
    <xf numFmtId="169" fontId="4" fillId="0" borderId="0" xfId="0" applyNumberFormat="1" applyFont="1" applyAlignment="1">
      <alignment vertical="top"/>
    </xf>
    <xf numFmtId="169" fontId="4" fillId="0" borderId="3" xfId="0" applyNumberFormat="1" applyFont="1" applyBorder="1" applyAlignment="1">
      <alignment vertical="top"/>
    </xf>
    <xf numFmtId="170" fontId="4" fillId="0" borderId="0" xfId="0" applyNumberFormat="1" applyFont="1" applyAlignment="1">
      <alignment vertical="top"/>
    </xf>
    <xf numFmtId="177" fontId="1" fillId="0" borderId="0" xfId="0" applyNumberFormat="1" applyFont="1" applyAlignment="1">
      <alignment vertical="top"/>
    </xf>
    <xf numFmtId="171" fontId="4" fillId="0" borderId="0" xfId="0" applyNumberFormat="1" applyFont="1" applyAlignment="1">
      <alignment vertical="top"/>
    </xf>
    <xf numFmtId="170" fontId="4" fillId="6" borderId="3" xfId="0" applyNumberFormat="1" applyFont="1" applyFill="1" applyBorder="1" applyAlignment="1">
      <alignment horizontal="right" vertical="top"/>
    </xf>
    <xf numFmtId="170" fontId="2" fillId="0" borderId="3" xfId="0" applyNumberFormat="1" applyFont="1" applyBorder="1" applyAlignment="1">
      <alignment horizontal="right" vertical="top"/>
    </xf>
    <xf numFmtId="170" fontId="2" fillId="0" borderId="25" xfId="0" applyNumberFormat="1" applyFont="1" applyBorder="1" applyAlignment="1">
      <alignment horizontal="right" vertical="top"/>
    </xf>
    <xf numFmtId="0" fontId="2" fillId="0" borderId="17" xfId="0" applyFont="1" applyBorder="1" applyAlignment="1">
      <alignment vertical="top"/>
    </xf>
    <xf numFmtId="0" fontId="22" fillId="0" borderId="18" xfId="0" applyFont="1" applyBorder="1" applyAlignment="1">
      <alignment horizontal="right" vertical="top"/>
    </xf>
    <xf numFmtId="0" fontId="2" fillId="0" borderId="18" xfId="0" applyFont="1" applyBorder="1" applyAlignment="1">
      <alignment horizontal="right" vertical="top"/>
    </xf>
    <xf numFmtId="0" fontId="22" fillId="0" borderId="26" xfId="0" applyFont="1" applyBorder="1" applyAlignment="1">
      <alignment horizontal="right" vertical="bottom" wrapText="1" textRotation="90"/>
    </xf>
    <xf numFmtId="170" fontId="4" fillId="2" borderId="0" xfId="0" applyNumberFormat="1" applyFont="1" applyFill="1" applyAlignment="1">
      <alignment horizontal="right" vertical="bottom"/>
    </xf>
    <xf numFmtId="171" fontId="1" fillId="2" borderId="0" xfId="0" applyNumberFormat="1" applyFont="1" applyFill="1" applyAlignment="1">
      <alignment horizontal="right" vertical="bottom"/>
    </xf>
    <xf numFmtId="171" fontId="2" fillId="2" borderId="0" xfId="0" applyNumberFormat="1" applyFont="1" applyFill="1" applyAlignment="1">
      <alignment horizontal="right" vertical="bottom"/>
    </xf>
    <xf numFmtId="170" fontId="2" fillId="0" borderId="27" xfId="0" applyNumberFormat="1" applyFont="1" applyBorder="1" applyAlignment="1">
      <alignment horizontal="right" vertical="bottom"/>
    </xf>
    <xf numFmtId="170" fontId="2" fillId="0" borderId="23" xfId="0" applyNumberFormat="1" applyFont="1" applyBorder="1" applyAlignment="1">
      <alignment horizontal="right" vertical="bottom"/>
    </xf>
    <xf numFmtId="170" fontId="2" fillId="0" borderId="28" xfId="0" applyNumberFormat="1" applyFont="1" applyBorder="1" applyAlignment="1">
      <alignment horizontal="right" vertical="bottom"/>
    </xf>
    <xf numFmtId="170" fontId="2" fillId="0" borderId="0" xfId="0" applyNumberFormat="1" applyFont="1" applyAlignment="1">
      <alignment horizontal="right" vertical="bottom"/>
    </xf>
    <xf numFmtId="169" fontId="4" fillId="2" borderId="0" xfId="0" applyNumberFormat="1" applyFont="1" applyFill="1" applyAlignment="1">
      <alignment horizontal="right" vertical="bottom"/>
    </xf>
    <xf numFmtId="170" fontId="1" fillId="2" borderId="0" xfId="0" applyNumberFormat="1" applyFont="1" applyFill="1" applyAlignment="1">
      <alignment horizontal="right" vertical="bottom"/>
    </xf>
    <xf numFmtId="170" fontId="9" fillId="2" borderId="0" xfId="0" applyNumberFormat="1" applyFont="1" applyFill="1" applyAlignment="1">
      <alignment horizontal="right" vertical="bottom"/>
    </xf>
    <xf numFmtId="169" fontId="2" fillId="0" borderId="27" xfId="0" applyNumberFormat="1" applyFont="1" applyBorder="1" applyAlignment="1">
      <alignment horizontal="right" vertical="bottom"/>
    </xf>
    <xf numFmtId="169" fontId="2" fillId="0" borderId="23" xfId="0" applyNumberFormat="1" applyFont="1" applyBorder="1" applyAlignment="1">
      <alignment horizontal="right" vertical="bottom"/>
    </xf>
    <xf numFmtId="169" fontId="2" fillId="0" borderId="28" xfId="0" applyNumberFormat="1" applyFont="1" applyBorder="1" applyAlignment="1">
      <alignment horizontal="right" vertical="bottom"/>
    </xf>
    <xf numFmtId="169" fontId="2" fillId="0" borderId="0" xfId="0" applyNumberFormat="1" applyFont="1" applyAlignment="1">
      <alignment horizontal="right" vertical="bottom"/>
    </xf>
    <xf numFmtId="0" fontId="4" fillId="0" borderId="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5" fillId="2" borderId="10" xfId="0" applyFont="1" applyFill="1" applyBorder="1" applyAlignment="1">
      <alignment horizontal="right" vertical="top"/>
    </xf>
    <xf numFmtId="170" fontId="20" fillId="2" borderId="0" xfId="0" applyNumberFormat="1" applyFont="1" applyFill="1" applyAlignment="1">
      <alignment horizontal="right" vertical="top"/>
    </xf>
    <xf numFmtId="169" fontId="6" fillId="0" borderId="5" xfId="0" applyNumberFormat="1" applyFont="1" applyBorder="1" applyAlignment="1">
      <alignment vertical="top"/>
    </xf>
    <xf numFmtId="170" fontId="20" fillId="2" borderId="5" xfId="0" applyNumberFormat="1" applyFont="1" applyFill="1" applyBorder="1" applyAlignment="1">
      <alignment horizontal="right" vertical="top"/>
    </xf>
    <xf numFmtId="169" fontId="7" fillId="0" borderId="5" xfId="0" applyNumberFormat="1" applyFont="1" applyBorder="1" applyAlignment="1">
      <alignment vertical="top"/>
    </xf>
    <xf numFmtId="169" fontId="9" fillId="0" borderId="0" xfId="0" applyNumberFormat="1" applyFont="1" applyAlignment="1">
      <alignment vertical="top"/>
    </xf>
    <xf numFmtId="0" fontId="2" fillId="6" borderId="0" xfId="0" applyFont="1" applyFill="1" applyAlignment="1">
      <alignment horizontal="right" vertical="top"/>
    </xf>
    <xf numFmtId="175" fontId="11" fillId="0" borderId="0" xfId="0" applyNumberFormat="1" applyFont="1" applyAlignment="1">
      <alignment vertical="top"/>
    </xf>
    <xf numFmtId="175" fontId="12" fillId="0" borderId="0" xfId="0" applyNumberFormat="1" applyFont="1" applyAlignment="1">
      <alignment vertical="top"/>
    </xf>
    <xf numFmtId="169" fontId="19" fillId="0" borderId="5" xfId="0" applyNumberFormat="1" applyFont="1" applyBorder="1" applyAlignment="1">
      <alignment vertical="top"/>
    </xf>
    <xf numFmtId="9" fontId="1" fillId="0" borderId="0" xfId="0" applyNumberFormat="1" applyFont="1" applyAlignment="1">
      <alignment vertical="top"/>
    </xf>
    <xf numFmtId="0" fontId="2" fillId="0" borderId="6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0" fontId="23" fillId="0" borderId="0" xfId="0" applyNumberFormat="1" applyFont="1" applyAlignment="1">
      <alignment vertical="top"/>
    </xf>
    <xf numFmtId="0" fontId="2" fillId="2" borderId="0" xfId="0" applyFont="1" applyFill="1" applyAlignment="1">
      <alignment horizontal="justify" vertical="top"/>
    </xf>
    <xf numFmtId="169" fontId="6" fillId="0" borderId="10" xfId="0" applyNumberFormat="1" applyFont="1" applyBorder="1" applyAlignment="1">
      <alignment vertical="top"/>
    </xf>
    <xf numFmtId="178" fontId="5" fillId="0" borderId="7" xfId="0" applyNumberFormat="1" applyFont="1" applyBorder="1" applyAlignment="1">
      <alignment vertical="top"/>
    </xf>
    <xf numFmtId="169" fontId="5" fillId="0" borderId="5" xfId="0" applyNumberFormat="1" applyFont="1" applyBorder="1" applyAlignment="1">
      <alignment vertical="top"/>
    </xf>
    <xf numFmtId="169" fontId="19" fillId="0" borderId="10" xfId="0" applyNumberFormat="1" applyFont="1" applyBorder="1" applyAlignment="1">
      <alignment vertical="top"/>
    </xf>
    <xf numFmtId="170" fontId="19" fillId="0" borderId="7" xfId="0" applyNumberFormat="1" applyFont="1" applyBorder="1" applyAlignment="1">
      <alignment vertical="top"/>
    </xf>
    <xf numFmtId="170" fontId="19" fillId="0" borderId="10" xfId="0" applyNumberFormat="1" applyFont="1" applyBorder="1" applyAlignment="1">
      <alignment vertical="top"/>
    </xf>
    <xf numFmtId="175" fontId="10" fillId="0" borderId="0" xfId="0" applyNumberFormat="1" applyFont="1" applyAlignment="1">
      <alignment vertical="top"/>
    </xf>
    <xf numFmtId="171" fontId="4" fillId="0" borderId="5" xfId="0" applyNumberFormat="1" applyFont="1" applyBorder="1" applyAlignment="1">
      <alignment vertical="top"/>
    </xf>
    <xf numFmtId="170" fontId="4" fillId="0" borderId="5" xfId="0" applyNumberFormat="1" applyFont="1" applyBorder="1" applyAlignment="1">
      <alignment vertical="top"/>
    </xf>
    <xf numFmtId="0" fontId="24" fillId="0" borderId="0" xfId="0" applyFont="1" applyAlignment="1">
      <alignment vertical="top"/>
    </xf>
    <xf numFmtId="0" fontId="2" fillId="0" borderId="0" xfId="0" applyFont="1" applyAlignment="1">
      <alignment vertical="bottom"/>
    </xf>
    <xf numFmtId="0" fontId="8" fillId="0" borderId="29" xfId="0" applyFont="1" applyBorder="1" applyAlignment="1">
      <alignment horizontal="right" vertical="bottom"/>
    </xf>
    <xf numFmtId="0" fontId="2" fillId="0" borderId="0" xfId="0" applyFont="1" applyAlignment="1">
      <alignment horizontal="right" vertical="bottom"/>
    </xf>
    <xf numFmtId="175" fontId="25" fillId="0" borderId="0" xfId="0" applyNumberFormat="1" applyFont="1" applyAlignment="1">
      <alignment horizontal="right" vertical="bottom"/>
    </xf>
    <xf numFmtId="0" fontId="10" fillId="0" borderId="0" xfId="0" applyFont="1" applyAlignment="1">
      <alignment vertical="bottom"/>
    </xf>
    <xf numFmtId="0" fontId="2" fillId="0" borderId="1" xfId="0" applyFont="1" applyBorder="1" applyAlignment="1">
      <alignment vertical="bottom"/>
    </xf>
    <xf numFmtId="169" fontId="2" fillId="0" borderId="1" xfId="0" applyNumberFormat="1" applyFont="1" applyBorder="1" applyAlignment="1">
      <alignment vertical="bottom"/>
    </xf>
    <xf numFmtId="171" fontId="2" fillId="0" borderId="1" xfId="0" applyNumberFormat="1" applyFont="1" applyBorder="1" applyAlignment="1">
      <alignment vertical="bottom"/>
    </xf>
    <xf numFmtId="170" fontId="2" fillId="0" borderId="1" xfId="0" applyNumberFormat="1" applyFont="1" applyBorder="1" applyAlignment="1">
      <alignment vertical="bottom"/>
    </xf>
    <xf numFmtId="0" fontId="8" fillId="0" borderId="0" xfId="0" applyFont="1" applyAlignment="1">
      <alignment horizontal="right" vertical="top"/>
    </xf>
    <xf numFmtId="170" fontId="4" fillId="0" borderId="30" xfId="0" applyNumberFormat="1" applyFont="1" applyBorder="1" applyAlignment="1">
      <alignment horizontal="right" vertical="bottom"/>
    </xf>
    <xf numFmtId="0" fontId="8" fillId="0" borderId="0" xfId="0" applyFont="1" applyAlignment="1">
      <alignment horizontal="right" vertical="top" textRotation="90"/>
    </xf>
    <xf numFmtId="170" fontId="4" fillId="0" borderId="0" xfId="0" applyNumberFormat="1" applyFont="1" applyAlignment="1">
      <alignment horizontal="right" vertical="bottom"/>
    </xf>
    <xf numFmtId="0" fontId="2" fillId="0" borderId="27" xfId="0" applyFont="1" applyBorder="1" applyAlignment="1">
      <alignment horizontal="right" vertical="bottom"/>
    </xf>
    <xf numFmtId="0" fontId="2" fillId="0" borderId="23" xfId="0" applyFont="1" applyBorder="1" applyAlignment="1">
      <alignment horizontal="right" vertical="bottom"/>
    </xf>
    <xf numFmtId="0" fontId="2" fillId="0" borderId="31" xfId="0" applyFont="1" applyBorder="1" applyAlignment="1">
      <alignment horizontal="right" vertical="bottom"/>
    </xf>
    <xf numFmtId="0" fontId="2" fillId="0" borderId="28" xfId="0" applyFont="1" applyBorder="1" applyAlignment="1">
      <alignment horizontal="right" vertical="bottom"/>
    </xf>
    <xf numFmtId="0" fontId="2" fillId="8" borderId="0" xfId="0" applyFont="1" applyFill="1" applyAlignment="1">
      <alignment horizontal="right" vertical="bottom"/>
    </xf>
    <xf numFmtId="0" fontId="2" fillId="0" borderId="26" xfId="0" applyFont="1" applyBorder="1" applyAlignment="1">
      <alignment horizontal="right" vertical="bottom"/>
    </xf>
    <xf numFmtId="0" fontId="2" fillId="0" borderId="32" xfId="0" applyFont="1" applyBorder="1" applyAlignment="1">
      <alignment horizontal="right" vertical="bottom"/>
    </xf>
    <xf numFmtId="0" fontId="2" fillId="0" borderId="18" xfId="0" applyFont="1" applyBorder="1" applyAlignment="1">
      <alignment horizontal="right" vertical="bottom"/>
    </xf>
    <xf numFmtId="0" fontId="2" fillId="0" borderId="33" xfId="0" applyFont="1" applyBorder="1" applyAlignment="1">
      <alignment horizontal="right" vertical="bottom"/>
    </xf>
    <xf numFmtId="0" fontId="8" fillId="0" borderId="29" xfId="0" applyFont="1" applyBorder="1" applyAlignment="1">
      <alignment vertical="bottom"/>
    </xf>
    <xf numFmtId="0" fontId="8" fillId="0" borderId="29" xfId="0" applyFont="1" applyBorder="1" applyAlignment="1">
      <alignment horizontal="justify" vertical="bottom"/>
    </xf>
    <xf numFmtId="170" fontId="10" fillId="0" borderId="1" xfId="0" applyNumberFormat="1" applyFont="1" applyBorder="1" applyAlignment="1">
      <alignment vertical="bottom"/>
    </xf>
    <xf numFmtId="0" fontId="2" fillId="0" borderId="34" xfId="0" applyFont="1" applyBorder="1" applyAlignment="1">
      <alignment vertical="bottom"/>
    </xf>
    <xf numFmtId="169" fontId="2" fillId="0" borderId="34" xfId="0" applyNumberFormat="1" applyFont="1" applyBorder="1" applyAlignment="1">
      <alignment vertical="bottom"/>
    </xf>
    <xf numFmtId="170" fontId="10" fillId="0" borderId="34" xfId="0" applyNumberFormat="1" applyFont="1" applyBorder="1" applyAlignment="1">
      <alignment vertical="bottom"/>
    </xf>
    <xf numFmtId="0" fontId="4" fillId="6" borderId="0" xfId="0" applyFont="1" applyFill="1" applyAlignment="1">
      <alignment vertical="bottom"/>
    </xf>
    <xf numFmtId="169" fontId="4" fillId="6" borderId="0" xfId="0" applyNumberFormat="1" applyFont="1" applyFill="1" applyAlignment="1">
      <alignment vertical="bottom"/>
    </xf>
    <xf numFmtId="0" fontId="2" fillId="6" borderId="0" xfId="0" applyFont="1" applyFill="1" applyAlignment="1">
      <alignment vertical="bottom"/>
    </xf>
    <xf numFmtId="0" fontId="26" fillId="0" borderId="0" xfId="0" applyFont="1" applyAlignment="1">
      <alignment vertical="top"/>
    </xf>
    <xf numFmtId="10" fontId="27" fillId="0" borderId="0" xfId="0" applyNumberFormat="1" applyFont="1" applyAlignment="1">
      <alignment vertical="top"/>
    </xf>
    <xf numFmtId="0" fontId="28" fillId="7" borderId="0" xfId="0" applyFont="1" applyFill="1" applyAlignment="1">
      <alignment vertical="top"/>
    </xf>
    <xf numFmtId="0" fontId="29" fillId="7" borderId="0" xfId="0" applyFont="1" applyFill="1" applyAlignment="1">
      <alignment vertical="top"/>
    </xf>
    <xf numFmtId="0" fontId="22" fillId="9" borderId="0" xfId="0" applyFont="1" applyFill="1" applyAlignment="1">
      <alignment vertical="top"/>
    </xf>
    <xf numFmtId="0" fontId="27" fillId="9" borderId="0" xfId="0" applyFont="1" applyFill="1" applyAlignment="1">
      <alignment vertical="top"/>
    </xf>
    <xf numFmtId="0" fontId="27" fillId="9" borderId="0" xfId="0" applyFont="1" applyFill="1" applyAlignment="1">
      <alignment horizontal="right" vertical="top"/>
    </xf>
    <xf numFmtId="0" fontId="22" fillId="9" borderId="0" xfId="0" applyFont="1" applyFill="1" applyAlignment="1">
      <alignment horizontal="right" vertical="top"/>
    </xf>
    <xf numFmtId="0" fontId="27" fillId="0" borderId="0" xfId="0" applyFont="1" applyAlignment="1">
      <alignment vertical="top"/>
    </xf>
    <xf numFmtId="10" fontId="30" fillId="9" borderId="0" xfId="0" applyNumberFormat="1" applyFont="1" applyFill="1" applyAlignment="1">
      <alignment horizontal="right" vertical="top"/>
    </xf>
    <xf numFmtId="0" fontId="30" fillId="0" borderId="0" xfId="0" applyFont="1" applyAlignment="1">
      <alignment vertical="top"/>
    </xf>
    <xf numFmtId="3" fontId="30" fillId="0" borderId="0" xfId="0" applyNumberFormat="1" applyFont="1" applyAlignment="1">
      <alignment vertical="top"/>
    </xf>
    <xf numFmtId="179" fontId="2" fillId="0" borderId="0" xfId="0" applyNumberFormat="1" applyFont="1" applyAlignment="1">
      <alignment vertical="top"/>
    </xf>
    <xf numFmtId="9" fontId="30" fillId="0" borderId="0" xfId="0" applyNumberFormat="1" applyFont="1" applyAlignment="1">
      <alignment vertical="top"/>
    </xf>
    <xf numFmtId="4" fontId="27" fillId="0" borderId="0" xfId="0" applyNumberFormat="1" applyFont="1" applyAlignment="1">
      <alignment vertical="top"/>
    </xf>
    <xf numFmtId="166" fontId="31" fillId="0" borderId="0" xfId="0" applyNumberFormat="1" applyFont="1" applyAlignment="1">
      <alignment vertical="top"/>
    </xf>
    <xf numFmtId="2" fontId="32" fillId="0" borderId="0" xfId="0" applyNumberFormat="1" applyFont="1" applyAlignment="1">
      <alignment horizontal="right" vertical="top"/>
    </xf>
    <xf numFmtId="0" fontId="22" fillId="0" borderId="0" xfId="0" applyFont="1" applyAlignment="1">
      <alignment vertical="top"/>
    </xf>
    <xf numFmtId="179" fontId="22" fillId="0" borderId="0" xfId="0" applyNumberFormat="1" applyFont="1" applyAlignment="1">
      <alignment horizontal="right" vertical="top"/>
    </xf>
    <xf numFmtId="0" fontId="22" fillId="10" borderId="0" xfId="0" applyFont="1" applyFill="1" applyAlignment="1">
      <alignment vertical="top"/>
    </xf>
    <xf numFmtId="0" fontId="27" fillId="10" borderId="0" xfId="0" applyFont="1" applyFill="1" applyAlignment="1">
      <alignment vertical="top"/>
    </xf>
    <xf numFmtId="179" fontId="27" fillId="10" borderId="0" xfId="0" applyNumberFormat="1" applyFont="1" applyFill="1" applyAlignment="1">
      <alignment vertical="top"/>
    </xf>
    <xf numFmtId="4" fontId="2" fillId="10" borderId="0" xfId="0" applyNumberFormat="1" applyFont="1" applyFill="1" applyAlignment="1">
      <alignment vertical="top"/>
    </xf>
    <xf numFmtId="0" fontId="22" fillId="0" borderId="35" xfId="0" applyFont="1" applyBorder="1" applyAlignment="1">
      <alignment vertical="top"/>
    </xf>
    <xf numFmtId="180" fontId="33" fillId="0" borderId="36" xfId="0" applyNumberFormat="1" applyFont="1" applyBorder="1" applyAlignment="1">
      <alignment vertical="top"/>
    </xf>
    <xf numFmtId="10" fontId="32" fillId="9" borderId="0" xfId="0" applyNumberFormat="1" applyFont="1" applyFill="1" applyAlignment="1">
      <alignment horizontal="right" vertical="top"/>
    </xf>
    <xf numFmtId="10" fontId="34" fillId="9" borderId="0" xfId="0" applyNumberFormat="1" applyFont="1" applyFill="1" applyAlignment="1">
      <alignment horizontal="right" vertical="top"/>
    </xf>
    <xf numFmtId="10" fontId="35" fillId="9" borderId="0" xfId="0" applyNumberFormat="1" applyFont="1" applyFill="1" applyAlignment="1">
      <alignment horizontal="right" vertical="top"/>
    </xf>
    <xf numFmtId="181" fontId="36" fillId="0" borderId="0" xfId="0" applyNumberFormat="1" applyFont="1" applyAlignment="1">
      <alignment horizontal="right" vertical="top"/>
    </xf>
    <xf numFmtId="0" fontId="22" fillId="11" borderId="0" xfId="0" applyFont="1" applyFill="1" applyAlignment="1">
      <alignment vertical="top"/>
    </xf>
    <xf numFmtId="0" fontId="27" fillId="11" borderId="0" xfId="0" applyFont="1" applyFill="1" applyAlignment="1">
      <alignment vertical="top"/>
    </xf>
    <xf numFmtId="10" fontId="22" fillId="11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 showGridLines="0"/>
  </sheetViews>
  <sheetFormatPr defaultRowHeight="14.25" outlineLevelRow="0" outlineLevelCol="0" x14ac:dyDescent="55" defaultColWidth="9.2" customHeight="1"/>
  <cols>
    <col min="1" max="2" width="3.7333333333333334" customWidth="1"/>
    <col min="3" max="3" width="23.466666666666665" customWidth="1"/>
    <col min="4" max="5" width="9.2" customWidth="1"/>
    <col min="6" max="6" width="14.133333333333333" customWidth="1"/>
    <col min="7" max="20" width="9.2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spans="1:6" x14ac:dyDescent="0.25">
      <c r="A5" t="s">
        <v>0</v>
      </c>
      <c r="B5" t="s">
        <v>0</v>
      </c>
      <c r="C5" t="s">
        <v>0</v>
      </c>
      <c r="D5" t="s">
        <v>1</v>
      </c>
      <c r="E5" t="s">
        <v>0</v>
      </c>
      <c r="F5" t="s">
        <v>0</v>
      </c>
    </row>
    <row r="6" ht="14.25" customHeight="1" x14ac:dyDescent="0.25"/>
    <row r="7" ht="14.25" customHeight="1" spans="1:6" x14ac:dyDescent="0.25">
      <c r="A7" t="s">
        <v>0</v>
      </c>
      <c r="B7" t="s">
        <v>0</v>
      </c>
      <c r="C7" t="s">
        <v>0</v>
      </c>
      <c r="D7" t="s">
        <v>2</v>
      </c>
      <c r="E7" t="s">
        <v>0</v>
      </c>
      <c r="F7" t="s">
        <v>0</v>
      </c>
    </row>
    <row r="8" ht="14.25" customHeight="1" spans="1:6" x14ac:dyDescent="0.25">
      <c r="A8" t="s">
        <v>0</v>
      </c>
      <c r="B8" t="s">
        <v>0</v>
      </c>
      <c r="C8" t="s">
        <v>0</v>
      </c>
      <c r="D8" t="s">
        <v>3</v>
      </c>
      <c r="E8" t="s">
        <v>0</v>
      </c>
      <c r="F8" t="s">
        <v>0</v>
      </c>
    </row>
    <row r="9" ht="14.25" customHeight="1" spans="1:6" x14ac:dyDescent="0.25">
      <c r="A9" t="s">
        <v>0</v>
      </c>
      <c r="B9" t="s">
        <v>0</v>
      </c>
      <c r="C9" t="s">
        <v>0</v>
      </c>
      <c r="D9" t="s">
        <v>4</v>
      </c>
      <c r="E9" t="s">
        <v>0</v>
      </c>
      <c r="F9" t="s">
        <v>0</v>
      </c>
    </row>
    <row r="10" ht="14.25" customHeight="1" spans="1:6" x14ac:dyDescent="0.25">
      <c r="A10" t="s">
        <v>0</v>
      </c>
      <c r="B10" t="s">
        <v>0</v>
      </c>
      <c r="C10" t="s">
        <v>0</v>
      </c>
      <c r="D10" t="s">
        <v>5</v>
      </c>
      <c r="E10" t="s">
        <v>0</v>
      </c>
      <c r="F10" t="s">
        <v>0</v>
      </c>
    </row>
    <row r="11" ht="14.25" customHeight="1" x14ac:dyDescent="0.25"/>
    <row r="12" ht="14.25" customHeight="1" spans="1:6" x14ac:dyDescent="0.25">
      <c r="A12" t="s">
        <v>0</v>
      </c>
      <c r="B12" t="s">
        <v>0</v>
      </c>
      <c r="C12" t="s">
        <v>6</v>
      </c>
      <c r="D12" s="1">
        <f>+TODAY()</f>
        <v>45877</v>
      </c>
      <c r="E12" t="s">
        <v>0</v>
      </c>
      <c r="F12" t="s">
        <v>0</v>
      </c>
    </row>
    <row r="13" ht="14.25" customHeight="1" x14ac:dyDescent="0.25"/>
    <row r="14" ht="14.25" customHeight="1" spans="1:6" x14ac:dyDescent="0.25">
      <c r="A14" t="s">
        <v>0</v>
      </c>
      <c r="B14" t="s">
        <v>0</v>
      </c>
      <c r="C14" t="s">
        <v>7</v>
      </c>
      <c r="D14" s="2">
        <f>+YEAR(D12)-1</f>
        <v>2024</v>
      </c>
      <c r="E14" t="s">
        <v>0</v>
      </c>
      <c r="F14" t="s">
        <v>0</v>
      </c>
    </row>
    <row r="15" ht="14.25" customHeight="1" x14ac:dyDescent="0.25"/>
    <row r="16" ht="14.25" customHeight="1" x14ac:dyDescent="0.25"/>
    <row r="17" ht="14.25" customHeight="1" x14ac:dyDescent="0.25"/>
    <row r="18" ht="14.25" customHeight="1" spans="1:6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8</v>
      </c>
    </row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 showGridLines="0"/>
  </sheetViews>
  <sheetFormatPr defaultRowHeight="14.25" outlineLevelRow="0" outlineLevelCol="0" x14ac:dyDescent="55" defaultColWidth="9.2" customHeight="1"/>
  <cols>
    <col min="1" max="2" width="1.6" customWidth="1"/>
    <col min="3" max="3" width="29.866666666666667" customWidth="1"/>
    <col min="4" max="4" width="9.2" customWidth="1"/>
    <col min="5" max="5" width="17.333333333333332" customWidth="1"/>
    <col min="6" max="6" width="9.2" customWidth="1"/>
    <col min="7" max="7" width="24" customWidth="1"/>
    <col min="8" max="8" width="17.333333333333332" customWidth="1"/>
    <col min="9" max="9" width="9.2" customWidth="1"/>
    <col min="10" max="10" width="23.2" customWidth="1"/>
    <col min="11" max="11" width="9.2" customWidth="1"/>
    <col min="12" max="12" width="1.6" customWidth="1"/>
    <col min="13" max="14" width="9.2" customWidth="1"/>
    <col min="15" max="15" width="8" customWidth="1"/>
    <col min="16" max="22" width="9.2" customWidth="1"/>
  </cols>
  <sheetData>
    <row r="1" ht="14.25" customHeight="1" x14ac:dyDescent="0.25"/>
    <row r="2" ht="14.25" customHeight="1" x14ac:dyDescent="0.25"/>
    <row r="3" ht="14.25" customHeight="1" spans="1:22" x14ac:dyDescent="0.25">
      <c r="A3" t="s">
        <v>0</v>
      </c>
      <c r="B3" t="s">
        <v>0</v>
      </c>
      <c r="C3" s="43" t="s">
        <v>0</v>
      </c>
      <c r="D3" s="43" t="s">
        <v>0</v>
      </c>
      <c r="E3" s="43" t="s">
        <v>0</v>
      </c>
      <c r="F3" s="43" t="s">
        <v>0</v>
      </c>
      <c r="G3" s="43" t="s">
        <v>0</v>
      </c>
      <c r="H3" s="43" t="s">
        <v>0</v>
      </c>
      <c r="I3" s="43" t="s">
        <v>0</v>
      </c>
      <c r="J3" s="43" t="s">
        <v>0</v>
      </c>
      <c r="K3" s="43" t="s">
        <v>0</v>
      </c>
      <c r="L3" t="s">
        <v>82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</row>
    <row r="4" ht="14.25" customHeight="1" spans="1:22" x14ac:dyDescent="0.25">
      <c r="A4" t="s">
        <v>0</v>
      </c>
      <c r="B4" t="s">
        <v>0</v>
      </c>
      <c r="C4" s="44" t="s">
        <v>141</v>
      </c>
      <c r="D4" s="43" t="s">
        <v>0</v>
      </c>
      <c r="E4" s="43" t="s">
        <v>0</v>
      </c>
      <c r="F4" s="43" t="s">
        <v>0</v>
      </c>
      <c r="G4" s="43" t="s">
        <v>0</v>
      </c>
      <c r="H4" s="43" t="s">
        <v>0</v>
      </c>
      <c r="I4" s="43" t="s">
        <v>0</v>
      </c>
      <c r="J4" s="43" t="s">
        <v>0</v>
      </c>
      <c r="K4" s="43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</row>
    <row r="5" ht="14.25" customHeight="1" spans="1:22" x14ac:dyDescent="0.25">
      <c r="A5" t="s">
        <v>0</v>
      </c>
      <c r="B5" t="s">
        <v>0</v>
      </c>
      <c r="C5" s="44" t="str">
        <f>'+Model'!C5</f>
        <v>$ MM, unless otherwise stated</v>
      </c>
      <c r="D5" s="43" t="s">
        <v>0</v>
      </c>
      <c r="E5" s="43" t="s">
        <v>0</v>
      </c>
      <c r="F5" s="43" t="s">
        <v>0</v>
      </c>
      <c r="G5" s="43" t="s">
        <v>0</v>
      </c>
      <c r="H5" s="43" t="s">
        <v>0</v>
      </c>
      <c r="I5" s="43" t="s">
        <v>0</v>
      </c>
      <c r="J5" s="43" t="s">
        <v>0</v>
      </c>
      <c r="K5" s="43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</row>
    <row r="6" ht="14.25" customHeight="1" x14ac:dyDescent="0.25"/>
    <row r="7" ht="14.25" customHeight="1" spans="1:22" x14ac:dyDescent="0.25">
      <c r="A7" t="s">
        <v>0</v>
      </c>
      <c r="B7" t="s">
        <v>0</v>
      </c>
      <c r="C7" s="184" t="s">
        <v>142</v>
      </c>
      <c r="D7" s="184" t="s">
        <v>0</v>
      </c>
      <c r="E7" s="184" t="s">
        <v>0</v>
      </c>
      <c r="F7" s="184" t="s">
        <v>0</v>
      </c>
      <c r="G7" s="184" t="s">
        <v>0</v>
      </c>
      <c r="H7" s="184" t="s">
        <v>0</v>
      </c>
      <c r="I7" s="184" t="s">
        <v>0</v>
      </c>
      <c r="J7" s="184" t="s">
        <v>0</v>
      </c>
      <c r="K7" s="184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</row>
    <row r="8" ht="14.25" customHeight="1" x14ac:dyDescent="0.25"/>
    <row r="9" ht="14.25" customHeight="1" spans="1:22" x14ac:dyDescent="0.25">
      <c r="A9" t="s">
        <v>0</v>
      </c>
      <c r="B9" t="s">
        <v>0</v>
      </c>
      <c r="C9" s="185" t="s">
        <v>143</v>
      </c>
      <c r="D9" s="186" t="s">
        <v>0</v>
      </c>
      <c r="E9" s="186" t="s">
        <v>0</v>
      </c>
      <c r="F9" t="s">
        <v>0</v>
      </c>
      <c r="G9" s="185" t="s">
        <v>144</v>
      </c>
      <c r="H9" s="185" t="s">
        <v>0</v>
      </c>
      <c r="I9" t="s">
        <v>0</v>
      </c>
      <c r="J9" s="185" t="s">
        <v>145</v>
      </c>
      <c r="K9" s="185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</row>
    <row r="10" ht="14.25" customHeight="1" x14ac:dyDescent="0.25"/>
    <row r="11" ht="14.25" customHeight="1" spans="1:22" x14ac:dyDescent="0.25">
      <c r="A11" t="s">
        <v>0</v>
      </c>
      <c r="B11" t="s">
        <v>0</v>
      </c>
      <c r="C11" s="187" t="s">
        <v>146</v>
      </c>
      <c r="D11" s="187" t="s">
        <v>147</v>
      </c>
      <c r="E11" s="187" t="s">
        <v>148</v>
      </c>
      <c r="F11" t="s">
        <v>0</v>
      </c>
      <c r="G11" t="s">
        <v>149</v>
      </c>
      <c r="H11" s="188">
        <v>10</v>
      </c>
      <c r="I11" t="s">
        <v>0</v>
      </c>
      <c r="J11" t="s">
        <v>101</v>
      </c>
      <c r="K11" s="73">
        <f>+H13</f>
        <v>9.8625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</row>
    <row r="12" ht="14.25" customHeight="1" spans="1:22" x14ac:dyDescent="0.25">
      <c r="A12" t="s">
        <v>0</v>
      </c>
      <c r="B12" t="s">
        <v>0</v>
      </c>
      <c r="C12" t="s">
        <v>150</v>
      </c>
      <c r="D12" s="79">
        <f>+D15-SUM(D13:D14)</f>
        <v>71.84831249999999</v>
      </c>
      <c r="E12" s="189">
        <f>+D12/$H$13</f>
        <v>7.284999999999998</v>
      </c>
      <c r="F12" t="s">
        <v>0</v>
      </c>
      <c r="G12" t="s">
        <v>0</v>
      </c>
      <c r="H12" t="s">
        <v>0</v>
      </c>
      <c r="I12" t="s">
        <v>0</v>
      </c>
      <c r="J12" t="s">
        <v>39</v>
      </c>
      <c r="K12" s="54">
        <v>5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</row>
    <row r="13" ht="14.25" customHeight="1" spans="1:22" x14ac:dyDescent="0.25">
      <c r="A13" t="s">
        <v>0</v>
      </c>
      <c r="B13" t="s">
        <v>0</v>
      </c>
      <c r="C13" t="s">
        <v>151</v>
      </c>
      <c r="D13" s="79">
        <f>+K11*K16</f>
        <v>34.518750000000004</v>
      </c>
      <c r="E13" s="189">
        <f>+D13/$H$13</f>
        <v>3.5</v>
      </c>
      <c r="F13" t="s">
        <v>0</v>
      </c>
      <c r="G13" s="134" t="s">
        <v>101</v>
      </c>
      <c r="H13" s="73">
        <f>'+Model'!M31</f>
        <v>9.8625</v>
      </c>
      <c r="I13" t="s">
        <v>0</v>
      </c>
      <c r="J13" s="74" t="s">
        <v>152</v>
      </c>
      <c r="K13" s="74">
        <f>+K12*K11</f>
        <v>49.3125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</row>
    <row r="14" ht="14.25" customHeight="1" spans="1:22" x14ac:dyDescent="0.25">
      <c r="A14" t="s">
        <v>0</v>
      </c>
      <c r="B14" t="s">
        <v>0</v>
      </c>
      <c r="C14" t="s">
        <v>153</v>
      </c>
      <c r="D14" s="79">
        <f>+K11*K22</f>
        <v>14.793750000000001</v>
      </c>
      <c r="E14" s="189">
        <f>+D14/$H$13</f>
        <v>1.5</v>
      </c>
      <c r="F14" t="s">
        <v>0</v>
      </c>
      <c r="G14" s="134" t="s">
        <v>154</v>
      </c>
      <c r="H14" s="189">
        <f>+H21</f>
        <v>12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</row>
    <row r="15" ht="14.25" customHeight="1" spans="1:22" x14ac:dyDescent="0.25">
      <c r="A15" t="s">
        <v>0</v>
      </c>
      <c r="B15" t="s">
        <v>0</v>
      </c>
      <c r="C15" s="190" t="s">
        <v>155</v>
      </c>
      <c r="D15" s="191">
        <f>+D21</f>
        <v>121.1608125</v>
      </c>
      <c r="E15" s="192">
        <f>+D15/$H$13</f>
        <v>12.285</v>
      </c>
      <c r="F15" t="s">
        <v>0</v>
      </c>
      <c r="G15" s="74" t="s">
        <v>156</v>
      </c>
      <c r="H15" s="75">
        <f>+H14*H13</f>
        <v>118.35000000000001</v>
      </c>
      <c r="I15" t="s">
        <v>0</v>
      </c>
      <c r="J15" s="193" t="s">
        <v>151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</row>
    <row r="16" ht="14.25" customHeight="1" spans="1:22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s="134" t="s">
        <v>38</v>
      </c>
      <c r="H16" s="188">
        <v>-20</v>
      </c>
      <c r="I16" t="s">
        <v>0</v>
      </c>
      <c r="J16" t="s">
        <v>39</v>
      </c>
      <c r="K16" s="54">
        <v>3.5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</row>
    <row r="17" ht="14.25" customHeight="1" spans="1:22" x14ac:dyDescent="0.25">
      <c r="A17" t="s">
        <v>0</v>
      </c>
      <c r="B17" t="s">
        <v>0</v>
      </c>
      <c r="C17" s="187" t="s">
        <v>157</v>
      </c>
      <c r="D17" s="187" t="s">
        <v>147</v>
      </c>
      <c r="E17" s="187" t="s">
        <v>148</v>
      </c>
      <c r="F17" t="s">
        <v>0</v>
      </c>
      <c r="G17" s="134" t="s">
        <v>158</v>
      </c>
      <c r="H17" s="188">
        <v>15</v>
      </c>
      <c r="I17" t="s">
        <v>0</v>
      </c>
      <c r="J17" t="s">
        <v>159</v>
      </c>
      <c r="K17" s="194">
        <v>400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</row>
    <row r="18" ht="14.25" customHeight="1" spans="1:22" x14ac:dyDescent="0.25">
      <c r="A18" t="s">
        <v>0</v>
      </c>
      <c r="B18" t="s">
        <v>0</v>
      </c>
      <c r="C18" t="s">
        <v>122</v>
      </c>
      <c r="D18" s="79">
        <f>+H18</f>
        <v>103.35000000000001</v>
      </c>
      <c r="E18" s="189">
        <f>+D18/$H$13</f>
        <v>10.479087452471482</v>
      </c>
      <c r="F18" t="s">
        <v>0</v>
      </c>
      <c r="G18" s="74" t="s">
        <v>160</v>
      </c>
      <c r="H18" s="75">
        <f>+H15+H16+H17-H11</f>
        <v>103.35000000000001</v>
      </c>
      <c r="I18" t="s">
        <v>0</v>
      </c>
      <c r="J18" t="s">
        <v>161</v>
      </c>
      <c r="K18" s="188">
        <v>99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</row>
    <row r="19" ht="14.25" customHeight="1" spans="1:22" x14ac:dyDescent="0.25">
      <c r="A19" t="s">
        <v>0</v>
      </c>
      <c r="B19" t="s">
        <v>0</v>
      </c>
      <c r="C19" t="s">
        <v>162</v>
      </c>
      <c r="D19" s="79">
        <f>-H16-H17+H11</f>
        <v>15</v>
      </c>
      <c r="E19" s="189">
        <f>+D19/$H$13</f>
        <v>1.520912547528517</v>
      </c>
      <c r="F19" t="s">
        <v>0</v>
      </c>
      <c r="G19" t="s">
        <v>0</v>
      </c>
      <c r="H19" t="s">
        <v>0</v>
      </c>
      <c r="I19" t="s">
        <v>0</v>
      </c>
      <c r="J19" t="s">
        <v>163</v>
      </c>
      <c r="K19" s="53">
        <v>0.1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</row>
    <row r="20" ht="14.25" customHeight="1" spans="1:22" x14ac:dyDescent="0.25">
      <c r="A20" t="s">
        <v>0</v>
      </c>
      <c r="B20" t="s">
        <v>0</v>
      </c>
      <c r="C20" t="s">
        <v>164</v>
      </c>
      <c r="D20" s="79">
        <f>+K35+K38+(100%-K18/100)*D13+(100%-K24/100)*D14</f>
        <v>2.810812500000001</v>
      </c>
      <c r="E20" s="189">
        <f>+D20/$H$13</f>
        <v>0.2850000000000001</v>
      </c>
      <c r="F20" t="s">
        <v>0</v>
      </c>
      <c r="G20" s="185" t="s">
        <v>165</v>
      </c>
      <c r="H20" s="185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</row>
    <row r="21" ht="14.25" customHeight="1" spans="1:22" x14ac:dyDescent="0.25">
      <c r="A21" t="s">
        <v>0</v>
      </c>
      <c r="B21" t="s">
        <v>0</v>
      </c>
      <c r="C21" s="190" t="s">
        <v>155</v>
      </c>
      <c r="D21" s="191">
        <f>SUM(D18:D20)</f>
        <v>121.1608125</v>
      </c>
      <c r="E21" s="192">
        <f>+D21/$H$13</f>
        <v>12.285</v>
      </c>
      <c r="F21" t="s">
        <v>0</v>
      </c>
      <c r="G21" s="195">
        <v>1</v>
      </c>
      <c r="H21" s="196">
        <f>+CHOOSE(G21,H22,H23,H24,H25,H26)</f>
        <v>12</v>
      </c>
      <c r="I21" t="s">
        <v>0</v>
      </c>
      <c r="J21" s="193" t="s">
        <v>153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</row>
    <row r="22" ht="14.25" customHeight="1" spans="1:22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s="197">
        <v>1</v>
      </c>
      <c r="H22" s="198">
        <v>12</v>
      </c>
      <c r="I22" t="s">
        <v>0</v>
      </c>
      <c r="J22" t="s">
        <v>39</v>
      </c>
      <c r="K22" s="189">
        <f>+K12-K16</f>
        <v>1.5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</row>
    <row r="23" ht="14.25" customHeight="1" spans="1:22" x14ac:dyDescent="0.25">
      <c r="A23" t="s">
        <v>0</v>
      </c>
      <c r="B23" t="s">
        <v>0</v>
      </c>
      <c r="C23" s="185" t="s">
        <v>166</v>
      </c>
      <c r="D23" s="185" t="s">
        <v>0</v>
      </c>
      <c r="E23" s="185" t="s">
        <v>0</v>
      </c>
      <c r="F23" t="s">
        <v>0</v>
      </c>
      <c r="G23" s="197">
        <v>2</v>
      </c>
      <c r="H23" s="198">
        <f>+H22+1</f>
        <v>13</v>
      </c>
      <c r="I23" t="s">
        <v>0</v>
      </c>
      <c r="J23" t="s">
        <v>159</v>
      </c>
      <c r="K23" s="194">
        <v>600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</row>
    <row r="24" ht="14.25" customHeight="1" spans="1:22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s="197">
        <v>3</v>
      </c>
      <c r="H24" s="198">
        <f>+H23+1</f>
        <v>14</v>
      </c>
      <c r="I24" t="s">
        <v>0</v>
      </c>
      <c r="J24" t="s">
        <v>161</v>
      </c>
      <c r="K24" s="188">
        <v>98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</row>
    <row r="25" ht="14.25" customHeight="1" spans="1:22" x14ac:dyDescent="0.25">
      <c r="A25" t="s">
        <v>0</v>
      </c>
      <c r="B25" t="s">
        <v>0</v>
      </c>
      <c r="C25" s="134" t="s">
        <v>167</v>
      </c>
      <c r="D25" t="s">
        <v>0</v>
      </c>
      <c r="E25" s="199">
        <v>0.2</v>
      </c>
      <c r="F25" t="s">
        <v>0</v>
      </c>
      <c r="G25" s="197">
        <v>4</v>
      </c>
      <c r="H25" s="198">
        <f>+H24+1</f>
        <v>15</v>
      </c>
      <c r="I25" t="s">
        <v>0</v>
      </c>
      <c r="J25" t="s">
        <v>163</v>
      </c>
      <c r="K25" s="53">
        <v>0.1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</row>
    <row r="26" ht="14.25" customHeight="1" spans="1:22" x14ac:dyDescent="0.25">
      <c r="A26" t="s">
        <v>0</v>
      </c>
      <c r="B26" t="s">
        <v>0</v>
      </c>
      <c r="C26" s="134" t="s">
        <v>168</v>
      </c>
      <c r="D26" t="s">
        <v>0</v>
      </c>
      <c r="E26" s="79">
        <f>'+HLOOKUP($H$32,LBO'!I86:N102,17,0)</f>
        <v>115.0539448980646</v>
      </c>
      <c r="F26" t="s">
        <v>0</v>
      </c>
      <c r="G26" s="200">
        <v>5</v>
      </c>
      <c r="H26" s="201">
        <f>+H25+1</f>
        <v>16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</row>
    <row r="27" ht="14.25" customHeight="1" spans="1:22" x14ac:dyDescent="0.25">
      <c r="A27" t="s">
        <v>0</v>
      </c>
      <c r="B27" t="s">
        <v>0</v>
      </c>
      <c r="C27" s="74" t="s">
        <v>169</v>
      </c>
      <c r="D27" s="74" t="s">
        <v>0</v>
      </c>
      <c r="E27" s="75">
        <f>+E26/(1+E25)^H33</f>
        <v>55.48512003185986</v>
      </c>
      <c r="F27" t="s">
        <v>0</v>
      </c>
      <c r="G27" t="s">
        <v>0</v>
      </c>
      <c r="H27" t="s">
        <v>0</v>
      </c>
      <c r="I27" t="s">
        <v>0</v>
      </c>
      <c r="J27" s="193" t="s">
        <v>170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</row>
    <row r="28" ht="14.25" customHeight="1" spans="1:22" x14ac:dyDescent="0.25">
      <c r="A28" t="s">
        <v>0</v>
      </c>
      <c r="B28" t="s">
        <v>0</v>
      </c>
      <c r="C28" s="134" t="s">
        <v>171</v>
      </c>
      <c r="D28" t="s">
        <v>0</v>
      </c>
      <c r="E28" s="79">
        <f>+K13</f>
        <v>49.3125</v>
      </c>
      <c r="F28" t="s">
        <v>0</v>
      </c>
      <c r="G28" s="185" t="s">
        <v>69</v>
      </c>
      <c r="H28" s="185" t="s">
        <v>0</v>
      </c>
      <c r="I28" t="s">
        <v>0</v>
      </c>
      <c r="J28" t="s">
        <v>172</v>
      </c>
      <c r="K28" s="188">
        <v>100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</row>
    <row r="29" ht="14.25" customHeight="1" spans="1:22" x14ac:dyDescent="0.25">
      <c r="A29" t="s">
        <v>0</v>
      </c>
      <c r="B29" t="s">
        <v>0</v>
      </c>
      <c r="C29" s="134" t="s">
        <v>173</v>
      </c>
      <c r="D29" t="s">
        <v>0</v>
      </c>
      <c r="E29" s="79">
        <f>+H17*-1</f>
        <v>-15</v>
      </c>
      <c r="F29" t="s">
        <v>0</v>
      </c>
      <c r="G29" t="s">
        <v>0</v>
      </c>
      <c r="H29" t="s">
        <v>0</v>
      </c>
      <c r="I29" t="s">
        <v>0</v>
      </c>
      <c r="J29" t="s">
        <v>159</v>
      </c>
      <c r="K29" s="188">
        <v>200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</row>
    <row r="30" ht="14.25" customHeight="1" spans="1:22" x14ac:dyDescent="0.25">
      <c r="A30" t="s">
        <v>0</v>
      </c>
      <c r="B30" t="s">
        <v>0</v>
      </c>
      <c r="C30" s="134" t="s">
        <v>174</v>
      </c>
      <c r="D30" t="s">
        <v>0</v>
      </c>
      <c r="E30" s="79">
        <f>+-H15*K34-K13*K37-(100%-K18/100)*D13-(100%-K24/100)*D14</f>
        <v>-2.810812500000001</v>
      </c>
      <c r="F30" t="s">
        <v>0</v>
      </c>
      <c r="G30" t="s">
        <v>175</v>
      </c>
      <c r="H30" s="79">
        <f>+D12</f>
        <v>71.84831249999999</v>
      </c>
      <c r="I30" t="s">
        <v>0</v>
      </c>
      <c r="J30" t="s">
        <v>176</v>
      </c>
      <c r="K30" s="53">
        <v>0.001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</row>
    <row r="31" ht="14.25" customHeight="1" spans="1:22" x14ac:dyDescent="0.25">
      <c r="A31" t="s">
        <v>0</v>
      </c>
      <c r="B31" t="s">
        <v>0</v>
      </c>
      <c r="C31" s="74" t="s">
        <v>177</v>
      </c>
      <c r="D31" s="74" t="s">
        <v>0</v>
      </c>
      <c r="E31" s="75">
        <f>+SUM(E27:E30)</f>
        <v>86.98680753185985</v>
      </c>
      <c r="F31" t="s">
        <v>0</v>
      </c>
      <c r="G31" t="s">
        <v>178</v>
      </c>
      <c r="H31" s="202">
        <v>44561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</row>
    <row r="32" ht="14.25" customHeight="1" spans="1:22" x14ac:dyDescent="0.25">
      <c r="A32" t="s">
        <v>0</v>
      </c>
      <c r="B32" t="s">
        <v>0</v>
      </c>
      <c r="C32" t="s">
        <v>0</v>
      </c>
      <c r="D32" t="s">
        <v>0</v>
      </c>
      <c r="E32" s="203" t="s">
        <v>0</v>
      </c>
      <c r="F32" t="s">
        <v>0</v>
      </c>
      <c r="G32" t="s">
        <v>179</v>
      </c>
      <c r="H32" s="202">
        <v>46022</v>
      </c>
      <c r="I32" t="s">
        <v>0</v>
      </c>
      <c r="J32" s="185" t="s">
        <v>164</v>
      </c>
      <c r="K32" s="185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</row>
    <row r="33" ht="14.25" customHeight="1" spans="1:22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s="51" t="s">
        <v>180</v>
      </c>
      <c r="H33" s="204">
        <f>+YEARFRAC(H31,H32)</f>
        <v>4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</row>
    <row r="34" ht="14.25" customHeight="1" spans="1:22" x14ac:dyDescent="0.25">
      <c r="A34" t="s">
        <v>0</v>
      </c>
      <c r="B34" t="s">
        <v>0</v>
      </c>
      <c r="C34" t="s">
        <v>0</v>
      </c>
      <c r="D34" t="s">
        <v>0</v>
      </c>
      <c r="E34" s="75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181</v>
      </c>
      <c r="K34" s="53">
        <v>0.01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</row>
    <row r="35" ht="14.25" customHeight="1" spans="1:22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s="134" t="s">
        <v>182</v>
      </c>
      <c r="H35" s="189">
        <f>+H44</f>
        <v>12</v>
      </c>
      <c r="I35" t="s">
        <v>0</v>
      </c>
      <c r="J35" s="74" t="s">
        <v>183</v>
      </c>
      <c r="K35" s="75">
        <f>+K34*H15</f>
        <v>1.1835000000000002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</row>
    <row r="36" ht="14.25" customHeight="1" spans="1:22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s="134" t="s">
        <v>184</v>
      </c>
      <c r="H36" s="79">
        <f>HLOOKUP($H$32,LBO!$I$86:$N$102,6,0)</f>
        <v>14.243918671875004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</row>
    <row r="37" ht="14.25" customHeight="1" spans="1:22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s="6" t="s">
        <v>120</v>
      </c>
      <c r="H37" s="205">
        <f>+H36*H35</f>
        <v>170.92702406250004</v>
      </c>
      <c r="I37" t="s">
        <v>0</v>
      </c>
      <c r="J37" t="s">
        <v>185</v>
      </c>
      <c r="K37" s="53">
        <v>0.02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</row>
    <row r="38" ht="14.25" customHeight="1" spans="1:22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s="134" t="s">
        <v>186</v>
      </c>
      <c r="H38" s="79">
        <f>+HLOOKUP($H$32,LBO!$I$86:$N$94,9,0)*-1</f>
        <v>-55.87307916443543</v>
      </c>
      <c r="I38" t="s">
        <v>0</v>
      </c>
      <c r="J38" s="74" t="s">
        <v>187</v>
      </c>
      <c r="K38" s="75">
        <f>+K37*K13</f>
        <v>0.9862500000000001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</row>
    <row r="39" ht="14.25" customHeight="1" spans="1:22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s="172" t="s">
        <v>168</v>
      </c>
      <c r="H39" s="206">
        <f>+H37+H38</f>
        <v>115.0539448980646</v>
      </c>
      <c r="I39">
        <f>+(H39/H30)^(1/5)-1</f>
        <v>0.09874519375750479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</row>
    <row r="40" ht="14.25" customHeight="1" spans="1:22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s="6" t="s">
        <v>188</v>
      </c>
      <c r="H40" s="207">
        <f>+(H39/H30)^(1/H33)-1</f>
        <v>0.1249189567948723</v>
      </c>
      <c r="I40" t="s">
        <v>0</v>
      </c>
      <c r="J40" t="s">
        <v>189</v>
      </c>
      <c r="K40" s="208">
        <v>7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</row>
    <row r="41" ht="14.25" customHeight="1" spans="1:22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s="6" t="s">
        <v>190</v>
      </c>
      <c r="H41" s="209">
        <f>+H39/D12</f>
        <v>1.601345124119159</v>
      </c>
      <c r="I41" t="s">
        <v>0</v>
      </c>
      <c r="J41" s="74" t="s">
        <v>191</v>
      </c>
      <c r="K41" s="75">
        <f>+K38/K40</f>
        <v>0.14089285714285715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</row>
    <row r="42" ht="14.25" customHeight="1" x14ac:dyDescent="0.25"/>
    <row r="43" ht="14.25" customHeight="1" spans="1:22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s="185" t="s">
        <v>192</v>
      </c>
      <c r="H43" s="185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</row>
    <row r="44" ht="14.25" customHeight="1" spans="1:22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s="195">
        <v>1</v>
      </c>
      <c r="H44" s="196">
        <f>+CHOOSE(G44,H45,H46,H47,H48,H49)</f>
        <v>12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</row>
    <row r="45" ht="14.25" customHeight="1" spans="1:22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s="197">
        <v>1</v>
      </c>
      <c r="H45" s="198">
        <v>12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</row>
    <row r="46" ht="14.25" customHeight="1" spans="1:22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s="197">
        <v>2</v>
      </c>
      <c r="H46" s="198">
        <f>+H45+1</f>
        <v>13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</row>
    <row r="47" ht="14.25" customHeight="1" spans="1:22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s="197">
        <v>3</v>
      </c>
      <c r="H47" s="198">
        <f>+H46+1</f>
        <v>14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</row>
    <row r="48" ht="14.25" customHeight="1" spans="1:22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s="197">
        <v>4</v>
      </c>
      <c r="H48" s="198">
        <f>+H47+1</f>
        <v>15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</row>
    <row r="49" ht="14.25" customHeight="1" spans="1:22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s="200">
        <v>5</v>
      </c>
      <c r="H49" s="201">
        <f>+H48+1</f>
        <v>16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</row>
    <row r="50" ht="14.25" customHeight="1" x14ac:dyDescent="0.25"/>
    <row r="51" ht="14.25" customHeight="1" spans="1:22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s="185" t="s">
        <v>193</v>
      </c>
      <c r="H51" s="185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</row>
    <row r="52" ht="14.25" customHeight="1" spans="1:22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s="195">
        <v>1</v>
      </c>
      <c r="H52" s="210">
        <f>+CHOOSE(G52,H53,H54,H55,H56,H57)</f>
        <v>0.05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</row>
    <row r="53" ht="14.25" customHeight="1" spans="1:22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s="197">
        <v>1</v>
      </c>
      <c r="H53" s="211">
        <v>0.05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</row>
    <row r="54" ht="14.25" customHeight="1" spans="1:22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s="197">
        <v>2</v>
      </c>
      <c r="H54" s="211">
        <f>+H53+1%</f>
        <v>0.060000000000000005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</row>
    <row r="55" ht="14.25" customHeight="1" spans="1:22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s="197">
        <v>3</v>
      </c>
      <c r="H55" s="211">
        <f>+H54+1%</f>
        <v>0.07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</row>
    <row r="56" ht="14.25" customHeight="1" spans="1:22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s="197">
        <v>4</v>
      </c>
      <c r="H56" s="211">
        <f>+H55+1%</f>
        <v>0.08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</row>
    <row r="57" ht="14.25" customHeight="1" spans="1:22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s="200">
        <v>5</v>
      </c>
      <c r="H57" s="212">
        <f>+H56+1%</f>
        <v>0.09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</row>
    <row r="58" ht="14.25" customHeight="1" x14ac:dyDescent="0.25"/>
    <row r="59" ht="15" customHeight="1" spans="1:22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s="119" t="s">
        <v>194</v>
      </c>
      <c r="P59" s="213" t="s">
        <v>0</v>
      </c>
      <c r="Q59" s="213" t="s">
        <v>0</v>
      </c>
      <c r="R59" s="213" t="s">
        <v>0</v>
      </c>
      <c r="S59" s="213" t="s">
        <v>0</v>
      </c>
      <c r="T59" s="213" t="s">
        <v>0</v>
      </c>
      <c r="U59" s="213" t="s">
        <v>0</v>
      </c>
      <c r="V59" s="213" t="s">
        <v>0</v>
      </c>
    </row>
    <row r="60" ht="14.25" customHeight="1" spans="1:22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s="6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</row>
    <row r="61" ht="14.25" customHeight="1" spans="1:22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s="182" t="s">
        <v>0</v>
      </c>
      <c r="Q61" s="214" t="s">
        <v>195</v>
      </c>
      <c r="R61" s="215" t="s">
        <v>0</v>
      </c>
      <c r="S61" s="215" t="s">
        <v>0</v>
      </c>
      <c r="T61" s="215" t="s">
        <v>0</v>
      </c>
      <c r="U61" s="215" t="s">
        <v>0</v>
      </c>
      <c r="V61" s="215" t="s">
        <v>0</v>
      </c>
    </row>
    <row r="62" ht="20.25" customHeight="1" spans="1:22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s="216" t="s">
        <v>196</v>
      </c>
      <c r="P62" s="217">
        <f>+H40</f>
        <v>0.1249189567948723</v>
      </c>
      <c r="Q62" s="218">
        <v>20</v>
      </c>
      <c r="R62" s="219">
        <f>+Q62+1</f>
        <v>21</v>
      </c>
      <c r="S62" s="219">
        <f>+R62+1</f>
        <v>22</v>
      </c>
      <c r="T62" s="219">
        <f>+S62+1</f>
        <v>23</v>
      </c>
      <c r="U62" s="219">
        <f>+T62+1</f>
        <v>24</v>
      </c>
      <c r="V62" s="219">
        <f>+U62+1</f>
        <v>25</v>
      </c>
    </row>
    <row r="63" ht="20.25" customHeight="1" spans="1:22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s="216"/>
      <c r="P63" s="218">
        <v>20</v>
      </c>
      <c r="Q63" s="220">
        <v>0.10874451781644723</v>
      </c>
      <c r="R63" s="221">
        <v>0.12559710058570528</v>
      </c>
      <c r="S63" s="221">
        <v>0.14172501659374293</v>
      </c>
      <c r="T63" s="221">
        <v>0.1571970530783955</v>
      </c>
      <c r="U63" s="221">
        <v>0.17207226192753278</v>
      </c>
      <c r="V63" s="221">
        <v>0.18640174701920365</v>
      </c>
    </row>
    <row r="64" ht="20.25" customHeight="1" spans="1:22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s="216"/>
      <c r="P64" s="219">
        <f>+P63+1</f>
        <v>21</v>
      </c>
      <c r="Q64" s="222">
        <v>0.0912375439988764</v>
      </c>
      <c r="R64" s="223">
        <v>0.10782402603838204</v>
      </c>
      <c r="S64" s="223">
        <v>0.12369728373808297</v>
      </c>
      <c r="T64" s="223">
        <v>0.13892501819166458</v>
      </c>
      <c r="U64" s="223">
        <v>0.15356534886312634</v>
      </c>
      <c r="V64" s="223">
        <v>0.16766857270498892</v>
      </c>
    </row>
    <row r="65" ht="20.25" customHeight="1" spans="1:22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s="216"/>
      <c r="P65" s="219">
        <f>+P64+1</f>
        <v>22</v>
      </c>
      <c r="Q65" s="222">
        <v>0.07503091326084665</v>
      </c>
      <c r="R65" s="223">
        <v>0.09137105939380707</v>
      </c>
      <c r="S65" s="223">
        <v>0.10700857371429295</v>
      </c>
      <c r="T65" s="223">
        <v>0.12201015184597819</v>
      </c>
      <c r="U65" s="223">
        <v>0.1364330500854456</v>
      </c>
      <c r="V65" s="223">
        <v>0.1503268183946629</v>
      </c>
    </row>
    <row r="66" ht="20.25" customHeight="1" spans="1:22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s="216"/>
      <c r="P66" s="219">
        <f>+P65+1</f>
        <v>23</v>
      </c>
      <c r="Q66" s="222">
        <v>0.05996049325329644</v>
      </c>
      <c r="R66" s="223">
        <v>0.07607157354064187</v>
      </c>
      <c r="S66" s="223">
        <v>0.09148987192437952</v>
      </c>
      <c r="T66" s="223">
        <v>0.10628114904943153</v>
      </c>
      <c r="U66" s="223">
        <v>0.12050185855970641</v>
      </c>
      <c r="V66" s="223">
        <v>0.13420085579646002</v>
      </c>
    </row>
    <row r="67" ht="20.25" customHeight="1" spans="1:22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s="216"/>
      <c r="P67" s="219">
        <f>+P66+1</f>
        <v>24</v>
      </c>
      <c r="Q67" s="222">
        <v>0.045890491839047254</v>
      </c>
      <c r="R67" s="223">
        <v>0.06178771234211666</v>
      </c>
      <c r="S67" s="223">
        <v>0.07700134698466288</v>
      </c>
      <c r="T67" s="223">
        <v>0.09159628349948212</v>
      </c>
      <c r="U67" s="223">
        <v>0.10562822616024259</v>
      </c>
      <c r="V67" s="223">
        <v>0.11914538179844425</v>
      </c>
    </row>
    <row r="68" ht="20.25" customHeight="1" spans="1:22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s="216"/>
      <c r="P68" s="219">
        <f>+P67+1</f>
        <v>25</v>
      </c>
      <c r="Q68" s="222">
        <v>0.032707379870688946</v>
      </c>
      <c r="R68" s="223">
        <v>0.04840422104197084</v>
      </c>
      <c r="S68" s="223">
        <v>0.06342609273179556</v>
      </c>
      <c r="T68" s="223">
        <v>0.0778370647840374</v>
      </c>
      <c r="U68" s="223">
        <v>0.09169213933797993</v>
      </c>
      <c r="V68" s="223">
        <v>0.10503891559357648</v>
      </c>
    </row>
    <row r="69" ht="14.25" customHeight="1" spans="1:22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s="106" t="s">
        <v>0</v>
      </c>
      <c r="Q69" s="138" t="s">
        <v>0</v>
      </c>
      <c r="R69" s="138" t="s">
        <v>0</v>
      </c>
      <c r="S69" s="138" t="s">
        <v>0</v>
      </c>
      <c r="T69" s="138" t="s">
        <v>0</v>
      </c>
      <c r="U69" s="138" t="s">
        <v>0</v>
      </c>
      <c r="V69" s="138" t="s">
        <v>0</v>
      </c>
    </row>
    <row r="70" ht="15" customHeight="1" spans="1:22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s="119" t="s">
        <v>197</v>
      </c>
      <c r="P70" s="213" t="s">
        <v>0</v>
      </c>
      <c r="Q70" s="213" t="s">
        <v>0</v>
      </c>
      <c r="R70" s="213" t="s">
        <v>0</v>
      </c>
      <c r="S70" s="213" t="s">
        <v>0</v>
      </c>
      <c r="T70" s="213" t="s">
        <v>0</v>
      </c>
      <c r="U70" s="213" t="s">
        <v>0</v>
      </c>
      <c r="V70" s="213" t="s">
        <v>0</v>
      </c>
    </row>
    <row r="71" ht="14.25" customHeight="1" x14ac:dyDescent="0.25"/>
    <row r="72" ht="20.25" customHeight="1" spans="1:22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s="182" t="s">
        <v>0</v>
      </c>
      <c r="Q72" s="214" t="s">
        <v>188</v>
      </c>
      <c r="R72" s="215" t="s">
        <v>0</v>
      </c>
      <c r="S72" s="215" t="s">
        <v>0</v>
      </c>
      <c r="T72" s="215" t="s">
        <v>0</v>
      </c>
      <c r="U72" s="215" t="s">
        <v>0</v>
      </c>
      <c r="V72" s="215" t="s">
        <v>0</v>
      </c>
    </row>
    <row r="73" ht="20.25" customHeight="1" spans="1:22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s="216" t="s">
        <v>195</v>
      </c>
      <c r="P73" s="224">
        <f>+E31</f>
        <v>86.98680753185985</v>
      </c>
      <c r="Q73" s="225">
        <v>0.15</v>
      </c>
      <c r="R73" s="226">
        <f>+Q73+1%</f>
        <v>0.16</v>
      </c>
      <c r="S73" s="226">
        <f>+R73+1%</f>
        <v>0.17</v>
      </c>
      <c r="T73" s="226">
        <f>+S73+1%</f>
        <v>0.18000000000000002</v>
      </c>
      <c r="U73" s="226">
        <f>+T73+1%</f>
        <v>0.19000000000000003</v>
      </c>
      <c r="V73" s="226">
        <f>+U73+1%</f>
        <v>0.20000000000000004</v>
      </c>
    </row>
    <row r="74" ht="20.25" customHeight="1" spans="1:22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s="216"/>
      <c r="P74" s="218">
        <v>10</v>
      </c>
      <c r="Q74" s="227">
        <v>80.99614045253499</v>
      </c>
      <c r="R74" s="228">
        <v>79.31137808041169</v>
      </c>
      <c r="S74" s="228">
        <v>77.69769497171686</v>
      </c>
      <c r="T74" s="228">
        <v>76.15152274172189</v>
      </c>
      <c r="U74" s="228">
        <v>74.66950026835185</v>
      </c>
      <c r="V74" s="228">
        <v>73.24846004741252</v>
      </c>
    </row>
    <row r="75" ht="20.25" customHeight="1" spans="1:22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s="216"/>
      <c r="P75" s="219">
        <f>+P74+1</f>
        <v>11</v>
      </c>
      <c r="Q75" s="229">
        <v>89.14014718314273</v>
      </c>
      <c r="R75" s="230">
        <v>87.17816756182172</v>
      </c>
      <c r="S75" s="230">
        <v>85.29896285799214</v>
      </c>
      <c r="T75" s="230">
        <v>83.49837753124405</v>
      </c>
      <c r="U75" s="230">
        <v>81.77249740761141</v>
      </c>
      <c r="V75" s="230">
        <v>80.1176337896362</v>
      </c>
    </row>
    <row r="76" ht="20.25" customHeight="1" spans="1:22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s="216"/>
      <c r="P76" s="219">
        <f>+P75+1</f>
        <v>12</v>
      </c>
      <c r="Q76" s="229">
        <v>97.28415391375046</v>
      </c>
      <c r="R76" s="230">
        <v>95.04495704323175</v>
      </c>
      <c r="S76" s="230">
        <v>92.90023074426742</v>
      </c>
      <c r="T76" s="230">
        <v>90.84523232076617</v>
      </c>
      <c r="U76" s="230">
        <v>88.87549454687095</v>
      </c>
      <c r="V76" s="230">
        <v>86.98680753185985</v>
      </c>
    </row>
    <row r="77" ht="20.25" customHeight="1" spans="1:22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s="216"/>
      <c r="P77" s="219">
        <f>+P76+1</f>
        <v>13</v>
      </c>
      <c r="Q77" s="229">
        <v>105.4281606443582</v>
      </c>
      <c r="R77" s="230">
        <v>102.91174652464179</v>
      </c>
      <c r="S77" s="230">
        <v>100.50149863054273</v>
      </c>
      <c r="T77" s="230">
        <v>98.19208711028831</v>
      </c>
      <c r="U77" s="230">
        <v>95.9784916861305</v>
      </c>
      <c r="V77" s="230">
        <v>93.85598127408353</v>
      </c>
    </row>
    <row r="78" ht="20.25" customHeight="1" spans="1:22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s="216"/>
      <c r="P78" s="219">
        <f>+P77+1</f>
        <v>14</v>
      </c>
      <c r="Q78" s="229">
        <v>113.57216737496594</v>
      </c>
      <c r="R78" s="230">
        <v>110.77853600605184</v>
      </c>
      <c r="S78" s="230">
        <v>108.10276651681802</v>
      </c>
      <c r="T78" s="230">
        <v>105.53894189981045</v>
      </c>
      <c r="U78" s="230">
        <v>103.08148882539005</v>
      </c>
      <c r="V78" s="230">
        <v>100.72515501630721</v>
      </c>
    </row>
    <row r="79" ht="20.25" customHeight="1" spans="1:22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s="216"/>
      <c r="P79" s="219">
        <f>+P78+1</f>
        <v>15</v>
      </c>
      <c r="Q79" s="229">
        <v>121.71617410557371</v>
      </c>
      <c r="R79" s="230">
        <v>118.64532548746189</v>
      </c>
      <c r="S79" s="230">
        <v>115.70403440309332</v>
      </c>
      <c r="T79" s="230">
        <v>112.88579668933261</v>
      </c>
      <c r="U79" s="230">
        <v>110.1844859646496</v>
      </c>
      <c r="V79" s="230">
        <v>107.59432875853088</v>
      </c>
    </row>
    <row r="80" ht="14.25" customHeight="1" x14ac:dyDescent="0.25"/>
    <row r="81" ht="15" customHeight="1" spans="1:22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s="119" t="s">
        <v>197</v>
      </c>
      <c r="P81" s="213" t="s">
        <v>0</v>
      </c>
      <c r="Q81" s="213" t="s">
        <v>0</v>
      </c>
      <c r="R81" s="213" t="s">
        <v>0</v>
      </c>
      <c r="S81" s="213" t="s">
        <v>0</v>
      </c>
      <c r="T81" s="213" t="s">
        <v>0</v>
      </c>
      <c r="U81" s="213" t="s">
        <v>0</v>
      </c>
      <c r="V81" s="213" t="s">
        <v>0</v>
      </c>
    </row>
    <row r="82" ht="14.25" customHeight="1" x14ac:dyDescent="0.25"/>
    <row r="83" ht="14.25" customHeight="1" spans="1:22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s="182" t="s">
        <v>0</v>
      </c>
      <c r="Q83" s="214" t="s">
        <v>188</v>
      </c>
      <c r="R83" s="215" t="s">
        <v>0</v>
      </c>
      <c r="S83" s="215" t="s">
        <v>0</v>
      </c>
      <c r="T83" s="215" t="s">
        <v>0</v>
      </c>
      <c r="U83" s="215" t="s">
        <v>0</v>
      </c>
      <c r="V83" s="215" t="s">
        <v>0</v>
      </c>
    </row>
    <row r="84" ht="20.25" customHeight="1" spans="1:22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s="216" t="s">
        <v>196</v>
      </c>
      <c r="P84" s="224">
        <f>+E31</f>
        <v>86.98680753185985</v>
      </c>
      <c r="Q84" s="225">
        <v>0.15</v>
      </c>
      <c r="R84" s="226">
        <f>+Q84+1%</f>
        <v>0.16</v>
      </c>
      <c r="S84" s="226">
        <f>+R84+1%</f>
        <v>0.17</v>
      </c>
      <c r="T84" s="226">
        <f>+S84+1%</f>
        <v>0.18000000000000002</v>
      </c>
      <c r="U84" s="226">
        <f>+T84+1%</f>
        <v>0.19000000000000003</v>
      </c>
      <c r="V84" s="226">
        <f>+U84+1%</f>
        <v>0.20000000000000004</v>
      </c>
    </row>
    <row r="85" ht="20.25" customHeight="1" spans="1:22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s="216"/>
      <c r="P85" s="218">
        <v>10</v>
      </c>
      <c r="Q85" s="227">
        <v>97.48140391375046</v>
      </c>
      <c r="R85" s="228">
        <v>95.24220704323174</v>
      </c>
      <c r="S85" s="228">
        <v>93.09748074426741</v>
      </c>
      <c r="T85" s="228">
        <v>91.04248232076617</v>
      </c>
      <c r="U85" s="228">
        <v>89.07274454687095</v>
      </c>
      <c r="V85" s="228">
        <v>87.18405753185985</v>
      </c>
    </row>
    <row r="86" ht="20.25" customHeight="1" spans="1:22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s="216"/>
      <c r="P86" s="219">
        <f>+P85+1</f>
        <v>11</v>
      </c>
      <c r="Q86" s="229">
        <v>97.38277891375046</v>
      </c>
      <c r="R86" s="230">
        <v>95.14358204323175</v>
      </c>
      <c r="S86" s="230">
        <v>92.99885574426742</v>
      </c>
      <c r="T86" s="230">
        <v>90.94385732076617</v>
      </c>
      <c r="U86" s="230">
        <v>88.97411954687095</v>
      </c>
      <c r="V86" s="230">
        <v>87.08543253185985</v>
      </c>
    </row>
    <row r="87" ht="20.25" customHeight="1" spans="1:22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s="216"/>
      <c r="P87" s="219">
        <f>+P86+1</f>
        <v>12</v>
      </c>
      <c r="Q87" s="229">
        <v>97.28415391375046</v>
      </c>
      <c r="R87" s="230">
        <v>95.04495704323175</v>
      </c>
      <c r="S87" s="230">
        <v>92.90023074426742</v>
      </c>
      <c r="T87" s="230">
        <v>90.84523232076617</v>
      </c>
      <c r="U87" s="230">
        <v>88.87549454687095</v>
      </c>
      <c r="V87" s="230">
        <v>86.98680753185985</v>
      </c>
    </row>
    <row r="88" ht="20.25" customHeight="1" spans="1:22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s="216"/>
      <c r="P88" s="219">
        <f>+P87+1</f>
        <v>13</v>
      </c>
      <c r="Q88" s="229">
        <v>97.18552891375046</v>
      </c>
      <c r="R88" s="230">
        <v>94.94633204323175</v>
      </c>
      <c r="S88" s="230">
        <v>92.80160574426742</v>
      </c>
      <c r="T88" s="230">
        <v>90.74660732076617</v>
      </c>
      <c r="U88" s="230">
        <v>88.77686954687096</v>
      </c>
      <c r="V88" s="230">
        <v>86.88818253185985</v>
      </c>
    </row>
    <row r="89" ht="20.25" customHeight="1" spans="1:22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s="216"/>
      <c r="P89" s="219">
        <f>+P88+1</f>
        <v>14</v>
      </c>
      <c r="Q89" s="229">
        <v>97.08690391375046</v>
      </c>
      <c r="R89" s="230">
        <v>94.84770704323175</v>
      </c>
      <c r="S89" s="230">
        <v>92.70298074426742</v>
      </c>
      <c r="T89" s="230">
        <v>90.64798232076618</v>
      </c>
      <c r="U89" s="230">
        <v>88.67824454687096</v>
      </c>
      <c r="V89" s="230">
        <v>86.78955753185986</v>
      </c>
    </row>
    <row r="90" ht="20.25" customHeight="1" spans="1:22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s="216"/>
      <c r="P90" s="219">
        <f>+P89+1</f>
        <v>15</v>
      </c>
      <c r="Q90" s="229">
        <v>96.98827891375045</v>
      </c>
      <c r="R90" s="230">
        <v>94.74908204323174</v>
      </c>
      <c r="S90" s="230">
        <v>92.60435574426741</v>
      </c>
      <c r="T90" s="230">
        <v>90.54935732076616</v>
      </c>
      <c r="U90" s="230">
        <v>88.57961954687094</v>
      </c>
      <c r="V90" s="230">
        <v>86.69093253185984</v>
      </c>
    </row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3">
    <mergeCell ref="O62:O68"/>
    <mergeCell ref="O73:O79"/>
    <mergeCell ref="O84:O9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 showGridLines="0">
      <pane ySplit="6" topLeftCell="A7" activePane="bottomLeft" state="frozen"/>
      <selection pane="bottomLeft"/>
    </sheetView>
  </sheetViews>
  <sheetFormatPr defaultRowHeight="14.25" outlineLevelRow="0" outlineLevelCol="0" x14ac:dyDescent="55" defaultColWidth="9.2" customHeight="1"/>
  <cols>
    <col min="1" max="2" width="1.6" customWidth="1"/>
    <col min="3" max="3" width="44.266666666666666" customWidth="1"/>
    <col min="4" max="4" width="16.266666666666666" customWidth="1"/>
    <col min="5" max="5" width="9.2" customWidth="1"/>
    <col min="6" max="14" width="9.866666666666667" customWidth="1"/>
    <col min="15" max="15" width="13.866666666666667" customWidth="1"/>
    <col min="16" max="20" width="9.2" customWidth="1"/>
  </cols>
  <sheetData>
    <row r="1" ht="14.25" customHeight="1" x14ac:dyDescent="0.25"/>
    <row r="2" ht="14.25" customHeight="1" x14ac:dyDescent="0.25"/>
    <row r="3" ht="14.25" customHeight="1" spans="1:15" x14ac:dyDescent="0.25">
      <c r="A3" t="s">
        <v>0</v>
      </c>
      <c r="B3" t="s">
        <v>0</v>
      </c>
      <c r="C3" s="43" t="s">
        <v>0</v>
      </c>
      <c r="D3" s="43" t="s">
        <v>0</v>
      </c>
      <c r="E3" s="43" t="s">
        <v>0</v>
      </c>
      <c r="F3" s="43" t="s">
        <v>0</v>
      </c>
      <c r="G3" s="43" t="s">
        <v>0</v>
      </c>
      <c r="H3" s="43" t="s">
        <v>0</v>
      </c>
      <c r="I3" s="43" t="s">
        <v>0</v>
      </c>
      <c r="J3" s="43" t="s">
        <v>0</v>
      </c>
      <c r="K3" s="43" t="s">
        <v>0</v>
      </c>
      <c r="L3" s="43" t="s">
        <v>0</v>
      </c>
      <c r="M3" s="43" t="s">
        <v>0</v>
      </c>
      <c r="N3" s="43" t="s">
        <v>0</v>
      </c>
      <c r="O3" s="43" t="s">
        <v>0</v>
      </c>
    </row>
    <row r="4" ht="14.25" customHeight="1" spans="1:15" x14ac:dyDescent="0.25">
      <c r="A4" t="s">
        <v>0</v>
      </c>
      <c r="B4" t="s">
        <v>0</v>
      </c>
      <c r="C4" s="44" t="s">
        <v>198</v>
      </c>
      <c r="D4" s="44" t="s">
        <v>0</v>
      </c>
      <c r="E4" s="43" t="s">
        <v>0</v>
      </c>
      <c r="F4" s="43" t="s">
        <v>0</v>
      </c>
      <c r="G4" s="43" t="s">
        <v>0</v>
      </c>
      <c r="H4" s="43" t="s">
        <v>0</v>
      </c>
      <c r="I4" s="43" t="s">
        <v>0</v>
      </c>
      <c r="J4" s="43" t="s">
        <v>0</v>
      </c>
      <c r="K4" s="43" t="s">
        <v>0</v>
      </c>
      <c r="L4" s="43" t="s">
        <v>0</v>
      </c>
      <c r="M4" s="43" t="s">
        <v>0</v>
      </c>
      <c r="N4" s="43" t="s">
        <v>0</v>
      </c>
      <c r="O4" s="43" t="s">
        <v>0</v>
      </c>
    </row>
    <row r="5" ht="17.25" customHeight="1" spans="1:15" x14ac:dyDescent="0.25">
      <c r="A5" t="s">
        <v>0</v>
      </c>
      <c r="B5" t="s">
        <v>0</v>
      </c>
      <c r="C5" s="44" t="str">
        <f>'+Model'!C5</f>
        <v>$ MM, unless otherwise stated</v>
      </c>
      <c r="D5" s="44" t="s">
        <v>0</v>
      </c>
      <c r="E5" s="43" t="s">
        <v>0</v>
      </c>
      <c r="F5" s="58" t="s">
        <v>78</v>
      </c>
      <c r="G5" s="59" t="s">
        <v>0</v>
      </c>
      <c r="H5" s="59" t="s">
        <v>0</v>
      </c>
      <c r="I5" s="58" t="s">
        <v>79</v>
      </c>
      <c r="J5" s="59" t="s">
        <v>0</v>
      </c>
      <c r="K5" s="59" t="s">
        <v>0</v>
      </c>
      <c r="L5" s="59" t="s">
        <v>0</v>
      </c>
      <c r="M5" s="59" t="s">
        <v>0</v>
      </c>
      <c r="N5" s="59" t="s">
        <v>0</v>
      </c>
      <c r="O5" s="58" t="s">
        <v>80</v>
      </c>
    </row>
    <row r="6" ht="14.25" customHeight="1" spans="1:15" x14ac:dyDescent="0.25">
      <c r="A6" t="s">
        <v>0</v>
      </c>
      <c r="B6" t="s">
        <v>0</v>
      </c>
      <c r="C6" s="61" t="s">
        <v>81</v>
      </c>
      <c r="D6" s="61" t="s">
        <v>0</v>
      </c>
      <c r="E6" s="43" t="s">
        <v>0</v>
      </c>
      <c r="F6" s="62">
        <f>+G6-1</f>
        <v>2018</v>
      </c>
      <c r="G6" s="62">
        <f>+H6-1</f>
        <v>2019</v>
      </c>
      <c r="H6" s="62">
        <f>+I6-1</f>
        <v>2020</v>
      </c>
      <c r="I6" s="63">
        <f>+YEAR('LBO Control'!H31)</f>
        <v>2021</v>
      </c>
      <c r="J6" s="63">
        <f>+I6+1</f>
        <v>2022</v>
      </c>
      <c r="K6" s="63">
        <f>+J6+1</f>
        <v>2023</v>
      </c>
      <c r="L6" s="63">
        <f>+K6+1</f>
        <v>2024</v>
      </c>
      <c r="M6" s="63">
        <f>+L6+1</f>
        <v>2025</v>
      </c>
      <c r="N6" s="63">
        <f>+M6+1</f>
        <v>2026</v>
      </c>
      <c r="O6" s="64" t="str">
        <f>+I6&amp;"E"&amp;" - "&amp;N6&amp;"E"</f>
        <v>2021E - 2026E</v>
      </c>
    </row>
    <row r="7" ht="14.25" customHeight="1" spans="1:15" x14ac:dyDescent="0.25">
      <c r="A7" t="s">
        <v>0</v>
      </c>
      <c r="B7" t="s">
        <v>0</v>
      </c>
      <c r="C7" s="231" t="s">
        <v>199</v>
      </c>
      <c r="D7" s="232" t="s">
        <v>0</v>
      </c>
      <c r="E7" s="233">
        <v>1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s="2" t="s">
        <v>0</v>
      </c>
    </row>
    <row r="8" ht="14.25" customHeight="1" spans="1:15" x14ac:dyDescent="0.25">
      <c r="A8" t="s">
        <v>0</v>
      </c>
      <c r="B8" t="s">
        <v>0</v>
      </c>
      <c r="C8" s="65" t="s">
        <v>42</v>
      </c>
      <c r="D8" s="65" t="s">
        <v>0</v>
      </c>
      <c r="E8" s="66" t="s">
        <v>0</v>
      </c>
      <c r="F8" s="66" t="s">
        <v>0</v>
      </c>
      <c r="G8" s="66" t="s">
        <v>0</v>
      </c>
      <c r="H8" s="66" t="s">
        <v>0</v>
      </c>
      <c r="I8" s="66" t="s">
        <v>0</v>
      </c>
      <c r="J8" s="66" t="s">
        <v>0</v>
      </c>
      <c r="K8" s="66" t="s">
        <v>0</v>
      </c>
      <c r="L8" s="66" t="s">
        <v>0</v>
      </c>
      <c r="M8" s="66" t="s">
        <v>0</v>
      </c>
      <c r="N8" s="66" t="s">
        <v>0</v>
      </c>
      <c r="O8" s="66" t="s">
        <v>0</v>
      </c>
    </row>
    <row r="9" ht="14.25" customHeight="1" spans="1:15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s="2" t="s">
        <v>0</v>
      </c>
    </row>
    <row r="10" ht="14.25" customHeight="1" spans="1:15" x14ac:dyDescent="0.25">
      <c r="A10" t="s">
        <v>0</v>
      </c>
      <c r="B10" t="s">
        <v>0</v>
      </c>
      <c r="C10" s="6" t="s">
        <v>19</v>
      </c>
      <c r="D10" s="6" t="s">
        <v>0</v>
      </c>
      <c r="E10" t="s">
        <v>0</v>
      </c>
      <c r="F10" s="68">
        <f>'+Model'!I19</f>
        <v>26</v>
      </c>
      <c r="G10" s="68">
        <f>'+Model'!J19</f>
        <v>26</v>
      </c>
      <c r="H10" s="68">
        <f>'+Model'!K19</f>
        <v>36</v>
      </c>
      <c r="I10" s="68">
        <f>'+Model'!M19</f>
        <v>39.45</v>
      </c>
      <c r="J10" s="68">
        <f>'+Model'!N19</f>
        <v>43.237500000000004</v>
      </c>
      <c r="K10" s="68">
        <f>'+Model'!O19</f>
        <v>47.39587500000001</v>
      </c>
      <c r="L10" s="68">
        <f>'+Model'!P19</f>
        <v>51.96181875000002</v>
      </c>
      <c r="M10" s="68">
        <f>'+Model'!Q19</f>
        <v>56.97567468750002</v>
      </c>
      <c r="N10" s="68">
        <f>'+Model'!R19</f>
        <v>62.48179992187502</v>
      </c>
      <c r="O10" s="234">
        <f>+((N10/I10)^(1/(N$6-I$6))-1)</f>
        <v>0.09633001651321438</v>
      </c>
    </row>
    <row r="11" ht="14.25" customHeight="1" spans="1:15" x14ac:dyDescent="0.25">
      <c r="A11" t="s">
        <v>0</v>
      </c>
      <c r="B11" t="s">
        <v>0</v>
      </c>
      <c r="C11" s="70" t="s">
        <v>200</v>
      </c>
      <c r="D11" s="70" t="s">
        <v>0</v>
      </c>
      <c r="E11" t="s">
        <v>0</v>
      </c>
      <c r="F11" s="71" t="s">
        <v>0</v>
      </c>
      <c r="G11" s="71">
        <f>+G10/F10-1</f>
        <v>0</v>
      </c>
      <c r="H11" s="71">
        <f>+H10/G10-1</f>
        <v>0.3846153846153846</v>
      </c>
      <c r="I11" s="71">
        <f>+'Operational Assumptions'!M22</f>
        <v>0.1</v>
      </c>
      <c r="J11" s="71">
        <f>+'Operational Assumptions'!N22</f>
        <v>0.1</v>
      </c>
      <c r="K11" s="71">
        <f>+'Operational Assumptions'!O22</f>
        <v>0.1</v>
      </c>
      <c r="L11" s="71">
        <f>+'Operational Assumptions'!P22</f>
        <v>0.1</v>
      </c>
      <c r="M11" s="71">
        <f>+'Operational Assumptions'!Q22</f>
        <v>0.1</v>
      </c>
      <c r="N11" s="71">
        <f>+'Operational Assumptions'!R22</f>
        <v>0.1</v>
      </c>
      <c r="O11" s="69" t="s">
        <v>0</v>
      </c>
    </row>
    <row r="12" ht="14.25" customHeight="1" spans="1:15" x14ac:dyDescent="0.25">
      <c r="A12" t="s">
        <v>0</v>
      </c>
      <c r="B12" t="s">
        <v>0</v>
      </c>
      <c r="C12" s="74" t="s">
        <v>132</v>
      </c>
      <c r="D12" s="74" t="s">
        <v>0</v>
      </c>
      <c r="E12" s="51" t="s">
        <v>0</v>
      </c>
      <c r="F12" s="235">
        <f>'+Model'!I31</f>
        <v>2</v>
      </c>
      <c r="G12" s="235">
        <f>'+Model'!J31</f>
        <v>3.5</v>
      </c>
      <c r="H12" s="235">
        <f>'+Model'!K31</f>
        <v>5</v>
      </c>
      <c r="I12" s="235">
        <f>'+Model'!M31</f>
        <v>9.8625</v>
      </c>
      <c r="J12" s="235">
        <f>'+Model'!N31</f>
        <v>10.809375000000001</v>
      </c>
      <c r="K12" s="235">
        <f>'+Model'!O31</f>
        <v>11.848968750000003</v>
      </c>
      <c r="L12" s="235">
        <f>'+Model'!P31</f>
        <v>12.990454687500005</v>
      </c>
      <c r="M12" s="235">
        <f>'+Model'!Q31</f>
        <v>14.243918671875004</v>
      </c>
      <c r="N12" s="235">
        <f>'+Model'!R31</f>
        <v>15.620449980468756</v>
      </c>
      <c r="O12" s="236">
        <f>+((N12/I12)^(1/(N$6-I$6))-1)</f>
        <v>0.09633001651321438</v>
      </c>
    </row>
    <row r="13" ht="14.25" customHeight="1" spans="1:15" x14ac:dyDescent="0.25">
      <c r="A13" t="s">
        <v>0</v>
      </c>
      <c r="B13" t="s">
        <v>0</v>
      </c>
      <c r="C13" s="70" t="s">
        <v>85</v>
      </c>
      <c r="D13" s="70" t="s">
        <v>0</v>
      </c>
      <c r="E13" t="s">
        <v>0</v>
      </c>
      <c r="F13" s="71">
        <f>+F12/F10</f>
        <v>0.07692307692307693</v>
      </c>
      <c r="G13" s="71">
        <f>+G12/G10</f>
        <v>0.1346153846153846</v>
      </c>
      <c r="H13" s="71">
        <f>+H12/H10</f>
        <v>0.1388888888888889</v>
      </c>
      <c r="I13" s="71">
        <f>+I12/I10</f>
        <v>0.25</v>
      </c>
      <c r="J13" s="71">
        <f>+J12/J10</f>
        <v>0.25</v>
      </c>
      <c r="K13" s="71">
        <f>+K12/K10</f>
        <v>0.25</v>
      </c>
      <c r="L13" s="71">
        <f>+L12/L10</f>
        <v>0.25</v>
      </c>
      <c r="M13" s="71">
        <f>+M12/M10</f>
        <v>0.25</v>
      </c>
      <c r="N13" s="71">
        <f>+N12/N10</f>
        <v>0.25</v>
      </c>
      <c r="O13" s="69" t="s">
        <v>0</v>
      </c>
    </row>
    <row r="14" ht="14.25" customHeight="1" spans="1:15" x14ac:dyDescent="0.25">
      <c r="A14" t="s">
        <v>0</v>
      </c>
      <c r="B14" t="s">
        <v>0</v>
      </c>
      <c r="C14" s="134" t="s">
        <v>51</v>
      </c>
      <c r="D14" s="134" t="s">
        <v>0</v>
      </c>
      <c r="E14" t="s">
        <v>0</v>
      </c>
      <c r="F14" t="s">
        <v>0</v>
      </c>
      <c r="G14" t="s">
        <v>0</v>
      </c>
      <c r="H14" t="s">
        <v>0</v>
      </c>
      <c r="I14" s="73">
        <f>'+Model'!M34</f>
        <v>-0.9862500000000001</v>
      </c>
      <c r="J14" s="73">
        <f>'+Model'!N34</f>
        <v>-1.0809375</v>
      </c>
      <c r="K14" s="73">
        <f>'+Model'!O34</f>
        <v>-1.1848968750000004</v>
      </c>
      <c r="L14" s="73">
        <f>'+Model'!P34</f>
        <v>-1.2990454687500006</v>
      </c>
      <c r="M14" s="73">
        <f>'+Model'!Q34</f>
        <v>-1.4243918671875004</v>
      </c>
      <c r="N14" s="73">
        <f>'+Model'!R34</f>
        <v>-1.5620449980468756</v>
      </c>
      <c r="O14" s="186" t="s">
        <v>0</v>
      </c>
    </row>
    <row r="15" ht="14.25" customHeight="1" spans="1:15" x14ac:dyDescent="0.25">
      <c r="A15" t="s">
        <v>0</v>
      </c>
      <c r="B15" t="s">
        <v>0</v>
      </c>
      <c r="C15" s="70" t="s">
        <v>85</v>
      </c>
      <c r="D15" s="70" t="s">
        <v>0</v>
      </c>
      <c r="E15" t="s">
        <v>0</v>
      </c>
      <c r="F15" s="71" t="s">
        <v>0</v>
      </c>
      <c r="G15" s="71" t="s">
        <v>0</v>
      </c>
      <c r="H15" s="71" t="s">
        <v>0</v>
      </c>
      <c r="I15" s="71">
        <f>+I14/I10</f>
        <v>-0.025</v>
      </c>
      <c r="J15" s="71">
        <f>+J14/J10</f>
        <v>-0.025</v>
      </c>
      <c r="K15" s="71">
        <f>+K14/K10</f>
        <v>-0.025</v>
      </c>
      <c r="L15" s="71">
        <f>+L14/L10</f>
        <v>-0.025</v>
      </c>
      <c r="M15" s="71">
        <f>+M14/M10</f>
        <v>-0.025</v>
      </c>
      <c r="N15" s="71">
        <f>+N14/N10</f>
        <v>-0.025</v>
      </c>
      <c r="O15" s="69" t="s">
        <v>0</v>
      </c>
    </row>
    <row r="16" ht="14.25" customHeight="1" spans="1:15" x14ac:dyDescent="0.25">
      <c r="A16" t="s">
        <v>0</v>
      </c>
      <c r="B16" t="s">
        <v>0</v>
      </c>
      <c r="C16" s="74" t="s">
        <v>53</v>
      </c>
      <c r="D16" s="74" t="s">
        <v>0</v>
      </c>
      <c r="E16" s="51" t="s">
        <v>0</v>
      </c>
      <c r="F16" s="51" t="s">
        <v>0</v>
      </c>
      <c r="G16" s="51" t="s">
        <v>0</v>
      </c>
      <c r="H16" s="51" t="s">
        <v>0</v>
      </c>
      <c r="I16" s="237">
        <f>+I12+I14</f>
        <v>8.87625</v>
      </c>
      <c r="J16" s="237">
        <f>+J12+J14</f>
        <v>9.728437500000002</v>
      </c>
      <c r="K16" s="237">
        <f>+K12+K14</f>
        <v>10.664071875000003</v>
      </c>
      <c r="L16" s="237">
        <f>+L12+L14</f>
        <v>11.691409218750005</v>
      </c>
      <c r="M16" s="237">
        <f>+M12+M14</f>
        <v>12.819526804687504</v>
      </c>
      <c r="N16" s="237">
        <f>+N12+N14</f>
        <v>14.05840498242188</v>
      </c>
      <c r="O16" s="236">
        <f>+((N16/I16)^(1/(N$6-I$6))-1)</f>
        <v>0.09633001651321438</v>
      </c>
    </row>
    <row r="17" ht="14.25" customHeight="1" spans="1:15" x14ac:dyDescent="0.25">
      <c r="A17" t="s">
        <v>0</v>
      </c>
      <c r="B17" t="s">
        <v>0</v>
      </c>
      <c r="C17" s="70" t="s">
        <v>85</v>
      </c>
      <c r="D17" s="70" t="s">
        <v>0</v>
      </c>
      <c r="E17" t="s">
        <v>0</v>
      </c>
      <c r="F17" s="71" t="s">
        <v>0</v>
      </c>
      <c r="G17" s="71" t="s">
        <v>0</v>
      </c>
      <c r="H17" s="71" t="s">
        <v>0</v>
      </c>
      <c r="I17" s="71">
        <f>+I16/I10</f>
        <v>0.225</v>
      </c>
      <c r="J17" s="71">
        <f>+J16/J10</f>
        <v>0.22500000000000003</v>
      </c>
      <c r="K17" s="71">
        <f>+K16/K10</f>
        <v>0.225</v>
      </c>
      <c r="L17" s="71">
        <f>+L16/L10</f>
        <v>0.225</v>
      </c>
      <c r="M17" s="71">
        <f>+M16/M10</f>
        <v>0.225</v>
      </c>
      <c r="N17" s="71">
        <f>+N16/N10</f>
        <v>0.225</v>
      </c>
      <c r="O17" s="69" t="s">
        <v>0</v>
      </c>
    </row>
    <row r="18" ht="14.25" customHeight="1" spans="1:15" x14ac:dyDescent="0.25">
      <c r="A18" t="s">
        <v>0</v>
      </c>
      <c r="B18" t="s">
        <v>0</v>
      </c>
      <c r="C18" s="134" t="s">
        <v>201</v>
      </c>
      <c r="D18" s="134" t="s">
        <v>0</v>
      </c>
      <c r="E18" t="s">
        <v>0</v>
      </c>
      <c r="F18" t="s">
        <v>0</v>
      </c>
      <c r="G18" t="s">
        <v>0</v>
      </c>
      <c r="H18" t="s">
        <v>0</v>
      </c>
      <c r="I18" s="238">
        <f>+IF(circ=1,I88*-1,0)</f>
        <v>-2.18449171074044</v>
      </c>
      <c r="J18" s="238">
        <f>+IF(circ=1,J88*-1,0)</f>
        <v>-2.0545453412994052</v>
      </c>
      <c r="K18" s="238">
        <f>+IF(circ=1,K88*-1,0)</f>
        <v>-2.1531641707297156</v>
      </c>
      <c r="L18" s="238">
        <f>+IF(circ=1,L88*-1,0)</f>
        <v>-2.237918939087805</v>
      </c>
      <c r="M18" s="238">
        <f>+IF(circ=1,M88*-1,0)</f>
        <v>-2.307013124881118</v>
      </c>
      <c r="N18" s="238">
        <f>+IF(circ=1,N88*-1,0)</f>
        <v>-2.3584644630560723</v>
      </c>
      <c r="O18" s="186" t="s">
        <v>0</v>
      </c>
    </row>
    <row r="19" ht="14.25" customHeight="1" spans="1:15" x14ac:dyDescent="0.25">
      <c r="A19" t="s">
        <v>0</v>
      </c>
      <c r="B19" t="s">
        <v>0</v>
      </c>
      <c r="C19" s="134" t="s">
        <v>202</v>
      </c>
      <c r="D19" s="134" t="s">
        <v>0</v>
      </c>
      <c r="E19" t="s">
        <v>0</v>
      </c>
      <c r="F19" t="s">
        <v>0</v>
      </c>
      <c r="G19" t="s">
        <v>0</v>
      </c>
      <c r="H19" t="s">
        <v>0</v>
      </c>
      <c r="I19" s="73">
        <f>+'LBO Control'!$K$41*-1</f>
        <v>-0.14089285714285715</v>
      </c>
      <c r="J19" s="73">
        <f>+'LBO Control'!$K$41*-1</f>
        <v>-0.14089285714285715</v>
      </c>
      <c r="K19" s="73">
        <f>+'LBO Control'!$K$41*-1</f>
        <v>-0.14089285714285715</v>
      </c>
      <c r="L19" s="73">
        <f>+'LBO Control'!$K$41*-1</f>
        <v>-0.14089285714285715</v>
      </c>
      <c r="M19" s="73">
        <f>+'LBO Control'!$K$41*-1</f>
        <v>-0.14089285714285715</v>
      </c>
      <c r="N19" s="73">
        <f>+'LBO Control'!$K$41*-1</f>
        <v>-0.14089285714285715</v>
      </c>
      <c r="O19" s="186" t="s">
        <v>0</v>
      </c>
    </row>
    <row r="20" ht="14.25" customHeight="1" spans="1:15" x14ac:dyDescent="0.25">
      <c r="A20" t="s">
        <v>0</v>
      </c>
      <c r="B20" t="s">
        <v>0</v>
      </c>
      <c r="C20" s="74" t="s">
        <v>203</v>
      </c>
      <c r="D20" s="74" t="s">
        <v>0</v>
      </c>
      <c r="E20" s="51" t="s">
        <v>0</v>
      </c>
      <c r="F20" s="51" t="s">
        <v>0</v>
      </c>
      <c r="G20" s="51" t="s">
        <v>0</v>
      </c>
      <c r="H20" s="51" t="s">
        <v>0</v>
      </c>
      <c r="I20" s="237">
        <f>+I16+I18+I19</f>
        <v>6.550865432116703</v>
      </c>
      <c r="J20" s="237">
        <f>+J16+J18+J19</f>
        <v>7.532999301557739</v>
      </c>
      <c r="K20" s="237">
        <f>+K16+K18+K19</f>
        <v>8.37001484712743</v>
      </c>
      <c r="L20" s="237">
        <f>+L16+L18+L19</f>
        <v>9.312597422519342</v>
      </c>
      <c r="M20" s="237">
        <f>+M16+M18+M19</f>
        <v>10.371620822663528</v>
      </c>
      <c r="N20" s="237">
        <f>+N16+N18+N19</f>
        <v>11.55904766222295</v>
      </c>
      <c r="O20" s="236">
        <f>+((N20/I20)^(1/(N$6-I$6))-1)</f>
        <v>0.12027507961088424</v>
      </c>
    </row>
    <row r="21" ht="14.25" customHeight="1" spans="1:15" x14ac:dyDescent="0.25">
      <c r="A21" t="s">
        <v>0</v>
      </c>
      <c r="B21" t="s">
        <v>0</v>
      </c>
      <c r="C21" s="70" t="s">
        <v>85</v>
      </c>
      <c r="D21" s="70" t="s">
        <v>0</v>
      </c>
      <c r="E21" t="s">
        <v>0</v>
      </c>
      <c r="F21" s="71" t="s">
        <v>0</v>
      </c>
      <c r="G21" s="71" t="s">
        <v>0</v>
      </c>
      <c r="H21" s="71" t="s">
        <v>0</v>
      </c>
      <c r="I21" s="71">
        <f>+I20/I10</f>
        <v>0.16605489054795192</v>
      </c>
      <c r="J21" s="71">
        <f>+J20/J10</f>
        <v>0.174223747940046</v>
      </c>
      <c r="K21" s="71">
        <f>+K20/K10</f>
        <v>0.17659796020492138</v>
      </c>
      <c r="L21" s="71">
        <f>+L20/L10</f>
        <v>0.17922000512192116</v>
      </c>
      <c r="M21" s="71">
        <f>+M20/M10</f>
        <v>0.18203594568295609</v>
      </c>
      <c r="N21" s="71">
        <f>+N20/N10</f>
        <v>0.1849986344291612</v>
      </c>
      <c r="O21" s="69" t="s">
        <v>0</v>
      </c>
    </row>
    <row r="22" ht="14.25" customHeight="1" spans="1:15" x14ac:dyDescent="0.25">
      <c r="A22" t="s">
        <v>0</v>
      </c>
      <c r="B22" t="s">
        <v>0</v>
      </c>
      <c r="C22" s="134" t="s">
        <v>204</v>
      </c>
      <c r="D22" s="134" t="s">
        <v>0</v>
      </c>
      <c r="E22" t="s">
        <v>0</v>
      </c>
      <c r="F22" t="s">
        <v>0</v>
      </c>
      <c r="G22" t="s">
        <v>0</v>
      </c>
      <c r="H22" t="s">
        <v>0</v>
      </c>
      <c r="I22" s="238">
        <f>+I20*I23*-1</f>
        <v>-1.3101730864233407</v>
      </c>
      <c r="J22" s="238">
        <f>+J20*J23*-1</f>
        <v>-1.5065998603115478</v>
      </c>
      <c r="K22" s="238">
        <f>+K20*K23*-1</f>
        <v>-1.6740029694254863</v>
      </c>
      <c r="L22" s="238">
        <f>+L20*L23*-1</f>
        <v>-1.8625194845038686</v>
      </c>
      <c r="M22" s="238">
        <f>+M20*M23*-1</f>
        <v>-2.074324164532706</v>
      </c>
      <c r="N22" s="238">
        <f>+N20*N23*-1</f>
        <v>-2.31180953244459</v>
      </c>
      <c r="O22" s="186" t="s">
        <v>0</v>
      </c>
    </row>
    <row r="23" ht="14.25" customHeight="1" spans="1:15" x14ac:dyDescent="0.25">
      <c r="A23" t="s">
        <v>0</v>
      </c>
      <c r="B23" t="s">
        <v>0</v>
      </c>
      <c r="C23" s="70" t="s">
        <v>205</v>
      </c>
      <c r="D23" s="70" t="s">
        <v>0</v>
      </c>
      <c r="E23" t="s">
        <v>0</v>
      </c>
      <c r="F23" s="71" t="s">
        <v>0</v>
      </c>
      <c r="G23" s="71" t="s">
        <v>0</v>
      </c>
      <c r="H23" s="71" t="s">
        <v>0</v>
      </c>
      <c r="I23" s="78">
        <f>+'Operational Assumptions'!M71</f>
        <v>0.2</v>
      </c>
      <c r="J23" s="78">
        <f>+'Operational Assumptions'!N71</f>
        <v>0.2</v>
      </c>
      <c r="K23" s="78">
        <f>+'Operational Assumptions'!O71</f>
        <v>0.2</v>
      </c>
      <c r="L23" s="78">
        <f>+'Operational Assumptions'!P71</f>
        <v>0.2</v>
      </c>
      <c r="M23" s="78">
        <f>+'Operational Assumptions'!Q71</f>
        <v>0.2</v>
      </c>
      <c r="N23" s="78">
        <f>+'Operational Assumptions'!R71</f>
        <v>0.2</v>
      </c>
      <c r="O23" s="69" t="s">
        <v>0</v>
      </c>
    </row>
    <row r="24" ht="14.25" customHeight="1" spans="1:15" x14ac:dyDescent="0.25">
      <c r="A24" t="s">
        <v>0</v>
      </c>
      <c r="B24" t="s">
        <v>0</v>
      </c>
      <c r="C24" s="74" t="s">
        <v>57</v>
      </c>
      <c r="D24" s="74" t="s">
        <v>0</v>
      </c>
      <c r="E24" s="51" t="s">
        <v>0</v>
      </c>
      <c r="F24" s="51" t="s">
        <v>0</v>
      </c>
      <c r="G24" s="51" t="s">
        <v>0</v>
      </c>
      <c r="H24" s="51" t="s">
        <v>0</v>
      </c>
      <c r="I24" s="75">
        <f>+I20+I22</f>
        <v>5.240692345693363</v>
      </c>
      <c r="J24" s="75">
        <f>+J20+J22</f>
        <v>6.026399441246191</v>
      </c>
      <c r="K24" s="75">
        <f>+K20+K22</f>
        <v>6.696011877701944</v>
      </c>
      <c r="L24" s="75">
        <f>+L20+L22</f>
        <v>7.450077938015474</v>
      </c>
      <c r="M24" s="75">
        <f>+M20+M22</f>
        <v>8.297296658130822</v>
      </c>
      <c r="N24" s="75">
        <f>+N20+N22</f>
        <v>9.24723812977836</v>
      </c>
      <c r="O24" s="236">
        <f>+((N24/I24)^(1/(N$6-I$6))-1)</f>
        <v>0.12027507961088402</v>
      </c>
    </row>
    <row r="25" ht="14.25" customHeight="1" spans="1:15" x14ac:dyDescent="0.25">
      <c r="A25" t="s">
        <v>0</v>
      </c>
      <c r="B25" t="s">
        <v>0</v>
      </c>
      <c r="C25" s="70" t="s">
        <v>85</v>
      </c>
      <c r="D25" s="70" t="s">
        <v>0</v>
      </c>
      <c r="E25" t="s">
        <v>0</v>
      </c>
      <c r="F25" s="71" t="s">
        <v>0</v>
      </c>
      <c r="G25" s="71" t="s">
        <v>0</v>
      </c>
      <c r="H25" s="71" t="s">
        <v>0</v>
      </c>
      <c r="I25" s="71">
        <f>+I24/I10</f>
        <v>0.13284391243836152</v>
      </c>
      <c r="J25" s="71">
        <f>+J24/J10</f>
        <v>0.1393789983520368</v>
      </c>
      <c r="K25" s="71">
        <f>+K24/K10</f>
        <v>0.1412783681639371</v>
      </c>
      <c r="L25" s="71">
        <f>+L24/L10</f>
        <v>0.14337600409753692</v>
      </c>
      <c r="M25" s="71">
        <f>+M24/M10</f>
        <v>0.14562875654636484</v>
      </c>
      <c r="N25" s="71">
        <f>+N24/N10</f>
        <v>0.14799890754332895</v>
      </c>
      <c r="O25" s="69" t="s">
        <v>0</v>
      </c>
    </row>
    <row r="26" ht="14.25" customHeight="1" spans="1:15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s="186" t="s">
        <v>0</v>
      </c>
    </row>
    <row r="27" ht="14.25" customHeight="1" spans="1:15" x14ac:dyDescent="0.25">
      <c r="A27" t="s">
        <v>0</v>
      </c>
      <c r="B27" t="s">
        <v>0</v>
      </c>
      <c r="C27" s="65" t="s">
        <v>206</v>
      </c>
      <c r="D27" s="65" t="s">
        <v>0</v>
      </c>
      <c r="E27" s="66" t="s">
        <v>0</v>
      </c>
      <c r="F27" s="66" t="s">
        <v>0</v>
      </c>
      <c r="G27" s="66" t="s">
        <v>0</v>
      </c>
      <c r="H27" s="66" t="s">
        <v>0</v>
      </c>
      <c r="I27" s="66" t="s">
        <v>0</v>
      </c>
      <c r="J27" s="66" t="s">
        <v>0</v>
      </c>
      <c r="K27" s="66" t="s">
        <v>0</v>
      </c>
      <c r="L27" s="66" t="s">
        <v>0</v>
      </c>
      <c r="M27" s="66" t="s">
        <v>0</v>
      </c>
      <c r="N27" s="66" t="s">
        <v>0</v>
      </c>
      <c r="O27" s="239" t="s">
        <v>0</v>
      </c>
    </row>
    <row r="28" ht="14.25" customHeight="1" spans="1:15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s="2" t="s">
        <v>0</v>
      </c>
    </row>
    <row r="29" ht="14.25" customHeight="1" spans="1:15" x14ac:dyDescent="0.25">
      <c r="A29" t="s">
        <v>0</v>
      </c>
      <c r="B29" t="s">
        <v>0</v>
      </c>
      <c r="C29" t="s">
        <v>57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s="79">
        <f>+I24</f>
        <v>5.240692345693363</v>
      </c>
      <c r="J29" s="79">
        <f>+J24</f>
        <v>6.026399441246191</v>
      </c>
      <c r="K29" s="79">
        <f>+K24</f>
        <v>6.696011877701944</v>
      </c>
      <c r="L29" s="79">
        <f>+L24</f>
        <v>7.450077938015474</v>
      </c>
      <c r="M29" s="79">
        <f>+M24</f>
        <v>8.297296658130822</v>
      </c>
      <c r="N29" s="79">
        <f>+N24</f>
        <v>9.24723812977836</v>
      </c>
      <c r="O29" s="234">
        <f>+((N29/I29)^(1/(N$6-I$6))-1)</f>
        <v>0.12027507961088402</v>
      </c>
    </row>
    <row r="30" ht="14.25" customHeight="1" spans="1:15" x14ac:dyDescent="0.25">
      <c r="A30" t="s">
        <v>0</v>
      </c>
      <c r="B30" t="s">
        <v>0</v>
      </c>
      <c r="C30" t="s">
        <v>202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s="79">
        <f>+I19*-1</f>
        <v>0.14089285714285715</v>
      </c>
      <c r="J30" s="79">
        <f>+J19*-1</f>
        <v>0.14089285714285715</v>
      </c>
      <c r="K30" s="79">
        <f>+K19*-1</f>
        <v>0.14089285714285715</v>
      </c>
      <c r="L30" s="79">
        <f>+L19*-1</f>
        <v>0.14089285714285715</v>
      </c>
      <c r="M30" s="79">
        <f>+M19*-1</f>
        <v>0.14089285714285715</v>
      </c>
      <c r="N30" s="79">
        <f>+N19*-1</f>
        <v>0.14089285714285715</v>
      </c>
      <c r="O30" s="2" t="s">
        <v>0</v>
      </c>
    </row>
    <row r="31" ht="14.25" customHeight="1" spans="1:15" x14ac:dyDescent="0.25">
      <c r="A31" t="s">
        <v>0</v>
      </c>
      <c r="B31" t="s">
        <v>0</v>
      </c>
      <c r="C31" s="134" t="s">
        <v>51</v>
      </c>
      <c r="D31" s="134" t="s">
        <v>0</v>
      </c>
      <c r="E31" t="s">
        <v>0</v>
      </c>
      <c r="F31" t="s">
        <v>0</v>
      </c>
      <c r="G31" t="s">
        <v>0</v>
      </c>
      <c r="H31" t="s">
        <v>0</v>
      </c>
      <c r="I31" s="79">
        <f>+I14*-1</f>
        <v>0.9862500000000001</v>
      </c>
      <c r="J31" s="79">
        <f>+J14*-1</f>
        <v>1.0809375</v>
      </c>
      <c r="K31" s="79">
        <f>+K14*-1</f>
        <v>1.1848968750000004</v>
      </c>
      <c r="L31" s="79">
        <f>+L14*-1</f>
        <v>1.2990454687500006</v>
      </c>
      <c r="M31" s="79">
        <f>+M14*-1</f>
        <v>1.4243918671875004</v>
      </c>
      <c r="N31" s="79">
        <f>+N14*-1</f>
        <v>1.5620449980468756</v>
      </c>
      <c r="O31" s="2" t="s">
        <v>0</v>
      </c>
    </row>
    <row r="32" ht="14.25" customHeight="1" spans="1:15" x14ac:dyDescent="0.25">
      <c r="A32" t="s">
        <v>0</v>
      </c>
      <c r="B32" t="s">
        <v>0</v>
      </c>
      <c r="C32" t="s">
        <v>207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s="79">
        <f>'+Model'!M51</f>
        <v>0</v>
      </c>
      <c r="J32" s="79">
        <f>'+Model'!N51</f>
        <v>0</v>
      </c>
      <c r="K32" s="79">
        <f>'+Model'!O51</f>
        <v>0</v>
      </c>
      <c r="L32" s="79">
        <f>'+Model'!P51</f>
        <v>0</v>
      </c>
      <c r="M32" s="79">
        <f>'+Model'!Q51</f>
        <v>0</v>
      </c>
      <c r="N32" s="79">
        <f>'+Model'!R51</f>
        <v>0</v>
      </c>
      <c r="O32" s="2" t="s">
        <v>0</v>
      </c>
    </row>
    <row r="33" ht="14.25" customHeight="1" spans="1:15" x14ac:dyDescent="0.25">
      <c r="A33" t="s">
        <v>0</v>
      </c>
      <c r="B33" t="s">
        <v>0</v>
      </c>
      <c r="C33" s="70" t="s">
        <v>85</v>
      </c>
      <c r="D33" s="70" t="s">
        <v>0</v>
      </c>
      <c r="E33" t="s">
        <v>0</v>
      </c>
      <c r="F33" s="71" t="s">
        <v>0</v>
      </c>
      <c r="G33" s="71" t="s">
        <v>0</v>
      </c>
      <c r="H33" s="71" t="s">
        <v>0</v>
      </c>
      <c r="I33" s="71">
        <f>+I32/I10</f>
        <v>0</v>
      </c>
      <c r="J33" s="71">
        <f>+J32/J10</f>
        <v>0</v>
      </c>
      <c r="K33" s="71">
        <f>+K32/K10</f>
        <v>0</v>
      </c>
      <c r="L33" s="71">
        <f>+L32/L10</f>
        <v>0</v>
      </c>
      <c r="M33" s="71">
        <f>+M32/M10</f>
        <v>0</v>
      </c>
      <c r="N33" s="71">
        <f>+N32/N10</f>
        <v>0</v>
      </c>
      <c r="O33" s="69" t="s">
        <v>0</v>
      </c>
    </row>
    <row r="34" ht="14.25" customHeight="1" spans="1:15" x14ac:dyDescent="0.25">
      <c r="A34" t="s">
        <v>0</v>
      </c>
      <c r="B34" t="s">
        <v>0</v>
      </c>
      <c r="C34" t="s">
        <v>208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s="79">
        <f>'+Model'!M48</f>
        <v>-1.9725000000000001</v>
      </c>
      <c r="J34" s="79">
        <f>'+Model'!N48</f>
        <v>-2.161875</v>
      </c>
      <c r="K34" s="79">
        <f>'+Model'!O48</f>
        <v>-2.369793750000001</v>
      </c>
      <c r="L34" s="79">
        <f>'+Model'!P48</f>
        <v>-2.598090937500001</v>
      </c>
      <c r="M34" s="79">
        <f>'+Model'!Q48</f>
        <v>-2.848783734375001</v>
      </c>
      <c r="N34" s="79">
        <f>'+Model'!R48</f>
        <v>-3.124089996093751</v>
      </c>
      <c r="O34" s="2" t="s">
        <v>0</v>
      </c>
    </row>
    <row r="35" ht="14.25" customHeight="1" spans="1:15" x14ac:dyDescent="0.25">
      <c r="A35" t="s">
        <v>0</v>
      </c>
      <c r="B35" t="s">
        <v>0</v>
      </c>
      <c r="C35" s="70" t="s">
        <v>85</v>
      </c>
      <c r="D35" s="70" t="s">
        <v>0</v>
      </c>
      <c r="E35" t="s">
        <v>0</v>
      </c>
      <c r="F35" s="71" t="s">
        <v>0</v>
      </c>
      <c r="G35" s="71" t="s">
        <v>0</v>
      </c>
      <c r="H35" s="71" t="s">
        <v>0</v>
      </c>
      <c r="I35" s="71">
        <f>+I34/I10</f>
        <v>-0.05</v>
      </c>
      <c r="J35" s="71">
        <f>+J34/J10</f>
        <v>-0.05</v>
      </c>
      <c r="K35" s="71">
        <f>+K34/K10</f>
        <v>-0.05</v>
      </c>
      <c r="L35" s="71">
        <f>+L34/L10</f>
        <v>-0.05</v>
      </c>
      <c r="M35" s="71">
        <f>+M34/M10</f>
        <v>-0.05</v>
      </c>
      <c r="N35" s="71">
        <f>+N34/N10</f>
        <v>-0.05</v>
      </c>
      <c r="O35" s="69" t="s">
        <v>0</v>
      </c>
    </row>
    <row r="36" ht="14.25" customHeight="1" spans="1:15" x14ac:dyDescent="0.25">
      <c r="A36" t="s">
        <v>0</v>
      </c>
      <c r="B36" t="s">
        <v>0</v>
      </c>
      <c r="C36" s="74" t="s">
        <v>209</v>
      </c>
      <c r="D36" s="74" t="s">
        <v>0</v>
      </c>
      <c r="E36" s="51" t="s">
        <v>0</v>
      </c>
      <c r="F36" s="51" t="s">
        <v>0</v>
      </c>
      <c r="G36" s="51" t="s">
        <v>0</v>
      </c>
      <c r="H36" s="51" t="s">
        <v>0</v>
      </c>
      <c r="I36" s="237">
        <f>+I29+I30+I31+I32+I34</f>
        <v>4.39533520283622</v>
      </c>
      <c r="J36" s="237">
        <f>+J29+J30+J31+J32+J34</f>
        <v>5.086354798389048</v>
      </c>
      <c r="K36" s="237">
        <f>+K29+K30+K31+K32+K34</f>
        <v>5.652007859844801</v>
      </c>
      <c r="L36" s="237">
        <f>+L29+L30+L31+L32+L34</f>
        <v>6.29192532640833</v>
      </c>
      <c r="M36" s="237">
        <f>+M29+M30+M31+M32+M34</f>
        <v>7.013797648086179</v>
      </c>
      <c r="N36" s="237">
        <f>+N29+N30+N31+N32+N34</f>
        <v>7.8260859888743415</v>
      </c>
      <c r="O36" s="236">
        <f>+((N36/I36)^(1/(N$6-I$6))-1)</f>
        <v>0.12230403102956822</v>
      </c>
    </row>
    <row r="37" ht="14.25" customHeight="1" spans="1:15" x14ac:dyDescent="0.25">
      <c r="A37" t="s">
        <v>0</v>
      </c>
      <c r="B37" t="s">
        <v>0</v>
      </c>
      <c r="C37" s="70" t="s">
        <v>85</v>
      </c>
      <c r="D37" s="70" t="s">
        <v>0</v>
      </c>
      <c r="E37" t="s">
        <v>0</v>
      </c>
      <c r="F37" s="71" t="s">
        <v>0</v>
      </c>
      <c r="G37" s="71" t="s">
        <v>0</v>
      </c>
      <c r="H37" s="71" t="s">
        <v>0</v>
      </c>
      <c r="I37" s="71">
        <f>+I36/I10</f>
        <v>0.1114153410097901</v>
      </c>
      <c r="J37" s="71">
        <f>+J36/J10</f>
        <v>0.11763757845363511</v>
      </c>
      <c r="K37" s="71">
        <f>+K36/K10</f>
        <v>0.11925105000898917</v>
      </c>
      <c r="L37" s="71">
        <f>+L36/L10</f>
        <v>0.12108747302861347</v>
      </c>
      <c r="M37" s="71">
        <f>+M36/M10</f>
        <v>0.12310161637497813</v>
      </c>
      <c r="N37" s="71">
        <f>+N36/N10</f>
        <v>0.1252538498996475</v>
      </c>
      <c r="O37" s="69" t="s">
        <v>0</v>
      </c>
    </row>
    <row r="38" ht="14.25" customHeight="1" spans="1:15" x14ac:dyDescent="0.25">
      <c r="A38" t="s">
        <v>0</v>
      </c>
      <c r="B38" t="s">
        <v>0</v>
      </c>
      <c r="C38" s="70" t="s">
        <v>210</v>
      </c>
      <c r="D38" s="70" t="s">
        <v>0</v>
      </c>
      <c r="E38" t="s">
        <v>0</v>
      </c>
      <c r="F38" s="71" t="s">
        <v>0</v>
      </c>
      <c r="G38" s="71" t="s">
        <v>0</v>
      </c>
      <c r="H38" s="71" t="s">
        <v>0</v>
      </c>
      <c r="I38" s="71">
        <f>+I36/I12</f>
        <v>0.4456613640391604</v>
      </c>
      <c r="J38" s="71">
        <f>+J36/J12</f>
        <v>0.47055031381454043</v>
      </c>
      <c r="K38" s="71">
        <f>+K36/K12</f>
        <v>0.47700420003595667</v>
      </c>
      <c r="L38" s="71">
        <f>+L36/L12</f>
        <v>0.4843498921144539</v>
      </c>
      <c r="M38" s="71">
        <f>+M36/M12</f>
        <v>0.4924064654999125</v>
      </c>
      <c r="N38" s="71">
        <f>+N36/N12</f>
        <v>0.50101539959859</v>
      </c>
      <c r="O38" s="69" t="s">
        <v>0</v>
      </c>
    </row>
    <row r="39" ht="14.25" customHeight="1" spans="1:15" x14ac:dyDescent="0.25">
      <c r="A39" t="s">
        <v>0</v>
      </c>
      <c r="B39" t="s">
        <v>0</v>
      </c>
      <c r="C39" s="74" t="s">
        <v>211</v>
      </c>
      <c r="D39" s="74" t="s">
        <v>0</v>
      </c>
      <c r="E39" s="51" t="s">
        <v>0</v>
      </c>
      <c r="F39" s="51" t="s">
        <v>0</v>
      </c>
      <c r="G39" s="51" t="s">
        <v>0</v>
      </c>
      <c r="H39" s="51" t="s">
        <v>0</v>
      </c>
      <c r="I39" s="237">
        <f>+I36</f>
        <v>4.39533520283622</v>
      </c>
      <c r="J39" s="237">
        <f>+I39+J36</f>
        <v>9.481690001225267</v>
      </c>
      <c r="K39" s="237">
        <f>+J39+K36</f>
        <v>15.133697861070068</v>
      </c>
      <c r="L39" s="237">
        <f>+K39+L36</f>
        <v>21.425623187478397</v>
      </c>
      <c r="M39" s="237">
        <f>+L39+M36</f>
        <v>28.439420835564576</v>
      </c>
      <c r="N39" s="237">
        <f>+M39+N36</f>
        <v>36.265506824438916</v>
      </c>
      <c r="O39" s="236" t="s">
        <v>0</v>
      </c>
    </row>
    <row r="40" ht="14.25" customHeight="1" spans="1:15" x14ac:dyDescent="0.25">
      <c r="A40" t="s">
        <v>0</v>
      </c>
      <c r="B40" t="s">
        <v>0</v>
      </c>
      <c r="C40" s="70" t="s">
        <v>212</v>
      </c>
      <c r="D40" s="70" t="s">
        <v>0</v>
      </c>
      <c r="E40" t="s">
        <v>0</v>
      </c>
      <c r="F40" s="71" t="s">
        <v>0</v>
      </c>
      <c r="G40" s="71" t="s">
        <v>0</v>
      </c>
      <c r="H40" s="71" t="s">
        <v>0</v>
      </c>
      <c r="I40" s="71">
        <f>+I39/'LBO Control'!$K$13</f>
        <v>0.08913227280783209</v>
      </c>
      <c r="J40" s="71">
        <f>+J39/'LBO Control'!$K$13</f>
        <v>0.19227761726185585</v>
      </c>
      <c r="K40" s="71">
        <f>+K39/'LBO Control'!$K$13</f>
        <v>0.30689374623209265</v>
      </c>
      <c r="L40" s="71">
        <f>+L39/'LBO Control'!$K$13</f>
        <v>0.43448665525938446</v>
      </c>
      <c r="M40" s="71">
        <f>+M39/'LBO Control'!$K$13</f>
        <v>0.5767182932433881</v>
      </c>
      <c r="N40" s="71">
        <f>+N39/'LBO Control'!$K$13</f>
        <v>0.7354221916236029</v>
      </c>
      <c r="O40" s="69" t="s">
        <v>0</v>
      </c>
    </row>
    <row r="41" ht="14.25" customHeight="1" spans="1:15" x14ac:dyDescent="0.25">
      <c r="A41" t="s">
        <v>0</v>
      </c>
      <c r="B41" t="s">
        <v>0</v>
      </c>
      <c r="C41" s="70" t="s">
        <v>213</v>
      </c>
      <c r="D41" s="70" t="s">
        <v>0</v>
      </c>
      <c r="E41" t="s">
        <v>0</v>
      </c>
      <c r="F41" s="71" t="s">
        <v>0</v>
      </c>
      <c r="G41" s="71" t="s">
        <v>0</v>
      </c>
      <c r="H41" s="71" t="s">
        <v>0</v>
      </c>
      <c r="I41" s="71">
        <f>+IFERROR(I39/I90,"n.a.")</f>
        <v>0.11011140759046394</v>
      </c>
      <c r="J41" s="71">
        <f>+IFERROR(J39/J90,"n.a.")</f>
        <v>0.21149941304840156</v>
      </c>
      <c r="K41" s="71">
        <f>+IFERROR(K39/K90,"n.a.")</f>
        <v>0.30772806987688367</v>
      </c>
      <c r="L41" s="71">
        <f>+IFERROR(L39/L90,"n.a.")</f>
        <v>0.4051217330043891</v>
      </c>
      <c r="M41" s="71">
        <f>+IFERROR(M39/M90,"n.a.")</f>
        <v>0.509000421327539</v>
      </c>
      <c r="N41" s="71">
        <f>+IFERROR(N39/N90,"n.a.")</f>
        <v>0.624761160578209</v>
      </c>
      <c r="O41" s="69" t="s">
        <v>0</v>
      </c>
    </row>
    <row r="42" ht="14.25" customHeight="1" spans="1:15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s="2" t="s">
        <v>0</v>
      </c>
    </row>
    <row r="43" ht="14.25" customHeight="1" spans="1:15" x14ac:dyDescent="0.25">
      <c r="A43" t="s">
        <v>0</v>
      </c>
      <c r="B43" t="s">
        <v>0</v>
      </c>
      <c r="C43" s="65" t="s">
        <v>214</v>
      </c>
      <c r="D43" s="65" t="s">
        <v>0</v>
      </c>
      <c r="E43" s="66" t="s">
        <v>0</v>
      </c>
      <c r="F43" s="66" t="s">
        <v>0</v>
      </c>
      <c r="G43" s="66" t="s">
        <v>0</v>
      </c>
      <c r="H43" s="66" t="s">
        <v>0</v>
      </c>
      <c r="I43" s="66" t="s">
        <v>0</v>
      </c>
      <c r="J43" s="66" t="s">
        <v>0</v>
      </c>
      <c r="K43" s="66" t="s">
        <v>0</v>
      </c>
      <c r="L43" s="66" t="s">
        <v>0</v>
      </c>
      <c r="M43" s="66" t="s">
        <v>0</v>
      </c>
      <c r="N43" s="66" t="s">
        <v>0</v>
      </c>
      <c r="O43" s="239" t="s">
        <v>0</v>
      </c>
    </row>
    <row r="44" ht="14.25" customHeight="1" spans="1:15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s="240">
        <f>+EDATE('LBO Control'!H31,-12)</f>
        <v>44196</v>
      </c>
      <c r="I44" s="241">
        <f>+EDATE(H44,12)</f>
        <v>44561</v>
      </c>
      <c r="J44" s="241">
        <f>+EDATE(I44,12)</f>
        <v>44926</v>
      </c>
      <c r="K44" s="241">
        <f>+EDATE(J44,12)</f>
        <v>45291</v>
      </c>
      <c r="L44" s="241">
        <f>+EDATE(K44,12)</f>
        <v>45657</v>
      </c>
      <c r="M44" s="241">
        <f>+EDATE(L44,12)</f>
        <v>46022</v>
      </c>
      <c r="N44" s="241">
        <f>+EDATE(M44,12)</f>
        <v>46387</v>
      </c>
      <c r="O44" s="2" t="s">
        <v>0</v>
      </c>
    </row>
    <row r="45" ht="14.25" customHeight="1" spans="1:15" x14ac:dyDescent="0.25">
      <c r="A45" t="s">
        <v>0</v>
      </c>
      <c r="B45" t="s">
        <v>0</v>
      </c>
      <c r="C45" s="51" t="s">
        <v>215</v>
      </c>
      <c r="D45" s="51" t="s">
        <v>0</v>
      </c>
      <c r="E45" s="51" t="s">
        <v>0</v>
      </c>
      <c r="F45" s="51" t="s">
        <v>0</v>
      </c>
      <c r="G45" s="51" t="s">
        <v>0</v>
      </c>
      <c r="H45" s="51" t="s">
        <v>0</v>
      </c>
      <c r="I45" s="242">
        <f>+'LBO Control'!H17</f>
        <v>15</v>
      </c>
      <c r="J45" s="85">
        <f>+I51</f>
        <v>0</v>
      </c>
      <c r="K45" s="85">
        <f>+J51</f>
        <v>0</v>
      </c>
      <c r="L45" s="85">
        <f>+K51</f>
        <v>0</v>
      </c>
      <c r="M45" s="85">
        <f>+L51</f>
        <v>0</v>
      </c>
      <c r="N45" s="85">
        <f>+M51</f>
        <v>0</v>
      </c>
      <c r="O45" s="2" t="s">
        <v>0</v>
      </c>
    </row>
    <row r="46" ht="14.25" customHeight="1" spans="1:15" x14ac:dyDescent="0.25">
      <c r="A46" t="s">
        <v>0</v>
      </c>
      <c r="B46" t="s">
        <v>0</v>
      </c>
      <c r="C46" s="134" t="s">
        <v>149</v>
      </c>
      <c r="D46" s="134" t="s">
        <v>0</v>
      </c>
      <c r="E46" t="s">
        <v>0</v>
      </c>
      <c r="F46" t="s">
        <v>0</v>
      </c>
      <c r="G46" t="s">
        <v>0</v>
      </c>
      <c r="H46" t="s">
        <v>0</v>
      </c>
      <c r="I46" s="73">
        <f>+'LBO Control'!$H$11</f>
        <v>10</v>
      </c>
      <c r="J46" s="73">
        <f>+'LBO Control'!$H$11</f>
        <v>10</v>
      </c>
      <c r="K46" s="73">
        <f>+'LBO Control'!$H$11</f>
        <v>10</v>
      </c>
      <c r="L46" s="73">
        <f>+'LBO Control'!$H$11</f>
        <v>10</v>
      </c>
      <c r="M46" s="73">
        <f>+'LBO Control'!$H$11</f>
        <v>10</v>
      </c>
      <c r="N46" s="73">
        <f>+'LBO Control'!$H$11</f>
        <v>10</v>
      </c>
      <c r="O46" s="2" t="s">
        <v>0</v>
      </c>
    </row>
    <row r="47" ht="14.25" customHeight="1" spans="1:15" x14ac:dyDescent="0.25">
      <c r="A47" t="s">
        <v>0</v>
      </c>
      <c r="B47" t="s">
        <v>0</v>
      </c>
      <c r="C47" s="134" t="s">
        <v>216</v>
      </c>
      <c r="D47" s="134" t="s">
        <v>0</v>
      </c>
      <c r="E47" t="s">
        <v>0</v>
      </c>
      <c r="F47" t="s">
        <v>0</v>
      </c>
      <c r="G47" t="s">
        <v>0</v>
      </c>
      <c r="H47" t="s">
        <v>0</v>
      </c>
      <c r="I47" s="243">
        <v>1</v>
      </c>
      <c r="J47" s="243">
        <v>1</v>
      </c>
      <c r="K47" s="243">
        <v>1</v>
      </c>
      <c r="L47" s="243">
        <v>1</v>
      </c>
      <c r="M47" s="243">
        <v>1</v>
      </c>
      <c r="N47" s="243">
        <v>1</v>
      </c>
      <c r="O47" s="2" t="s">
        <v>0</v>
      </c>
    </row>
    <row r="48" ht="14.25" customHeight="1" spans="1:15" x14ac:dyDescent="0.25">
      <c r="A48" t="s">
        <v>0</v>
      </c>
      <c r="B48" t="s">
        <v>0</v>
      </c>
      <c r="C48" s="134" t="s">
        <v>209</v>
      </c>
      <c r="D48" s="134" t="s">
        <v>0</v>
      </c>
      <c r="E48" t="s">
        <v>0</v>
      </c>
      <c r="F48" t="s">
        <v>0</v>
      </c>
      <c r="G48" t="s">
        <v>0</v>
      </c>
      <c r="H48" t="s">
        <v>0</v>
      </c>
      <c r="I48" s="79">
        <f>+I36*I47</f>
        <v>4.39533520283622</v>
      </c>
      <c r="J48" s="79">
        <f>+J36*J47</f>
        <v>5.086354798389048</v>
      </c>
      <c r="K48" s="79">
        <f>+K36*K47</f>
        <v>5.652007859844801</v>
      </c>
      <c r="L48" s="79">
        <f>+L36*L47</f>
        <v>6.29192532640833</v>
      </c>
      <c r="M48" s="79">
        <f>+M36*M47</f>
        <v>7.013797648086179</v>
      </c>
      <c r="N48" s="79">
        <f>+N36*N47</f>
        <v>7.8260859888743415</v>
      </c>
      <c r="O48" s="2" t="s">
        <v>0</v>
      </c>
    </row>
    <row r="49" ht="14.25" customHeight="1" spans="1:15" x14ac:dyDescent="0.25">
      <c r="A49" t="s">
        <v>0</v>
      </c>
      <c r="B49" t="s">
        <v>0</v>
      </c>
      <c r="C49" s="244" t="s">
        <v>217</v>
      </c>
      <c r="D49" s="244" t="s">
        <v>0</v>
      </c>
      <c r="E49" s="55" t="s">
        <v>0</v>
      </c>
      <c r="F49" s="55" t="s">
        <v>0</v>
      </c>
      <c r="G49" s="55" t="s">
        <v>0</v>
      </c>
      <c r="H49" s="55" t="s">
        <v>0</v>
      </c>
      <c r="I49" s="90">
        <f>+IF(circ=0,0,I69+I79)</f>
        <v>-1.9725000000000006</v>
      </c>
      <c r="J49" s="90">
        <f>+IF(circ=0,0,J69+J79)</f>
        <v>-1.9725000000000006</v>
      </c>
      <c r="K49" s="90">
        <f>+IF(circ=0,0,K69+K79)</f>
        <v>-1.9725000000000006</v>
      </c>
      <c r="L49" s="90">
        <f>+IF(circ=0,0,L69+L79)</f>
        <v>-1.9725000000000006</v>
      </c>
      <c r="M49" s="90">
        <f>+IF(circ=0,0,M69+M79)</f>
        <v>-1.9725000000000006</v>
      </c>
      <c r="N49" s="90">
        <f>+IF(circ=0,0,N69+N79)</f>
        <v>-1.9725000000000006</v>
      </c>
      <c r="O49" s="2" t="s">
        <v>0</v>
      </c>
    </row>
    <row r="50" ht="14.25" customHeight="1" spans="1:15" x14ac:dyDescent="0.25">
      <c r="A50" t="s">
        <v>0</v>
      </c>
      <c r="B50" t="s">
        <v>0</v>
      </c>
      <c r="C50" s="245" t="s">
        <v>218</v>
      </c>
      <c r="D50" s="245" t="s">
        <v>0</v>
      </c>
      <c r="E50" t="s">
        <v>0</v>
      </c>
      <c r="F50" t="s">
        <v>0</v>
      </c>
      <c r="G50" t="s">
        <v>0</v>
      </c>
      <c r="H50" t="s">
        <v>0</v>
      </c>
      <c r="I50" s="205">
        <f>+I45-I46+I48+I49</f>
        <v>7.42283520283622</v>
      </c>
      <c r="J50" s="205">
        <f>+J45-J46+J48+J49</f>
        <v>-6.886145201610953</v>
      </c>
      <c r="K50" s="205">
        <f>+K45-K46+K48+K49</f>
        <v>-6.320492140155199</v>
      </c>
      <c r="L50" s="205">
        <f>+L45-L46+L48+L49</f>
        <v>-5.680574673591671</v>
      </c>
      <c r="M50" s="205">
        <f>+M45-M46+M48+M49</f>
        <v>-4.958702351913821</v>
      </c>
      <c r="N50" s="205">
        <f>+N45-N46+N48+N49</f>
        <v>-4.146414011125659</v>
      </c>
      <c r="O50" s="2" t="s">
        <v>0</v>
      </c>
    </row>
    <row r="51" ht="14.25" customHeight="1" spans="1:15" x14ac:dyDescent="0.25">
      <c r="A51" t="s">
        <v>0</v>
      </c>
      <c r="B51" t="s">
        <v>0</v>
      </c>
      <c r="C51" s="245" t="s">
        <v>219</v>
      </c>
      <c r="D51" s="245" t="s">
        <v>0</v>
      </c>
      <c r="E51" t="s">
        <v>0</v>
      </c>
      <c r="F51" t="s">
        <v>0</v>
      </c>
      <c r="G51" t="s">
        <v>0</v>
      </c>
      <c r="H51" t="s">
        <v>0</v>
      </c>
      <c r="I51" s="79" t="s">
        <v>0</v>
      </c>
      <c r="J51" s="79" t="s">
        <v>0</v>
      </c>
      <c r="K51" s="79" t="s">
        <v>0</v>
      </c>
      <c r="L51" s="79" t="s">
        <v>0</v>
      </c>
      <c r="M51" s="79" t="s">
        <v>0</v>
      </c>
      <c r="N51" s="79" t="s">
        <v>0</v>
      </c>
      <c r="O51" s="2" t="s">
        <v>0</v>
      </c>
    </row>
    <row r="52" ht="14.25" customHeight="1" spans="1:15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s="2" t="s">
        <v>0</v>
      </c>
    </row>
    <row r="53" ht="14.25" customHeight="1" spans="1:15" x14ac:dyDescent="0.25">
      <c r="A53" t="s">
        <v>0</v>
      </c>
      <c r="B53" t="s">
        <v>0</v>
      </c>
      <c r="C53" s="70" t="s">
        <v>220</v>
      </c>
      <c r="D53" s="70" t="s">
        <v>0</v>
      </c>
      <c r="E53" t="s">
        <v>0</v>
      </c>
      <c r="F53" t="s">
        <v>0</v>
      </c>
      <c r="G53" t="s">
        <v>0</v>
      </c>
      <c r="H53" t="s">
        <v>0</v>
      </c>
      <c r="I53" s="246">
        <v>0.002</v>
      </c>
      <c r="J53" s="246">
        <v>0.002</v>
      </c>
      <c r="K53" s="246">
        <v>0.002</v>
      </c>
      <c r="L53" s="246">
        <v>0.002</v>
      </c>
      <c r="M53" s="246">
        <v>0.002</v>
      </c>
      <c r="N53" s="246">
        <v>0.002</v>
      </c>
      <c r="O53" s="72" t="s">
        <v>0</v>
      </c>
    </row>
    <row r="54" ht="14.25" customHeight="1" spans="1:15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s="2" t="s">
        <v>0</v>
      </c>
    </row>
    <row r="55" ht="14.25" customHeight="1" spans="1:15" x14ac:dyDescent="0.25">
      <c r="A55" t="s">
        <v>0</v>
      </c>
      <c r="B55" t="s">
        <v>0</v>
      </c>
      <c r="C55" s="6" t="s">
        <v>221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s="2" t="s">
        <v>0</v>
      </c>
    </row>
    <row r="56" ht="14.25" customHeight="1" spans="1:15" x14ac:dyDescent="0.25">
      <c r="A56" t="s">
        <v>0</v>
      </c>
      <c r="B56" t="s">
        <v>0</v>
      </c>
      <c r="C56" s="134" t="s">
        <v>222</v>
      </c>
      <c r="D56" s="247" t="s">
        <v>223</v>
      </c>
      <c r="E56" s="248">
        <f>+'LBO Control'!K28</f>
        <v>100</v>
      </c>
      <c r="F56" t="s">
        <v>0</v>
      </c>
      <c r="G56" t="s">
        <v>0</v>
      </c>
      <c r="H56" s="79" t="s">
        <v>0</v>
      </c>
      <c r="I56" s="79">
        <f>+H58</f>
        <v>0</v>
      </c>
      <c r="J56" s="79">
        <f>+I58</f>
        <v>0</v>
      </c>
      <c r="K56" s="79">
        <f>+J58</f>
        <v>6.886145201610953</v>
      </c>
      <c r="L56" s="79">
        <f>+K58</f>
        <v>13.206637341766152</v>
      </c>
      <c r="M56" s="79">
        <f>+L58</f>
        <v>18.887212015357825</v>
      </c>
      <c r="N56" s="79">
        <f>+M58</f>
        <v>23.845914367271646</v>
      </c>
      <c r="O56" s="2" t="s">
        <v>0</v>
      </c>
    </row>
    <row r="57" ht="14.25" customHeight="1" spans="1:15" x14ac:dyDescent="0.25">
      <c r="A57" t="s">
        <v>0</v>
      </c>
      <c r="B57" t="s">
        <v>0</v>
      </c>
      <c r="C57" s="134" t="s">
        <v>224</v>
      </c>
      <c r="D57" s="247" t="s">
        <v>225</v>
      </c>
      <c r="E57" s="249">
        <v>1</v>
      </c>
      <c r="F57" t="s">
        <v>0</v>
      </c>
      <c r="G57" t="s">
        <v>0</v>
      </c>
      <c r="H57" s="79" t="s">
        <v>0</v>
      </c>
      <c r="I57" s="79">
        <f>+MIN(-MIN(I50,I56)*$E$57,H59)</f>
        <v>0</v>
      </c>
      <c r="J57" s="79">
        <f>+MIN(-MIN(J50,J56)*$E$57,I59)</f>
        <v>6.886145201610953</v>
      </c>
      <c r="K57" s="79">
        <f>+MIN(-MIN(K50,K56)*$E$57,J59)</f>
        <v>6.320492140155199</v>
      </c>
      <c r="L57" s="79">
        <f>+MIN(-MIN(L50,L56)*$E$57,K59)</f>
        <v>5.680574673591671</v>
      </c>
      <c r="M57" s="79">
        <f>+MIN(-MIN(M50,M56)*$E$57,L59)</f>
        <v>4.958702351913821</v>
      </c>
      <c r="N57" s="79">
        <f>+MIN(-MIN(N50,N56)*$E$57,M59)</f>
        <v>4.146414011125659</v>
      </c>
      <c r="O57" s="2" t="s">
        <v>0</v>
      </c>
    </row>
    <row r="58" ht="14.25" customHeight="1" spans="1:15" x14ac:dyDescent="0.25">
      <c r="A58" t="s">
        <v>0</v>
      </c>
      <c r="B58" t="s">
        <v>0</v>
      </c>
      <c r="C58" s="74" t="s">
        <v>226</v>
      </c>
      <c r="D58" s="74" t="s">
        <v>0</v>
      </c>
      <c r="E58" s="74" t="s">
        <v>0</v>
      </c>
      <c r="F58" s="74" t="s">
        <v>0</v>
      </c>
      <c r="G58" s="74" t="s">
        <v>0</v>
      </c>
      <c r="H58" s="250">
        <v>0</v>
      </c>
      <c r="I58" s="75">
        <f>+SUM(I56:I57)</f>
        <v>0</v>
      </c>
      <c r="J58" s="75">
        <f>+SUM(J56:J57)</f>
        <v>6.886145201610953</v>
      </c>
      <c r="K58" s="75">
        <f>+SUM(K56:K57)</f>
        <v>13.206637341766152</v>
      </c>
      <c r="L58" s="75">
        <f>+SUM(L56:L57)</f>
        <v>18.887212015357825</v>
      </c>
      <c r="M58" s="75">
        <f>+SUM(M56:M57)</f>
        <v>23.845914367271646</v>
      </c>
      <c r="N58" s="75">
        <f>+SUM(N56:N57)</f>
        <v>27.992328378397303</v>
      </c>
      <c r="O58" s="2" t="s">
        <v>0</v>
      </c>
    </row>
    <row r="59" ht="14.25" customHeight="1" spans="1:15" x14ac:dyDescent="0.25">
      <c r="A59" t="s">
        <v>0</v>
      </c>
      <c r="B59" t="s">
        <v>0</v>
      </c>
      <c r="C59" t="s">
        <v>227</v>
      </c>
      <c r="D59" t="s">
        <v>0</v>
      </c>
      <c r="E59" t="s">
        <v>0</v>
      </c>
      <c r="F59" t="s">
        <v>0</v>
      </c>
      <c r="G59" t="s">
        <v>0</v>
      </c>
      <c r="H59" s="79">
        <f>+$E$56-H58</f>
        <v>100</v>
      </c>
      <c r="I59" s="79">
        <f>+$E$56-I58</f>
        <v>100</v>
      </c>
      <c r="J59" s="79">
        <f>+$E$56-J58</f>
        <v>93.11385479838904</v>
      </c>
      <c r="K59" s="79">
        <f>+$E$56-K58</f>
        <v>86.79336265823385</v>
      </c>
      <c r="L59" s="79">
        <f>+$E$56-L58</f>
        <v>81.11278798464218</v>
      </c>
      <c r="M59" s="79">
        <f>+$E$56-M58</f>
        <v>76.15408563272835</v>
      </c>
      <c r="N59" s="79">
        <f>+$E$56-N58</f>
        <v>72.0076716216027</v>
      </c>
      <c r="O59" s="2" t="s">
        <v>0</v>
      </c>
    </row>
    <row r="60" ht="14.25" customHeight="1" spans="1:15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s="2" t="s">
        <v>0</v>
      </c>
    </row>
    <row r="61" ht="14.25" customHeight="1" spans="1:15" x14ac:dyDescent="0.25">
      <c r="A61" t="s">
        <v>0</v>
      </c>
      <c r="B61" t="s">
        <v>0</v>
      </c>
      <c r="C61" s="134" t="s">
        <v>40</v>
      </c>
      <c r="D61" s="247" t="s">
        <v>228</v>
      </c>
      <c r="E61" s="251">
        <f>+'LBO Control'!$K$29</f>
        <v>200</v>
      </c>
      <c r="F61" t="s">
        <v>0</v>
      </c>
      <c r="G61" t="s">
        <v>0</v>
      </c>
      <c r="H61" t="s">
        <v>0</v>
      </c>
      <c r="I61" s="79">
        <f>+AVERAGE(H58:I58)*($E$61/10000+I53)</f>
        <v>0</v>
      </c>
      <c r="J61" s="79">
        <f>+AVERAGE(I58:J58)*($E$61/10000+J53)</f>
        <v>0.07574759721772048</v>
      </c>
      <c r="K61" s="79">
        <f>+AVERAGE(J58:K58)*($E$61/10000+K53)</f>
        <v>0.22102060797714815</v>
      </c>
      <c r="L61" s="79">
        <f>+AVERAGE(K58:L58)*($E$61/10000+L53)</f>
        <v>0.3530323429283638</v>
      </c>
      <c r="M61" s="79">
        <f>+AVERAGE(L58:M58)*($E$61/10000+M53)</f>
        <v>0.47006439020892415</v>
      </c>
      <c r="N61" s="79">
        <f>+AVERAGE(M58:N58)*($E$61/10000+N53)</f>
        <v>0.5702206702023584</v>
      </c>
      <c r="O61" t="s">
        <v>0</v>
      </c>
    </row>
    <row r="62" ht="14.25" customHeight="1" spans="1:15" x14ac:dyDescent="0.25">
      <c r="A62" t="s">
        <v>0</v>
      </c>
      <c r="B62" t="s">
        <v>0</v>
      </c>
      <c r="C62" s="134" t="s">
        <v>176</v>
      </c>
      <c r="D62" s="247" t="s">
        <v>229</v>
      </c>
      <c r="E62" s="252">
        <f>+'LBO Control'!$K$30</f>
        <v>0.001</v>
      </c>
      <c r="F62" t="s">
        <v>0</v>
      </c>
      <c r="G62" t="s">
        <v>0</v>
      </c>
      <c r="H62" t="s">
        <v>0</v>
      </c>
      <c r="I62" s="79">
        <f>+AVERAGE(H58:I58)*$E$62</f>
        <v>0</v>
      </c>
      <c r="J62" s="79">
        <f>+AVERAGE(I58:J58)*$E$62</f>
        <v>0.0034430726008054763</v>
      </c>
      <c r="K62" s="79">
        <f>+AVERAGE(J58:K58)*$E$62</f>
        <v>0.010046391271688552</v>
      </c>
      <c r="L62" s="79">
        <f>+AVERAGE(K58:L58)*$E$62</f>
        <v>0.01604692467856199</v>
      </c>
      <c r="M62" s="79">
        <f>+AVERAGE(L58:M58)*$E$62</f>
        <v>0.021366563191314736</v>
      </c>
      <c r="N62" s="79">
        <f>+AVERAGE(M58:N58)*$E$62</f>
        <v>0.025919121372834475</v>
      </c>
      <c r="O62" t="s">
        <v>0</v>
      </c>
    </row>
    <row r="63" ht="14.25" customHeight="1" spans="1:15" x14ac:dyDescent="0.25">
      <c r="A63" t="s">
        <v>0</v>
      </c>
      <c r="B63" t="s">
        <v>0</v>
      </c>
      <c r="C63" s="51" t="s">
        <v>230</v>
      </c>
      <c r="D63" s="51" t="s">
        <v>0</v>
      </c>
      <c r="E63" s="51" t="s">
        <v>0</v>
      </c>
      <c r="F63" s="51" t="s">
        <v>0</v>
      </c>
      <c r="G63" s="51" t="s">
        <v>0</v>
      </c>
      <c r="H63" s="51" t="s">
        <v>0</v>
      </c>
      <c r="I63" s="85">
        <f>SUM(I61:I62)</f>
        <v>0</v>
      </c>
      <c r="J63" s="85">
        <f>SUM(J61:J62)</f>
        <v>0.07919066981852596</v>
      </c>
      <c r="K63" s="85">
        <f>SUM(K61:K62)</f>
        <v>0.2310669992488367</v>
      </c>
      <c r="L63" s="85">
        <f>SUM(L61:L62)</f>
        <v>0.3690792676069258</v>
      </c>
      <c r="M63" s="85">
        <f>SUM(M61:M62)</f>
        <v>0.4914309534002389</v>
      </c>
      <c r="N63" s="85">
        <f>SUM(N61:N62)</f>
        <v>0.5961397915751929</v>
      </c>
      <c r="O63" t="s">
        <v>0</v>
      </c>
    </row>
    <row r="64" ht="14.25" customHeight="1" x14ac:dyDescent="0.25"/>
    <row r="65" ht="14.25" customHeight="1" spans="1:15" x14ac:dyDescent="0.25">
      <c r="A65" t="s">
        <v>0</v>
      </c>
      <c r="B65" t="s">
        <v>0</v>
      </c>
      <c r="C65" s="6" t="s">
        <v>231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s="79">
        <f>+I50+I57</f>
        <v>7.42283520283622</v>
      </c>
      <c r="J65" s="79">
        <f>+J50+J57</f>
        <v>0</v>
      </c>
      <c r="K65" s="79">
        <f>+K50+K57</f>
        <v>0</v>
      </c>
      <c r="L65" s="79">
        <f>+L50+L57</f>
        <v>0</v>
      </c>
      <c r="M65" s="79">
        <f>+M50+M57</f>
        <v>0</v>
      </c>
      <c r="N65" s="79">
        <f>+N50+N57</f>
        <v>0</v>
      </c>
      <c r="O65" t="s">
        <v>0</v>
      </c>
    </row>
    <row r="66" ht="14.25" customHeight="1" x14ac:dyDescent="0.25"/>
    <row r="67" ht="14.25" customHeight="1" spans="1:15" x14ac:dyDescent="0.25">
      <c r="A67" t="s">
        <v>0</v>
      </c>
      <c r="B67" t="s">
        <v>0</v>
      </c>
      <c r="C67" s="132" t="s">
        <v>151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</row>
    <row r="68" ht="14.25" customHeight="1" spans="1:15" x14ac:dyDescent="0.25">
      <c r="A68" t="s">
        <v>0</v>
      </c>
      <c r="B68" t="s">
        <v>0</v>
      </c>
      <c r="C68" s="134" t="s">
        <v>222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s="79">
        <f>+H71</f>
        <v>34.518750000000004</v>
      </c>
      <c r="J68" s="79">
        <f>+I71</f>
        <v>23.644039797163785</v>
      </c>
      <c r="K68" s="79">
        <f>+J71</f>
        <v>20.192164797163784</v>
      </c>
      <c r="L68" s="79">
        <f>+K71</f>
        <v>16.740289797163783</v>
      </c>
      <c r="M68" s="79">
        <f>+L71</f>
        <v>13.288414797163782</v>
      </c>
      <c r="N68" s="79">
        <f>+M71</f>
        <v>9.83653979716378</v>
      </c>
      <c r="O68" t="s">
        <v>0</v>
      </c>
    </row>
    <row r="69" ht="14.25" customHeight="1" spans="1:15" x14ac:dyDescent="0.25">
      <c r="A69" t="s">
        <v>0</v>
      </c>
      <c r="B69" t="s">
        <v>0</v>
      </c>
      <c r="C69" s="134" t="s">
        <v>232</v>
      </c>
      <c r="D69" s="247" t="s">
        <v>233</v>
      </c>
      <c r="E69" s="253">
        <f>+'LBO Control'!K19</f>
        <v>0.1</v>
      </c>
      <c r="F69" t="s">
        <v>0</v>
      </c>
      <c r="G69" t="s">
        <v>0</v>
      </c>
      <c r="H69" t="s">
        <v>0</v>
      </c>
      <c r="I69" s="79">
        <f>+IF(circ=1,IF(I$71&gt;0,$E$69*-1*$H$71,0),0)</f>
        <v>-3.4518750000000007</v>
      </c>
      <c r="J69" s="79">
        <f>+IF(circ=1,IF(J$71&gt;0,$E$69*-1*$H$71,0),0)</f>
        <v>-3.4518750000000007</v>
      </c>
      <c r="K69" s="79">
        <f>+IF(circ=1,IF(K$71&gt;0,$E$69*-1*$H$71,0),0)</f>
        <v>-3.4518750000000007</v>
      </c>
      <c r="L69" s="79">
        <f>+IF(circ=1,IF(L$71&gt;0,$E$69*-1*$H$71,0),0)</f>
        <v>-3.4518750000000007</v>
      </c>
      <c r="M69" s="79">
        <f>+IF(circ=1,IF(M$71&gt;0,$E$69*-1*$H$71,0),0)</f>
        <v>-3.4518750000000007</v>
      </c>
      <c r="N69" s="79">
        <f>+IF(circ=1,IF(N$71&gt;0,$E$69*-1*$H$71,0),0)</f>
        <v>-3.4518750000000007</v>
      </c>
      <c r="O69" t="s">
        <v>0</v>
      </c>
    </row>
    <row r="70" ht="14.25" customHeight="1" spans="1:15" x14ac:dyDescent="0.25">
      <c r="A70" t="s">
        <v>0</v>
      </c>
      <c r="B70" t="s">
        <v>0</v>
      </c>
      <c r="C70" s="134" t="s">
        <v>234</v>
      </c>
      <c r="D70" s="247" t="s">
        <v>225</v>
      </c>
      <c r="E70" s="249">
        <v>1</v>
      </c>
      <c r="F70" t="s">
        <v>0</v>
      </c>
      <c r="G70" t="s">
        <v>0</v>
      </c>
      <c r="H70" t="s">
        <v>0</v>
      </c>
      <c r="I70" s="79">
        <f>+IF(I65&gt;0,-MIN(SUM(I68:I68)*$E$70,I65),)</f>
        <v>-7.42283520283622</v>
      </c>
      <c r="J70" s="79">
        <f>+IF(J65&gt;0,-MIN(SUM(J68:J68)*$E$70,J65),)</f>
        <v>0</v>
      </c>
      <c r="K70" s="79">
        <f>+IF(K65&gt;0,-MIN(SUM(K68:K68)*$E$70,K65),)</f>
        <v>0</v>
      </c>
      <c r="L70" s="79">
        <f>+IF(L65&gt;0,-MIN(SUM(L68:L68)*$E$70,L65),)</f>
        <v>0</v>
      </c>
      <c r="M70" s="79">
        <f>+IF(M65&gt;0,-MIN(SUM(M68:M68)*$E$70,M65),)</f>
        <v>0</v>
      </c>
      <c r="N70" s="79">
        <f>+IF(N65&gt;0,-MIN(SUM(N68:N68)*$E$70,N65),)</f>
        <v>0</v>
      </c>
      <c r="O70" t="s">
        <v>0</v>
      </c>
    </row>
    <row r="71" ht="14.25" customHeight="1" spans="1:15" x14ac:dyDescent="0.25">
      <c r="A71" t="s">
        <v>0</v>
      </c>
      <c r="B71" t="s">
        <v>0</v>
      </c>
      <c r="C71" s="74" t="s">
        <v>235</v>
      </c>
      <c r="D71" s="51" t="s">
        <v>0</v>
      </c>
      <c r="E71" s="51" t="s">
        <v>0</v>
      </c>
      <c r="F71" s="51" t="s">
        <v>0</v>
      </c>
      <c r="G71" s="51" t="s">
        <v>0</v>
      </c>
      <c r="H71" s="235">
        <f>+'LBO Control'!D13</f>
        <v>34.518750000000004</v>
      </c>
      <c r="I71" s="75">
        <f>SUM(I68:I70)</f>
        <v>23.644039797163785</v>
      </c>
      <c r="J71" s="75">
        <f>SUM(J68:J70)</f>
        <v>20.192164797163784</v>
      </c>
      <c r="K71" s="75">
        <f>SUM(K68:K70)</f>
        <v>16.740289797163783</v>
      </c>
      <c r="L71" s="75">
        <f>SUM(L68:L70)</f>
        <v>13.288414797163782</v>
      </c>
      <c r="M71" s="75">
        <f>SUM(M68:M70)</f>
        <v>9.83653979716378</v>
      </c>
      <c r="N71" s="75">
        <f>SUM(N68:N70)</f>
        <v>6.384664797163779</v>
      </c>
      <c r="O71" t="s">
        <v>0</v>
      </c>
    </row>
    <row r="72" ht="14.25" customHeight="1" x14ac:dyDescent="0.25"/>
    <row r="73" ht="14.25" customHeight="1" spans="1:15" x14ac:dyDescent="0.25">
      <c r="A73" t="s">
        <v>0</v>
      </c>
      <c r="B73" t="s">
        <v>0</v>
      </c>
      <c r="C73" s="134" t="s">
        <v>236</v>
      </c>
      <c r="D73" s="247" t="s">
        <v>228</v>
      </c>
      <c r="E73" s="73">
        <f>+'LBO Control'!K17</f>
        <v>400</v>
      </c>
      <c r="F73" t="s">
        <v>0</v>
      </c>
      <c r="G73" t="s">
        <v>0</v>
      </c>
      <c r="H73" t="s">
        <v>0</v>
      </c>
      <c r="I73" s="79">
        <f>+IF(circ=0,0,($E$73/10000+I$53)*AVERAGE(H71:I71))</f>
        <v>1.2214185857404396</v>
      </c>
      <c r="J73" s="79">
        <f>+IF(circ=0,0,($E$73/10000+J$53)*AVERAGE(I71:J71))</f>
        <v>0.920560296480879</v>
      </c>
      <c r="K73" s="79">
        <f>+IF(circ=0,0,($E$73/10000+K$53)*AVERAGE(J71:K71))</f>
        <v>0.775581546480879</v>
      </c>
      <c r="L73" s="79">
        <f>+IF(circ=0,0,($E$73/10000+L$53)*AVERAGE(K71:L71))</f>
        <v>0.6306027964808789</v>
      </c>
      <c r="M73" s="79">
        <f>+IF(circ=0,0,($E$73/10000+M$53)*AVERAGE(L71:M71))</f>
        <v>0.4856240464808788</v>
      </c>
      <c r="N73" s="79">
        <f>+IF(circ=0,0,($E$73/10000+N$53)*AVERAGE(M71:N71))</f>
        <v>0.34064529648087877</v>
      </c>
      <c r="O73" t="s">
        <v>0</v>
      </c>
    </row>
    <row r="74" ht="14.25" customHeight="1" x14ac:dyDescent="0.25"/>
    <row r="75" ht="14.25" customHeight="1" spans="1:15" x14ac:dyDescent="0.25">
      <c r="A75" t="s">
        <v>0</v>
      </c>
      <c r="B75" t="s">
        <v>0</v>
      </c>
      <c r="C75" s="6" t="s">
        <v>237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s="77">
        <f>+I65+I70</f>
        <v>0</v>
      </c>
      <c r="J75" s="77">
        <f>+J65+J70</f>
        <v>0</v>
      </c>
      <c r="K75" s="77">
        <f>+K65+K70</f>
        <v>0</v>
      </c>
      <c r="L75" s="77">
        <f>+L65+L70</f>
        <v>0</v>
      </c>
      <c r="M75" s="77">
        <f>+M65+M70</f>
        <v>0</v>
      </c>
      <c r="N75" s="77">
        <f>+N65+N70</f>
        <v>0</v>
      </c>
      <c r="O75" t="s">
        <v>0</v>
      </c>
    </row>
    <row r="76" ht="14.25" customHeight="1" x14ac:dyDescent="0.25"/>
    <row r="77" ht="14.25" customHeight="1" spans="1:15" x14ac:dyDescent="0.25">
      <c r="A77" t="s">
        <v>0</v>
      </c>
      <c r="B77" t="s">
        <v>0</v>
      </c>
      <c r="C77" s="132" t="s">
        <v>153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</row>
    <row r="78" ht="14.25" customHeight="1" spans="1:15" x14ac:dyDescent="0.25">
      <c r="A78" t="s">
        <v>0</v>
      </c>
      <c r="B78" t="s">
        <v>0</v>
      </c>
      <c r="C78" s="134" t="s">
        <v>222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s="79">
        <f>+H81</f>
        <v>14.793750000000001</v>
      </c>
      <c r="J78" s="79">
        <f>+I81</f>
        <v>16.273125</v>
      </c>
      <c r="K78" s="79">
        <f>+J81</f>
        <v>17.7525</v>
      </c>
      <c r="L78" s="79">
        <f>+K81</f>
        <v>19.231875000000002</v>
      </c>
      <c r="M78" s="79">
        <f>+L81</f>
        <v>20.711250000000003</v>
      </c>
      <c r="N78" s="79">
        <f>+M81</f>
        <v>22.190625000000004</v>
      </c>
      <c r="O78" t="s">
        <v>0</v>
      </c>
    </row>
    <row r="79" ht="14.25" customHeight="1" spans="1:15" x14ac:dyDescent="0.25">
      <c r="A79" t="s">
        <v>0</v>
      </c>
      <c r="B79" t="s">
        <v>0</v>
      </c>
      <c r="C79" s="134" t="s">
        <v>232</v>
      </c>
      <c r="D79" s="247" t="s">
        <v>233</v>
      </c>
      <c r="E79" s="253">
        <f>+'LBO Control'!K25</f>
        <v>0.1</v>
      </c>
      <c r="F79" t="s">
        <v>0</v>
      </c>
      <c r="G79" t="s">
        <v>0</v>
      </c>
      <c r="H79" t="s">
        <v>0</v>
      </c>
      <c r="I79" s="79">
        <f>+IF(circ=1,IF(I$81&gt;0,$E$79*$H$81,0),0)</f>
        <v>1.479375</v>
      </c>
      <c r="J79" s="79">
        <f>+IF(circ=1,IF(J$81&gt;0,$E$79*$H$81,0),0)</f>
        <v>1.479375</v>
      </c>
      <c r="K79" s="79">
        <f>+IF(circ=1,IF(K$81&gt;0,$E$79*$H$81,0),0)</f>
        <v>1.479375</v>
      </c>
      <c r="L79" s="79">
        <f>+IF(circ=1,IF(L$81&gt;0,$E$79*$H$81,0),0)</f>
        <v>1.479375</v>
      </c>
      <c r="M79" s="79">
        <f>+IF(circ=1,IF(M$81&gt;0,$E$79*$H$81,0),0)</f>
        <v>1.479375</v>
      </c>
      <c r="N79" s="79">
        <f>+IF(circ=1,IF(N$81&gt;0,$E$79*$H$81,0),0)</f>
        <v>1.479375</v>
      </c>
      <c r="O79" t="s">
        <v>0</v>
      </c>
    </row>
    <row r="80" ht="14.25" customHeight="1" spans="1:15" x14ac:dyDescent="0.25">
      <c r="A80" t="s">
        <v>0</v>
      </c>
      <c r="B80" t="s">
        <v>0</v>
      </c>
      <c r="C80" s="134" t="s">
        <v>234</v>
      </c>
      <c r="D80" s="247" t="s">
        <v>225</v>
      </c>
      <c r="E80" s="249">
        <v>1</v>
      </c>
      <c r="F80" t="s">
        <v>0</v>
      </c>
      <c r="G80" t="s">
        <v>0</v>
      </c>
      <c r="H80" t="s">
        <v>0</v>
      </c>
      <c r="I80" s="79">
        <f>+IF(I75&gt;0,-MIN(SUM(I75:I75)*$E$80,I75),)</f>
        <v>0</v>
      </c>
      <c r="J80" s="79">
        <f>+IF(J75&gt;0,-MIN(SUM(J75:J75)*$E$80,J75),)</f>
        <v>0</v>
      </c>
      <c r="K80" s="79">
        <f>+IF(K75&gt;0,-MIN(SUM(K75:K75)*$E$80,K75),)</f>
        <v>0</v>
      </c>
      <c r="L80" s="79">
        <f>+IF(L75&gt;0,-MIN(SUM(L75:L75)*$E$80,L75),)</f>
        <v>0</v>
      </c>
      <c r="M80" s="79">
        <f>+IF(M75&gt;0,-MIN(SUM(M75:M75)*$E$80,M75),)</f>
        <v>0</v>
      </c>
      <c r="N80" s="79">
        <f>+IF(N75&gt;0,-MIN(SUM(N75:N75)*$E$80,N75),)</f>
        <v>0</v>
      </c>
      <c r="O80" t="s">
        <v>0</v>
      </c>
    </row>
    <row r="81" ht="14.25" customHeight="1" spans="1:15" x14ac:dyDescent="0.25">
      <c r="A81" t="s">
        <v>0</v>
      </c>
      <c r="B81" t="s">
        <v>0</v>
      </c>
      <c r="C81" s="74" t="s">
        <v>235</v>
      </c>
      <c r="D81" s="51" t="s">
        <v>0</v>
      </c>
      <c r="E81" s="51" t="s">
        <v>0</v>
      </c>
      <c r="F81" s="51" t="s">
        <v>0</v>
      </c>
      <c r="G81" s="51" t="s">
        <v>0</v>
      </c>
      <c r="H81" s="235">
        <f>+'LBO Control'!D14</f>
        <v>14.793750000000001</v>
      </c>
      <c r="I81" s="75">
        <f>SUM(I78:I80)</f>
        <v>16.273125</v>
      </c>
      <c r="J81" s="75">
        <f>SUM(J78:J80)</f>
        <v>17.7525</v>
      </c>
      <c r="K81" s="75">
        <f>SUM(K78:K80)</f>
        <v>19.231875000000002</v>
      </c>
      <c r="L81" s="75">
        <f>SUM(L78:L80)</f>
        <v>20.711250000000003</v>
      </c>
      <c r="M81" s="75">
        <f>SUM(M78:M80)</f>
        <v>22.190625000000004</v>
      </c>
      <c r="N81" s="75">
        <f>SUM(N78:N80)</f>
        <v>23.670000000000005</v>
      </c>
      <c r="O81" t="s">
        <v>0</v>
      </c>
    </row>
    <row r="82" ht="14.25" customHeight="1" x14ac:dyDescent="0.25"/>
    <row r="83" ht="14.25" customHeight="1" spans="1:15" x14ac:dyDescent="0.25">
      <c r="A83" t="s">
        <v>0</v>
      </c>
      <c r="B83" t="s">
        <v>0</v>
      </c>
      <c r="C83" s="134" t="s">
        <v>236</v>
      </c>
      <c r="D83" s="247" t="s">
        <v>228</v>
      </c>
      <c r="E83" s="73">
        <f>+'LBO Control'!K23</f>
        <v>600</v>
      </c>
      <c r="F83" t="s">
        <v>0</v>
      </c>
      <c r="G83" t="s">
        <v>0</v>
      </c>
      <c r="H83" t="s">
        <v>0</v>
      </c>
      <c r="I83" s="79">
        <f>+IF(circ=0,0,($E$83/10000+I$53)*AVERAGE(H81:I81))</f>
        <v>0.9630731250000001</v>
      </c>
      <c r="J83" s="79">
        <f>+IF(circ=0,0,($E$83/10000+J$53)*AVERAGE(I81:J81))</f>
        <v>1.0547943750000002</v>
      </c>
      <c r="K83" s="79">
        <f>+IF(circ=0,0,($E$83/10000+K$53)*AVERAGE(J81:K81))</f>
        <v>1.146515625</v>
      </c>
      <c r="L83" s="79">
        <f>+IF(circ=0,0,($E$83/10000+L$53)*AVERAGE(K81:L81))</f>
        <v>1.2382368750000003</v>
      </c>
      <c r="M83" s="79">
        <f>+IF(circ=0,0,($E$83/10000+M$53)*AVERAGE(L81:M81))</f>
        <v>1.329958125</v>
      </c>
      <c r="N83" s="79">
        <f>+IF(circ=0,0,($E$83/10000+N$53)*AVERAGE(M81:N81))</f>
        <v>1.4216793750000003</v>
      </c>
      <c r="O83" t="s">
        <v>0</v>
      </c>
    </row>
    <row r="84" ht="14.25" customHeight="1" x14ac:dyDescent="0.25"/>
    <row r="85" ht="14.25" customHeight="1" spans="1:15" x14ac:dyDescent="0.25">
      <c r="A85" t="s">
        <v>0</v>
      </c>
      <c r="B85" t="s">
        <v>0</v>
      </c>
      <c r="C85" s="65" t="s">
        <v>238</v>
      </c>
      <c r="D85" s="66" t="s">
        <v>0</v>
      </c>
      <c r="E85" s="66" t="s">
        <v>0</v>
      </c>
      <c r="F85" s="66" t="s">
        <v>0</v>
      </c>
      <c r="G85" s="66" t="s">
        <v>0</v>
      </c>
      <c r="H85" s="66" t="s">
        <v>0</v>
      </c>
      <c r="I85" s="66" t="s">
        <v>0</v>
      </c>
      <c r="J85" s="66" t="s">
        <v>0</v>
      </c>
      <c r="K85" s="66" t="s">
        <v>0</v>
      </c>
      <c r="L85" s="66" t="s">
        <v>0</v>
      </c>
      <c r="M85" s="66" t="s">
        <v>0</v>
      </c>
      <c r="N85" s="66" t="s">
        <v>0</v>
      </c>
      <c r="O85" s="66" t="s">
        <v>0</v>
      </c>
    </row>
    <row r="86" ht="14.25" customHeight="1" spans="1:15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s="254">
        <f>+H44</f>
        <v>44196</v>
      </c>
      <c r="I86" s="254">
        <f>+I44</f>
        <v>44561</v>
      </c>
      <c r="J86" s="254">
        <f>+J44</f>
        <v>44926</v>
      </c>
      <c r="K86" s="254">
        <f>+K44</f>
        <v>45291</v>
      </c>
      <c r="L86" s="254">
        <f>+L44</f>
        <v>45657</v>
      </c>
      <c r="M86" s="254">
        <f>+M44</f>
        <v>46022</v>
      </c>
      <c r="N86" s="254">
        <f>+N44</f>
        <v>46387</v>
      </c>
      <c r="O86" t="s">
        <v>0</v>
      </c>
    </row>
    <row r="87" ht="14.25" customHeight="1" x14ac:dyDescent="0.25"/>
    <row r="88" ht="14.25" customHeight="1" spans="1:15" x14ac:dyDescent="0.25">
      <c r="A88" t="s">
        <v>0</v>
      </c>
      <c r="B88" t="s">
        <v>0</v>
      </c>
      <c r="C88" t="s">
        <v>239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s="77">
        <f>+I63+I73+I83</f>
        <v>2.18449171074044</v>
      </c>
      <c r="J88" s="77">
        <f>+J63+J73+J83</f>
        <v>2.0545453412994052</v>
      </c>
      <c r="K88" s="77">
        <f>+K63+K73+K83</f>
        <v>2.1531641707297156</v>
      </c>
      <c r="L88" s="77">
        <f>+L63+L73+L83</f>
        <v>2.237918939087805</v>
      </c>
      <c r="M88" s="77">
        <f>+M63+M73+M83</f>
        <v>2.307013124881118</v>
      </c>
      <c r="N88" s="77">
        <f>+N63+N73+N83</f>
        <v>2.3584644630560723</v>
      </c>
      <c r="O88" t="s">
        <v>0</v>
      </c>
    </row>
    <row r="89" ht="14.25" customHeight="1" x14ac:dyDescent="0.25"/>
    <row r="90" ht="14.25" customHeight="1" spans="1:15" x14ac:dyDescent="0.25">
      <c r="A90" t="s">
        <v>0</v>
      </c>
      <c r="B90" t="s">
        <v>0</v>
      </c>
      <c r="C90" s="134" t="s">
        <v>240</v>
      </c>
      <c r="D90" t="s">
        <v>0</v>
      </c>
      <c r="E90" t="s">
        <v>0</v>
      </c>
      <c r="F90" t="s">
        <v>0</v>
      </c>
      <c r="G90" t="s">
        <v>0</v>
      </c>
      <c r="H90" s="73">
        <f>+H81+H71+H58</f>
        <v>49.31250000000001</v>
      </c>
      <c r="I90" s="79">
        <f>+I81+I71+I58</f>
        <v>39.917164797163785</v>
      </c>
      <c r="J90" s="79">
        <f>+J81+J71+J58</f>
        <v>44.83080999877473</v>
      </c>
      <c r="K90" s="79">
        <f>+K81+K71+K58</f>
        <v>49.17880213892994</v>
      </c>
      <c r="L90" s="79">
        <f>+L81+L71+L58</f>
        <v>52.88687681252161</v>
      </c>
      <c r="M90" s="79">
        <f>+M81+M71+M58</f>
        <v>55.87307916443543</v>
      </c>
      <c r="N90" s="79">
        <f>+N81+N71+N58</f>
        <v>58.046993175561084</v>
      </c>
      <c r="O90" t="s">
        <v>0</v>
      </c>
    </row>
    <row r="91" ht="14.25" customHeight="1" spans="1:15" x14ac:dyDescent="0.25">
      <c r="A91" t="s">
        <v>0</v>
      </c>
      <c r="B91" t="s">
        <v>0</v>
      </c>
      <c r="C91" s="134" t="s">
        <v>101</v>
      </c>
      <c r="D91" t="s">
        <v>0</v>
      </c>
      <c r="E91" t="s">
        <v>0</v>
      </c>
      <c r="F91" t="s">
        <v>0</v>
      </c>
      <c r="G91" t="s">
        <v>0</v>
      </c>
      <c r="H91" s="79" t="s">
        <v>0</v>
      </c>
      <c r="I91" s="79">
        <f>+I12</f>
        <v>9.8625</v>
      </c>
      <c r="J91" s="79">
        <f>+J12</f>
        <v>10.809375000000001</v>
      </c>
      <c r="K91" s="79">
        <f>+K12</f>
        <v>11.848968750000003</v>
      </c>
      <c r="L91" s="79">
        <f>+L12</f>
        <v>12.990454687500005</v>
      </c>
      <c r="M91" s="79">
        <f>+M12</f>
        <v>14.243918671875004</v>
      </c>
      <c r="N91" s="79">
        <f>+N12</f>
        <v>15.620449980468756</v>
      </c>
      <c r="O91" t="s">
        <v>0</v>
      </c>
    </row>
    <row r="92" ht="14.25" customHeight="1" spans="1:15" x14ac:dyDescent="0.25">
      <c r="A92" t="s">
        <v>0</v>
      </c>
      <c r="B92" t="s">
        <v>0</v>
      </c>
      <c r="C92" s="74" t="s">
        <v>241</v>
      </c>
      <c r="D92" s="51" t="s">
        <v>0</v>
      </c>
      <c r="E92" s="51" t="s">
        <v>0</v>
      </c>
      <c r="F92" s="51" t="s">
        <v>0</v>
      </c>
      <c r="G92" s="51" t="s">
        <v>0</v>
      </c>
      <c r="H92" s="255" t="s">
        <v>0</v>
      </c>
      <c r="I92" s="255">
        <f>+I90/I91</f>
        <v>4.047367786784667</v>
      </c>
      <c r="J92" s="255">
        <f>+J90/J91</f>
        <v>4.147400751548977</v>
      </c>
      <c r="K92" s="255">
        <f>+K90/K91</f>
        <v>4.150471081201048</v>
      </c>
      <c r="L92" s="255">
        <f>+L90/L91</f>
        <v>4.071210599226502</v>
      </c>
      <c r="M92" s="255">
        <f>+M90/M91</f>
        <v>3.9225918408786136</v>
      </c>
      <c r="N92" s="255">
        <f>+N90/N91</f>
        <v>3.71608969319968</v>
      </c>
      <c r="O92" t="s">
        <v>0</v>
      </c>
    </row>
    <row r="93" ht="14.25" customHeight="1" x14ac:dyDescent="0.25"/>
    <row r="94" ht="14.25" customHeight="1" spans="1:15" x14ac:dyDescent="0.25">
      <c r="A94" t="s">
        <v>0</v>
      </c>
      <c r="B94" t="s">
        <v>0</v>
      </c>
      <c r="C94" s="134" t="s">
        <v>121</v>
      </c>
      <c r="D94" t="s">
        <v>0</v>
      </c>
      <c r="E94" t="s">
        <v>0</v>
      </c>
      <c r="F94" t="s">
        <v>0</v>
      </c>
      <c r="G94" t="s">
        <v>0</v>
      </c>
      <c r="H94" s="73">
        <f>+H90-H51</f>
        <v>49.31250000000001</v>
      </c>
      <c r="I94" s="79">
        <f>+I90-I51</f>
        <v>39.917164797163785</v>
      </c>
      <c r="J94" s="79">
        <f>+J90-J51</f>
        <v>44.83080999877473</v>
      </c>
      <c r="K94" s="79">
        <f>+K90-K51</f>
        <v>49.17880213892994</v>
      </c>
      <c r="L94" s="79">
        <f>+L90-L51</f>
        <v>52.88687681252161</v>
      </c>
      <c r="M94" s="79">
        <f>+M90-M51</f>
        <v>55.87307916443543</v>
      </c>
      <c r="N94" s="79">
        <f>+N90-N51</f>
        <v>58.046993175561084</v>
      </c>
      <c r="O94" t="s">
        <v>0</v>
      </c>
    </row>
    <row r="95" ht="14.25" customHeight="1" spans="1:15" x14ac:dyDescent="0.25">
      <c r="A95" t="s">
        <v>0</v>
      </c>
      <c r="B95" t="s">
        <v>0</v>
      </c>
      <c r="C95" s="134" t="s">
        <v>101</v>
      </c>
      <c r="D95" t="s">
        <v>0</v>
      </c>
      <c r="E95" t="s">
        <v>0</v>
      </c>
      <c r="F95" t="s">
        <v>0</v>
      </c>
      <c r="G95" t="s">
        <v>0</v>
      </c>
      <c r="H95" s="79" t="s">
        <v>0</v>
      </c>
      <c r="I95" s="79">
        <f>+I91</f>
        <v>9.8625</v>
      </c>
      <c r="J95" s="79">
        <f>+J91</f>
        <v>10.809375000000001</v>
      </c>
      <c r="K95" s="79">
        <f>+K91</f>
        <v>11.848968750000003</v>
      </c>
      <c r="L95" s="79">
        <f>+L91</f>
        <v>12.990454687500005</v>
      </c>
      <c r="M95" s="79">
        <f>+M91</f>
        <v>14.243918671875004</v>
      </c>
      <c r="N95" s="79">
        <f>+N91</f>
        <v>15.620449980468756</v>
      </c>
      <c r="O95" t="s">
        <v>0</v>
      </c>
    </row>
    <row r="96" ht="14.25" customHeight="1" spans="1:15" x14ac:dyDescent="0.25">
      <c r="A96" t="s">
        <v>0</v>
      </c>
      <c r="B96" t="s">
        <v>0</v>
      </c>
      <c r="C96" s="74" t="s">
        <v>242</v>
      </c>
      <c r="D96" s="51" t="s">
        <v>0</v>
      </c>
      <c r="E96" s="51" t="s">
        <v>0</v>
      </c>
      <c r="F96" s="51" t="s">
        <v>0</v>
      </c>
      <c r="G96" s="51" t="s">
        <v>0</v>
      </c>
      <c r="H96" s="255" t="s">
        <v>0</v>
      </c>
      <c r="I96" s="255">
        <f>+I94/I95</f>
        <v>4.047367786784667</v>
      </c>
      <c r="J96" s="255">
        <f>+J94/J95</f>
        <v>4.147400751548977</v>
      </c>
      <c r="K96" s="255">
        <f>+K94/K95</f>
        <v>4.150471081201048</v>
      </c>
      <c r="L96" s="255">
        <f>+L94/L95</f>
        <v>4.071210599226502</v>
      </c>
      <c r="M96" s="255">
        <f>+M94/M95</f>
        <v>3.9225918408786136</v>
      </c>
      <c r="N96" s="255">
        <f>+N94/N95</f>
        <v>3.71608969319968</v>
      </c>
      <c r="O96" t="s">
        <v>0</v>
      </c>
    </row>
    <row r="97" ht="14.25" customHeight="1" x14ac:dyDescent="0.25"/>
    <row r="98" ht="14.25" customHeight="1" spans="1:15" x14ac:dyDescent="0.25">
      <c r="A98" t="s">
        <v>0</v>
      </c>
      <c r="B98" t="s">
        <v>0</v>
      </c>
      <c r="C98" s="134" t="s">
        <v>101</v>
      </c>
      <c r="D98" t="s">
        <v>0</v>
      </c>
      <c r="E98" t="s">
        <v>0</v>
      </c>
      <c r="F98" t="s">
        <v>0</v>
      </c>
      <c r="G98" t="s">
        <v>0</v>
      </c>
      <c r="H98" s="79" t="s">
        <v>0</v>
      </c>
      <c r="I98" s="79">
        <f>+I95</f>
        <v>9.8625</v>
      </c>
      <c r="J98" s="79">
        <f>+J95</f>
        <v>10.809375000000001</v>
      </c>
      <c r="K98" s="79">
        <f>+K95</f>
        <v>11.848968750000003</v>
      </c>
      <c r="L98" s="79">
        <f>+L95</f>
        <v>12.990454687500005</v>
      </c>
      <c r="M98" s="79">
        <f>+M95</f>
        <v>14.243918671875004</v>
      </c>
      <c r="N98" s="79">
        <f>+N95</f>
        <v>15.620449980468756</v>
      </c>
      <c r="O98" t="s">
        <v>0</v>
      </c>
    </row>
    <row r="99" ht="14.25" customHeight="1" spans="1:15" x14ac:dyDescent="0.25">
      <c r="A99" t="s">
        <v>0</v>
      </c>
      <c r="B99" t="s">
        <v>0</v>
      </c>
      <c r="C99" s="134" t="s">
        <v>243</v>
      </c>
      <c r="D99" t="s">
        <v>0</v>
      </c>
      <c r="E99" t="s">
        <v>0</v>
      </c>
      <c r="F99" t="s">
        <v>0</v>
      </c>
      <c r="G99" t="s">
        <v>0</v>
      </c>
      <c r="H99" s="79" t="s">
        <v>0</v>
      </c>
      <c r="I99" s="79">
        <f>+'LBO Control'!$H$35</f>
        <v>12</v>
      </c>
      <c r="J99" s="79">
        <f>+'LBO Control'!$H$35</f>
        <v>12</v>
      </c>
      <c r="K99" s="79">
        <f>+'LBO Control'!$H$35</f>
        <v>12</v>
      </c>
      <c r="L99" s="79">
        <f>+'LBO Control'!$H$35</f>
        <v>12</v>
      </c>
      <c r="M99" s="79">
        <f>+'LBO Control'!$H$35</f>
        <v>12</v>
      </c>
      <c r="N99" s="79">
        <f>+'LBO Control'!$H$35</f>
        <v>12</v>
      </c>
      <c r="O99" t="s">
        <v>0</v>
      </c>
    </row>
    <row r="100" ht="14.25" customHeight="1" spans="1:15" x14ac:dyDescent="0.25">
      <c r="A100" t="s">
        <v>0</v>
      </c>
      <c r="B100" t="s">
        <v>0</v>
      </c>
      <c r="C100" s="74" t="s">
        <v>120</v>
      </c>
      <c r="D100" s="51" t="s">
        <v>0</v>
      </c>
      <c r="E100" s="51" t="s">
        <v>0</v>
      </c>
      <c r="F100" s="51" t="s">
        <v>0</v>
      </c>
      <c r="G100" s="51" t="s">
        <v>0</v>
      </c>
      <c r="H100" s="75" t="s">
        <v>0</v>
      </c>
      <c r="I100" s="75">
        <f>+I99*I98</f>
        <v>118.35000000000001</v>
      </c>
      <c r="J100" s="75">
        <f>+J99*J98</f>
        <v>129.7125</v>
      </c>
      <c r="K100" s="75">
        <f>+K99*K98</f>
        <v>142.18762500000003</v>
      </c>
      <c r="L100" s="75">
        <f>+L99*L98</f>
        <v>155.88545625000006</v>
      </c>
      <c r="M100" s="75">
        <f>+M99*M98</f>
        <v>170.92702406250004</v>
      </c>
      <c r="N100" s="75">
        <f>+N99*N98</f>
        <v>187.44539976562507</v>
      </c>
      <c r="O100" t="s">
        <v>0</v>
      </c>
    </row>
    <row r="101" ht="14.25" customHeight="1" spans="1:15" x14ac:dyDescent="0.25">
      <c r="A101" t="s">
        <v>0</v>
      </c>
      <c r="B101" t="s">
        <v>0</v>
      </c>
      <c r="C101" s="134" t="s">
        <v>121</v>
      </c>
      <c r="D101" t="s">
        <v>0</v>
      </c>
      <c r="E101" t="s">
        <v>0</v>
      </c>
      <c r="F101" t="s">
        <v>0</v>
      </c>
      <c r="G101" t="s">
        <v>0</v>
      </c>
      <c r="H101" s="79" t="s">
        <v>0</v>
      </c>
      <c r="I101" s="79">
        <f>+I94*-1</f>
        <v>-39.917164797163785</v>
      </c>
      <c r="J101" s="79">
        <f>+J94*-1</f>
        <v>-44.83080999877473</v>
      </c>
      <c r="K101" s="79">
        <f>+K94*-1</f>
        <v>-49.17880213892994</v>
      </c>
      <c r="L101" s="79">
        <f>+L94*-1</f>
        <v>-52.88687681252161</v>
      </c>
      <c r="M101" s="79">
        <f>+M94*-1</f>
        <v>-55.87307916443543</v>
      </c>
      <c r="N101" s="79">
        <f>+N94*-1</f>
        <v>-58.046993175561084</v>
      </c>
      <c r="O101" t="s">
        <v>0</v>
      </c>
    </row>
    <row r="102" ht="14.25" customHeight="1" spans="1:15" x14ac:dyDescent="0.25">
      <c r="A102" t="s">
        <v>0</v>
      </c>
      <c r="B102" t="s">
        <v>0</v>
      </c>
      <c r="C102" s="74" t="s">
        <v>122</v>
      </c>
      <c r="D102" s="51" t="s">
        <v>0</v>
      </c>
      <c r="E102" s="51" t="s">
        <v>0</v>
      </c>
      <c r="F102" s="51" t="s">
        <v>0</v>
      </c>
      <c r="G102" s="51" t="s">
        <v>0</v>
      </c>
      <c r="H102" s="75" t="s">
        <v>0</v>
      </c>
      <c r="I102" s="75">
        <f>+I101+I100</f>
        <v>78.43283520283623</v>
      </c>
      <c r="J102" s="75">
        <f>+J101+J100</f>
        <v>84.88169000122528</v>
      </c>
      <c r="K102" s="75">
        <f>+K101+K100</f>
        <v>93.00882286107009</v>
      </c>
      <c r="L102" s="75">
        <f>+L101+L100</f>
        <v>102.99857943747844</v>
      </c>
      <c r="M102" s="75">
        <f>+M101+M100</f>
        <v>115.0539448980646</v>
      </c>
      <c r="N102" s="75">
        <f>+N101+N100</f>
        <v>129.39840659006398</v>
      </c>
      <c r="O102" t="s">
        <v>0</v>
      </c>
    </row>
    <row r="103" ht="14.25" customHeight="1" spans="1:15" x14ac:dyDescent="0.25">
      <c r="A103" t="s">
        <v>0</v>
      </c>
      <c r="B103" t="s">
        <v>0</v>
      </c>
      <c r="C103" s="134" t="s">
        <v>118</v>
      </c>
      <c r="D103" t="s">
        <v>0</v>
      </c>
      <c r="E103" t="s">
        <v>0</v>
      </c>
      <c r="F103" t="s">
        <v>0</v>
      </c>
      <c r="G103" t="s">
        <v>0</v>
      </c>
      <c r="H103" s="79">
        <f>+'LBO Control'!D12*-1</f>
        <v>-71.84831249999999</v>
      </c>
      <c r="I103" s="79">
        <f>+IF('LBO Control''!$H$32=LBO!I86,LBO'!I102,0)</f>
        <v>0</v>
      </c>
      <c r="J103" s="79">
        <f>+IF('LBO Control''!$H$32=LBO!J86,LBO'!J102,0)</f>
        <v>0</v>
      </c>
      <c r="K103" s="79">
        <f>+IF('LBO Control''!$H$32=LBO!K86,LBO'!K102,0)</f>
        <v>0</v>
      </c>
      <c r="L103" s="79">
        <f>+IF('LBO Control''!$H$32=LBO!L86,LBO'!L102,0)</f>
        <v>0</v>
      </c>
      <c r="M103" s="79">
        <f>+IF('LBO Control''!$H$32=LBO!M86,LBO'!M102,0)</f>
        <v>115.0539448980646</v>
      </c>
      <c r="N103" s="79">
        <f>+IF('LBO Control''!$H$32=LBO!N86,LBO'!N102,0)</f>
        <v>0</v>
      </c>
      <c r="O103" t="s">
        <v>0</v>
      </c>
    </row>
    <row r="104" ht="14.25" customHeight="1" spans="1:15" x14ac:dyDescent="0.25">
      <c r="A104" t="s">
        <v>0</v>
      </c>
      <c r="B104" t="s">
        <v>0</v>
      </c>
      <c r="C104" s="74" t="s">
        <v>188</v>
      </c>
      <c r="D104" s="51" t="s">
        <v>0</v>
      </c>
      <c r="E104" s="51" t="s">
        <v>0</v>
      </c>
      <c r="F104" s="51" t="s">
        <v>0</v>
      </c>
      <c r="G104" s="51" t="s">
        <v>0</v>
      </c>
      <c r="H104" s="255" t="s">
        <v>0</v>
      </c>
      <c r="I104" s="256">
        <f>+IF(+'LBO Control''!$H$32=LBO'!I86,IFERROR(XIRR(LBO!$H$103:I103,LBO!$H$86:I86),0),0)</f>
        <v>0</v>
      </c>
      <c r="J104" s="256">
        <f>+IF(+'LBO Control''!$H$32=LBO'!J86,IFERROR(XIRR(LBO!$H$103:J103,LBO!$H$86:J86),0),0)</f>
        <v>0</v>
      </c>
      <c r="K104" s="256">
        <f>+IF(+'LBO Control''!$H$32=LBO'!K86,IFERROR(XIRR(LBO!$H$103:K103,LBO!$H$86:K86),0),0)</f>
        <v>0</v>
      </c>
      <c r="L104" s="256">
        <f>+IF(+'LBO Control''!$H$32=LBO'!L86,IFERROR(XIRR(LBO!$H$103:L103,LBO!$H$86:L86),0),0)</f>
        <v>0</v>
      </c>
      <c r="M104" s="256">
        <f>+IF(+'LBO Control''!$H$32=LBO'!M86,IFERROR(XIRR(LBO!$H$103:M103,LBO!$H$86:M86),0),0)</f>
        <v>0.09868853688240053</v>
      </c>
      <c r="N104" s="256">
        <f>+IF(+'LBO Control''!$H$32=LBO'!N86,IFERROR(XIRR(LBO!$H$103:N103,LBO!$H$86:N86),0),0)</f>
        <v>0</v>
      </c>
      <c r="O104" t="s">
        <v>0</v>
      </c>
    </row>
    <row r="105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 showGridLines="0"/>
  </sheetViews>
  <sheetFormatPr defaultRowHeight="14.25" outlineLevelRow="0" outlineLevelCol="0" x14ac:dyDescent="55" defaultColWidth="9.2" customHeight="1"/>
  <cols>
    <col min="1" max="1" width="9.2" customWidth="1"/>
    <col min="2" max="2" width="21.6" customWidth="1"/>
    <col min="3" max="3" width="9.866666666666667" customWidth="1"/>
    <col min="4" max="4" width="9.2" customWidth="1"/>
    <col min="5" max="5" width="9.866666666666667" customWidth="1"/>
    <col min="6" max="13" width="9.2" customWidth="1"/>
    <col min="14" max="14" width="16" customWidth="1"/>
    <col min="15" max="16" width="9.2" customWidth="1"/>
    <col min="17" max="17" width="1.6" customWidth="1"/>
    <col min="18" max="18" width="16" customWidth="1"/>
    <col min="19" max="20" width="9.2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spans="1:20" x14ac:dyDescent="0.25">
      <c r="A5" t="s">
        <v>0</v>
      </c>
      <c r="B5" s="257" t="s">
        <v>244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</row>
    <row r="6" ht="14.25" customHeight="1" spans="1:20" x14ac:dyDescent="0.25">
      <c r="A6" t="s">
        <v>0</v>
      </c>
      <c r="B6" s="258" t="s">
        <v>0</v>
      </c>
      <c r="C6" s="259" t="s">
        <v>70</v>
      </c>
      <c r="D6" s="260" t="s">
        <v>0</v>
      </c>
      <c r="E6" s="259" t="s">
        <v>71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</row>
    <row r="7" ht="14.25" customHeight="1" spans="1:20" x14ac:dyDescent="0.25">
      <c r="A7" t="s">
        <v>0</v>
      </c>
      <c r="B7" s="258" t="s">
        <v>0</v>
      </c>
      <c r="C7" s="261">
        <f>+'LBO Control'!H31</f>
        <v>44561</v>
      </c>
      <c r="D7" s="262" t="s">
        <v>0</v>
      </c>
      <c r="E7" s="261">
        <f>+'LBO Control'!H32</f>
        <v>46022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</row>
    <row r="8" ht="20.25" customHeight="1" spans="1:20" x14ac:dyDescent="0.25">
      <c r="A8" t="s">
        <v>0</v>
      </c>
      <c r="B8" s="263" t="s">
        <v>101</v>
      </c>
      <c r="C8" s="264">
        <f>+'LBO Control'!H13</f>
        <v>9.8625</v>
      </c>
      <c r="D8" s="263" t="s">
        <v>0</v>
      </c>
      <c r="E8" s="264">
        <f>+'LBO Control'!H36</f>
        <v>14.243918671875004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</row>
    <row r="9" ht="20.25" customHeight="1" spans="1:20" x14ac:dyDescent="0.25">
      <c r="A9" t="s">
        <v>0</v>
      </c>
      <c r="B9" s="263" t="s">
        <v>106</v>
      </c>
      <c r="C9" s="265">
        <f>+'LBO Control'!H14</f>
        <v>12</v>
      </c>
      <c r="D9" s="263" t="s">
        <v>0</v>
      </c>
      <c r="E9" s="265">
        <f>+'LBO Control'!H35</f>
        <v>12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</row>
    <row r="10" ht="20.25" customHeight="1" spans="1:20" x14ac:dyDescent="0.25">
      <c r="A10" t="s">
        <v>0</v>
      </c>
      <c r="B10" s="263" t="s">
        <v>120</v>
      </c>
      <c r="C10" s="264">
        <f>+'LBO Control'!H15</f>
        <v>118.35000000000001</v>
      </c>
      <c r="D10" s="263" t="s">
        <v>0</v>
      </c>
      <c r="E10" s="264">
        <f>+'LBO Control'!H37</f>
        <v>170.92702406250004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</row>
    <row r="11" ht="20.25" customHeight="1" spans="1:20" x14ac:dyDescent="0.25">
      <c r="A11" t="s">
        <v>0</v>
      </c>
      <c r="B11" s="263" t="s">
        <v>121</v>
      </c>
      <c r="C11" s="264">
        <f>+'LBO Control'!K13+'LBO Control'!H11-'LBO Control'!H17</f>
        <v>44.3125</v>
      </c>
      <c r="D11" s="263" t="s">
        <v>0</v>
      </c>
      <c r="E11" s="264">
        <f>+'LBO Control'!H38*-1</f>
        <v>55.87307916443543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</row>
    <row r="12" ht="20.25" customHeight="1" spans="1:20" x14ac:dyDescent="0.25">
      <c r="A12" t="s">
        <v>0</v>
      </c>
      <c r="B12" s="263" t="s">
        <v>122</v>
      </c>
      <c r="C12" s="264">
        <f>+'LBO Control'!H18</f>
        <v>103.35000000000001</v>
      </c>
      <c r="D12" s="263" t="s">
        <v>0</v>
      </c>
      <c r="E12" s="264">
        <f>+'LBO Control'!H39</f>
        <v>115.0539448980646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</row>
    <row r="13" ht="20.25" customHeight="1" spans="1:20" x14ac:dyDescent="0.25">
      <c r="A13" t="s">
        <v>0</v>
      </c>
      <c r="B13" s="263" t="s">
        <v>190</v>
      </c>
      <c r="C13" s="263" t="s">
        <v>0</v>
      </c>
      <c r="D13" s="263" t="s">
        <v>0</v>
      </c>
      <c r="E13" s="265">
        <f>+'LBO Control'!H41</f>
        <v>1.601345124119159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</row>
    <row r="14" ht="20.25" customHeight="1" spans="1:20" x14ac:dyDescent="0.25">
      <c r="A14" t="s">
        <v>0</v>
      </c>
      <c r="B14" s="263" t="s">
        <v>188</v>
      </c>
      <c r="C14" s="263" t="s">
        <v>0</v>
      </c>
      <c r="D14" s="263" t="s">
        <v>0</v>
      </c>
      <c r="E14" s="266">
        <f>+'LBO Control'!H40</f>
        <v>0.1249189567948723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</row>
    <row r="15" ht="14.25" customHeight="1" x14ac:dyDescent="0.25"/>
    <row r="16" ht="14.25" customHeight="1" spans="1:20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s="12" t="s">
        <v>245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</row>
    <row r="17" ht="14.25" customHeight="1" spans="1:20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tr">
        <f>+"Assumes Leverage of "&amp;TEXT(+'LBO Control'!K12,"0.0x")&amp;" and "&amp;TEXT('LBO Control'!H35,"0.0x")&amp;" LTM AV / EBITDA Multiple"</f>
        <v>Assumes Leverage of 5.0x and 12.0x LTM AV / EBITDA Multiple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</row>
    <row r="18" ht="14.25" customHeight="1" x14ac:dyDescent="0.25"/>
    <row r="19" ht="14.25" customHeight="1" spans="1:20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s="267" t="s">
        <v>246</v>
      </c>
      <c r="H19" s="138" t="s">
        <v>0</v>
      </c>
      <c r="I19" s="138" t="s">
        <v>0</v>
      </c>
      <c r="J19" s="138" t="s">
        <v>0</v>
      </c>
      <c r="K19" s="138" t="s">
        <v>0</v>
      </c>
      <c r="L19" s="138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</row>
    <row r="20" ht="24.75" customHeight="1" spans="1:20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s="260" t="s">
        <v>0</v>
      </c>
      <c r="G20" s="268">
        <v>0.15</v>
      </c>
      <c r="H20" s="268">
        <f>+G20+1%</f>
        <v>0.16</v>
      </c>
      <c r="I20" s="268">
        <f>+H20+1%</f>
        <v>0.17</v>
      </c>
      <c r="J20" s="268">
        <f>+I20+1%</f>
        <v>0.18000000000000002</v>
      </c>
      <c r="K20" s="268">
        <f>+J20+1%</f>
        <v>0.19000000000000003</v>
      </c>
      <c r="L20" s="268">
        <f>+K20+1%</f>
        <v>0.20000000000000004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</row>
    <row r="21" ht="24.75" customHeight="1" spans="1:20" x14ac:dyDescent="0.25">
      <c r="A21" t="s">
        <v>0</v>
      </c>
      <c r="B21" t="s">
        <v>0</v>
      </c>
      <c r="C21" t="s">
        <v>0</v>
      </c>
      <c r="D21" t="s">
        <v>0</v>
      </c>
      <c r="E21" s="269" t="s">
        <v>247</v>
      </c>
      <c r="F21" s="270">
        <v>0.07</v>
      </c>
      <c r="G21" s="271" t="s">
        <v>0</v>
      </c>
      <c r="H21" s="272" t="s">
        <v>0</v>
      </c>
      <c r="I21" s="272" t="s">
        <v>0</v>
      </c>
      <c r="J21" s="272" t="s">
        <v>0</v>
      </c>
      <c r="K21" s="272" t="s">
        <v>0</v>
      </c>
      <c r="L21" s="273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</row>
    <row r="22" ht="24.75" customHeight="1" spans="1:20" x14ac:dyDescent="0.25">
      <c r="A22" t="s">
        <v>0</v>
      </c>
      <c r="B22" t="s">
        <v>0</v>
      </c>
      <c r="C22" t="s">
        <v>0</v>
      </c>
      <c r="D22" t="s">
        <v>0</v>
      </c>
      <c r="E22" s="269"/>
      <c r="F22" s="270">
        <f>+F21+1%</f>
        <v>0.08</v>
      </c>
      <c r="G22" s="274" t="s">
        <v>0</v>
      </c>
      <c r="H22" s="275" t="s">
        <v>0</v>
      </c>
      <c r="I22" s="275" t="s">
        <v>0</v>
      </c>
      <c r="J22" s="275" t="s">
        <v>0</v>
      </c>
      <c r="K22" s="275" t="s">
        <v>0</v>
      </c>
      <c r="L22" s="276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</row>
    <row r="23" ht="24.75" customHeight="1" spans="1:20" x14ac:dyDescent="0.25">
      <c r="A23" t="s">
        <v>0</v>
      </c>
      <c r="B23" t="s">
        <v>0</v>
      </c>
      <c r="C23" t="s">
        <v>0</v>
      </c>
      <c r="D23" t="s">
        <v>0</v>
      </c>
      <c r="E23" s="269"/>
      <c r="F23" s="270">
        <f>+F22+1%</f>
        <v>0.09</v>
      </c>
      <c r="G23" s="274" t="s">
        <v>0</v>
      </c>
      <c r="H23" s="275" t="s">
        <v>0</v>
      </c>
      <c r="I23" s="275" t="s">
        <v>0</v>
      </c>
      <c r="J23" s="275" t="s">
        <v>0</v>
      </c>
      <c r="K23" s="275" t="s">
        <v>0</v>
      </c>
      <c r="L23" s="276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</row>
    <row r="24" ht="24.75" customHeight="1" spans="1:20" x14ac:dyDescent="0.25">
      <c r="A24" t="s">
        <v>0</v>
      </c>
      <c r="B24" t="s">
        <v>0</v>
      </c>
      <c r="C24" t="s">
        <v>0</v>
      </c>
      <c r="D24" t="s">
        <v>0</v>
      </c>
      <c r="E24" s="269"/>
      <c r="F24" s="270">
        <f>+F23+1%</f>
        <v>0.09999999999999999</v>
      </c>
      <c r="G24" s="274" t="s">
        <v>0</v>
      </c>
      <c r="H24" s="275" t="s">
        <v>0</v>
      </c>
      <c r="I24" s="275" t="s">
        <v>0</v>
      </c>
      <c r="J24" s="275" t="s">
        <v>0</v>
      </c>
      <c r="K24" s="275" t="s">
        <v>0</v>
      </c>
      <c r="L24" s="276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</row>
    <row r="25" ht="24.75" customHeight="1" spans="1:20" x14ac:dyDescent="0.25">
      <c r="A25" t="s">
        <v>0</v>
      </c>
      <c r="B25" t="s">
        <v>0</v>
      </c>
      <c r="C25" t="s">
        <v>0</v>
      </c>
      <c r="D25" t="s">
        <v>0</v>
      </c>
      <c r="E25" s="269"/>
      <c r="F25" s="270">
        <f>+F24+1%</f>
        <v>0.10999999999999999</v>
      </c>
      <c r="G25" s="277" t="s">
        <v>0</v>
      </c>
      <c r="H25" s="278" t="s">
        <v>0</v>
      </c>
      <c r="I25" s="278" t="s">
        <v>0</v>
      </c>
      <c r="J25" s="278" t="s">
        <v>0</v>
      </c>
      <c r="K25" s="278" t="s">
        <v>0</v>
      </c>
      <c r="L25" s="279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</row>
    <row r="26" ht="14.25" customHeight="1" x14ac:dyDescent="0.25"/>
    <row r="27" ht="14.25" customHeight="1" spans="1:20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s="12" t="s">
        <v>143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</row>
    <row r="28" ht="14.25" customHeight="1" x14ac:dyDescent="0.25"/>
    <row r="29" ht="14.25" customHeight="1" spans="1:20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s="280" t="s">
        <v>248</v>
      </c>
      <c r="O29" s="281" t="s">
        <v>147</v>
      </c>
      <c r="P29" s="281" t="s">
        <v>249</v>
      </c>
      <c r="Q29" s="258" t="s">
        <v>0</v>
      </c>
      <c r="R29" s="280" t="s">
        <v>157</v>
      </c>
      <c r="S29" s="281" t="s">
        <v>147</v>
      </c>
      <c r="T29" s="281" t="s">
        <v>249</v>
      </c>
    </row>
    <row r="30" ht="20.25" customHeight="1" spans="1:20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s="263" t="str">
        <f>+'LBO Control'!C12</f>
        <v>Sponsor Equity</v>
      </c>
      <c r="O30" s="264">
        <f>+'LBO Control'!D12</f>
        <v>71.84831249999999</v>
      </c>
      <c r="P30" s="282">
        <f>+O30/$O$34</f>
        <v>0.5929995929995929</v>
      </c>
      <c r="Q30" s="258" t="s">
        <v>0</v>
      </c>
      <c r="R30" s="263" t="s">
        <v>250</v>
      </c>
      <c r="S30" s="264">
        <f>+'LBO Control'!D18</f>
        <v>103.35000000000001</v>
      </c>
      <c r="T30" s="282">
        <f>+S30/$S$34</f>
        <v>0.8529985716297503</v>
      </c>
    </row>
    <row r="31" ht="20.25" customHeight="1" spans="1:20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s="263" t="str">
        <f>+'LBO Control'!C13</f>
        <v>1st Lien</v>
      </c>
      <c r="O31" s="264">
        <f>+'LBO Control'!D13</f>
        <v>34.518750000000004</v>
      </c>
      <c r="P31" s="282">
        <f>+O31/$O$34</f>
        <v>0.2849002849002849</v>
      </c>
      <c r="Q31" s="258" t="s">
        <v>0</v>
      </c>
      <c r="R31" s="263" t="str">
        <f>+'LBO Control'!C19</f>
        <v>Debt Paydown</v>
      </c>
      <c r="S31" s="264">
        <f>+'LBO Control'!D19</f>
        <v>15</v>
      </c>
      <c r="T31" s="282">
        <f>+S31/$S$34</f>
        <v>0.12380240517122645</v>
      </c>
    </row>
    <row r="32" ht="20.25" customHeight="1" spans="1:20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s="263" t="str">
        <f>+'LBO Control'!C14</f>
        <v>2nd Lien</v>
      </c>
      <c r="O32" s="264">
        <f>+'LBO Control'!D14</f>
        <v>14.793750000000001</v>
      </c>
      <c r="P32" s="282">
        <f>+O32/$O$34</f>
        <v>0.1221001221001221</v>
      </c>
      <c r="Q32" s="258" t="s">
        <v>0</v>
      </c>
      <c r="R32" s="263" t="str">
        <f>+'LBO Control'!J35</f>
        <v>Transaction Fees</v>
      </c>
      <c r="S32" s="264">
        <f>+'LBO Control'!K35</f>
        <v>1.1835000000000002</v>
      </c>
      <c r="T32" s="282">
        <f>+S32/$S$34</f>
        <v>0.00976800976800977</v>
      </c>
    </row>
    <row r="33" ht="20.25" customHeight="1" spans="1:20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s="258" t="s">
        <v>0</v>
      </c>
      <c r="O33" s="258" t="s">
        <v>0</v>
      </c>
      <c r="P33" s="258" t="s">
        <v>0</v>
      </c>
      <c r="Q33" s="258" t="s">
        <v>0</v>
      </c>
      <c r="R33" s="283" t="str">
        <f>+'LBO Control'!J38</f>
        <v>Financing Fees</v>
      </c>
      <c r="S33" s="284">
        <f>+'LBO Control'!D20-'LBO Control'!K35</f>
        <v>1.6273125000000006</v>
      </c>
      <c r="T33" s="285">
        <f>+S33/$S$34</f>
        <v>0.013431013431013435</v>
      </c>
    </row>
    <row r="34" ht="20.25" customHeight="1" spans="1:20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s="286" t="s">
        <v>155</v>
      </c>
      <c r="O34" s="287">
        <f>SUM(O30:O33)</f>
        <v>121.1608125</v>
      </c>
      <c r="P34" s="288" t="s">
        <v>0</v>
      </c>
      <c r="Q34" s="258" t="s">
        <v>0</v>
      </c>
      <c r="R34" s="286" t="s">
        <v>155</v>
      </c>
      <c r="S34" s="287">
        <f>SUM(S30:S33)</f>
        <v>121.1608125</v>
      </c>
      <c r="T34" s="288" t="s">
        <v>0</v>
      </c>
    </row>
    <row r="35" ht="14.25" customHeight="1" spans="1:20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s="258" t="s">
        <v>0</v>
      </c>
      <c r="O35" s="258" t="s">
        <v>0</v>
      </c>
      <c r="P35" s="258" t="s">
        <v>0</v>
      </c>
      <c r="Q35" s="258" t="s">
        <v>0</v>
      </c>
      <c r="R35" s="258" t="s">
        <v>0</v>
      </c>
      <c r="S35" s="258" t="s">
        <v>0</v>
      </c>
      <c r="T35" t="s">
        <v>0</v>
      </c>
    </row>
    <row r="36" ht="14.25" customHeight="1" spans="1:20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s="258" t="s">
        <v>0</v>
      </c>
      <c r="O36" s="258" t="s">
        <v>0</v>
      </c>
      <c r="P36" s="258" t="s">
        <v>0</v>
      </c>
      <c r="Q36" s="258" t="s">
        <v>0</v>
      </c>
      <c r="R36" s="258" t="s">
        <v>0</v>
      </c>
      <c r="S36" s="258" t="s">
        <v>0</v>
      </c>
      <c r="T36" t="s">
        <v>0</v>
      </c>
    </row>
    <row r="37" ht="14.25" customHeight="1" spans="1:20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s="258" t="s">
        <v>0</v>
      </c>
      <c r="O37" s="258" t="s">
        <v>0</v>
      </c>
      <c r="P37" s="258" t="s">
        <v>0</v>
      </c>
      <c r="Q37" s="258" t="s">
        <v>0</v>
      </c>
      <c r="R37" s="258" t="s">
        <v>0</v>
      </c>
      <c r="S37" s="258" t="s">
        <v>0</v>
      </c>
      <c r="T37" t="s">
        <v>0</v>
      </c>
    </row>
    <row r="38" ht="14.25" customHeight="1" spans="1:20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s="258" t="s">
        <v>0</v>
      </c>
      <c r="O38" s="258" t="s">
        <v>0</v>
      </c>
      <c r="P38" s="258" t="s">
        <v>0</v>
      </c>
      <c r="Q38" s="258" t="s">
        <v>0</v>
      </c>
      <c r="R38" s="258" t="s">
        <v>0</v>
      </c>
      <c r="S38" s="258" t="s">
        <v>0</v>
      </c>
      <c r="T38" t="s">
        <v>0</v>
      </c>
    </row>
    <row r="39" ht="14.25" customHeight="1" spans="1:20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s="258" t="s">
        <v>0</v>
      </c>
      <c r="O39" s="258" t="s">
        <v>0</v>
      </c>
      <c r="P39" s="258" t="s">
        <v>0</v>
      </c>
      <c r="Q39" s="258" t="s">
        <v>0</v>
      </c>
      <c r="R39" s="258" t="s">
        <v>0</v>
      </c>
      <c r="S39" s="258" t="s">
        <v>0</v>
      </c>
      <c r="T39" t="s">
        <v>0</v>
      </c>
    </row>
    <row r="40" ht="14.25" customHeight="1" spans="1:20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s="258" t="s">
        <v>0</v>
      </c>
      <c r="O40" s="258" t="s">
        <v>0</v>
      </c>
      <c r="P40" s="258" t="s">
        <v>0</v>
      </c>
      <c r="Q40" s="258" t="s">
        <v>0</v>
      </c>
      <c r="R40" s="258" t="s">
        <v>0</v>
      </c>
      <c r="S40" s="258" t="s">
        <v>0</v>
      </c>
      <c r="T40" t="s">
        <v>0</v>
      </c>
    </row>
    <row r="41" ht="14.25" customHeight="1" spans="1:20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s="258" t="s">
        <v>0</v>
      </c>
      <c r="O41" s="258" t="s">
        <v>0</v>
      </c>
      <c r="P41" s="258" t="s">
        <v>0</v>
      </c>
      <c r="Q41" s="258" t="s">
        <v>0</v>
      </c>
      <c r="R41" s="258" t="s">
        <v>0</v>
      </c>
      <c r="S41" s="258" t="s">
        <v>0</v>
      </c>
      <c r="T41" t="s">
        <v>0</v>
      </c>
    </row>
    <row r="42" ht="14.25" customHeight="1" spans="1:20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s="258" t="s">
        <v>0</v>
      </c>
      <c r="O42" s="258" t="s">
        <v>0</v>
      </c>
      <c r="P42" s="258" t="s">
        <v>0</v>
      </c>
      <c r="Q42" s="258" t="s">
        <v>0</v>
      </c>
      <c r="R42" s="258" t="s">
        <v>0</v>
      </c>
      <c r="S42" s="258" t="s">
        <v>0</v>
      </c>
      <c r="T42" t="s">
        <v>0</v>
      </c>
    </row>
    <row r="43" ht="14.25" customHeight="1" spans="1:20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s="258" t="s">
        <v>0</v>
      </c>
      <c r="O43" s="258" t="s">
        <v>0</v>
      </c>
      <c r="P43" s="258" t="s">
        <v>0</v>
      </c>
      <c r="Q43" s="258" t="s">
        <v>0</v>
      </c>
      <c r="R43" s="258" t="s">
        <v>0</v>
      </c>
      <c r="S43" s="258" t="s">
        <v>0</v>
      </c>
      <c r="T43" t="s">
        <v>0</v>
      </c>
    </row>
    <row r="44" ht="14.25" customHeight="1" spans="1:20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s="258" t="s">
        <v>0</v>
      </c>
      <c r="O44" s="258" t="s">
        <v>0</v>
      </c>
      <c r="P44" s="258" t="s">
        <v>0</v>
      </c>
      <c r="Q44" s="258" t="s">
        <v>0</v>
      </c>
      <c r="R44" s="258" t="s">
        <v>0</v>
      </c>
      <c r="S44" s="258" t="s">
        <v>0</v>
      </c>
      <c r="T44" t="s">
        <v>0</v>
      </c>
    </row>
    <row r="45" ht="14.25" customHeight="1" spans="1:20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s="258" t="s">
        <v>0</v>
      </c>
      <c r="O45" s="258" t="s">
        <v>0</v>
      </c>
      <c r="P45" s="258" t="s">
        <v>0</v>
      </c>
      <c r="Q45" s="258" t="s">
        <v>0</v>
      </c>
      <c r="R45" s="258" t="s">
        <v>0</v>
      </c>
      <c r="S45" s="258" t="s">
        <v>0</v>
      </c>
      <c r="T45" t="s">
        <v>0</v>
      </c>
    </row>
    <row r="46" ht="14.25" customHeight="1" spans="1:20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s="258" t="s">
        <v>0</v>
      </c>
      <c r="O46" s="258" t="s">
        <v>0</v>
      </c>
      <c r="P46" s="258" t="s">
        <v>0</v>
      </c>
      <c r="Q46" s="258" t="s">
        <v>0</v>
      </c>
      <c r="R46" s="258" t="s">
        <v>0</v>
      </c>
      <c r="S46" s="258" t="s">
        <v>0</v>
      </c>
      <c r="T46" t="s">
        <v>0</v>
      </c>
    </row>
    <row r="47" ht="14.25" customHeight="1" spans="1:20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s="258" t="s">
        <v>0</v>
      </c>
      <c r="O47" s="258" t="s">
        <v>0</v>
      </c>
      <c r="P47" s="258" t="s">
        <v>0</v>
      </c>
      <c r="Q47" s="258" t="s">
        <v>0</v>
      </c>
      <c r="R47" s="258" t="s">
        <v>0</v>
      </c>
      <c r="S47" s="258" t="s">
        <v>0</v>
      </c>
      <c r="T47" t="s">
        <v>0</v>
      </c>
    </row>
    <row r="48" ht="14.25" customHeight="1" spans="1:20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s="258" t="s">
        <v>0</v>
      </c>
      <c r="O48" s="258" t="s">
        <v>0</v>
      </c>
      <c r="P48" s="258" t="s">
        <v>0</v>
      </c>
      <c r="Q48" s="258" t="s">
        <v>0</v>
      </c>
      <c r="R48" s="258" t="s">
        <v>0</v>
      </c>
      <c r="S48" s="258" t="s">
        <v>0</v>
      </c>
      <c r="T48" t="s">
        <v>0</v>
      </c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1">
    <mergeCell ref="E21:E2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 showGridLines="0"/>
  </sheetViews>
  <sheetFormatPr defaultRowHeight="12.75" outlineLevelRow="0" outlineLevelCol="0" x14ac:dyDescent="55" defaultColWidth="9.333333333333334" customHeight="1"/>
  <cols>
    <col min="1" max="1" width="71.2" customWidth="1"/>
    <col min="2" max="2" width="8.266666666666667" customWidth="1"/>
    <col min="3" max="3" width="11.2" customWidth="1"/>
    <col min="4" max="4" width="8.266666666666667" customWidth="1"/>
    <col min="5" max="5" width="21.866666666666667" customWidth="1"/>
    <col min="6" max="6" width="9.333333333333334" customWidth="1"/>
    <col min="7" max="11" width="9.733333333333333" customWidth="1"/>
    <col min="12" max="12" width="13.866666666666667" customWidth="1"/>
    <col min="13" max="13" width="14.133333333333333" customWidth="1"/>
    <col min="14" max="20" width="9.333333333333334" customWidth="1"/>
  </cols>
  <sheetData>
    <row r="1" ht="12.75" customHeight="1" x14ac:dyDescent="0.25"/>
    <row r="2" ht="20.25" customHeight="1" spans="1:13" x14ac:dyDescent="0.25">
      <c r="A2" s="289" t="s">
        <v>251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</row>
    <row r="3" ht="12.75" customHeight="1" spans="1:13" x14ac:dyDescent="0.25">
      <c r="A3" t="s">
        <v>0</v>
      </c>
      <c r="B3" t="s">
        <v>0</v>
      </c>
      <c r="C3" s="290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</row>
    <row r="4" ht="12.75" customHeight="1" spans="1:13" x14ac:dyDescent="0.25">
      <c r="A4" s="291" t="s">
        <v>252</v>
      </c>
      <c r="B4" s="292" t="s">
        <v>0</v>
      </c>
      <c r="C4" s="292" t="s">
        <v>0</v>
      </c>
      <c r="D4" t="s">
        <v>0</v>
      </c>
      <c r="E4" s="291" t="s">
        <v>253</v>
      </c>
      <c r="F4" s="292" t="s">
        <v>0</v>
      </c>
      <c r="G4" s="292" t="s">
        <v>0</v>
      </c>
      <c r="H4" s="292" t="s">
        <v>0</v>
      </c>
      <c r="I4" s="292" t="s">
        <v>0</v>
      </c>
      <c r="J4" s="292" t="s">
        <v>0</v>
      </c>
      <c r="K4" s="292" t="s">
        <v>0</v>
      </c>
      <c r="L4" s="292" t="s">
        <v>0</v>
      </c>
      <c r="M4" s="292" t="s">
        <v>0</v>
      </c>
    </row>
    <row r="5" ht="12.75" customHeight="1" x14ac:dyDescent="0.25"/>
    <row r="6" ht="12.75" customHeight="1" spans="1:13" x14ac:dyDescent="0.25">
      <c r="A6" s="293" t="s">
        <v>254</v>
      </c>
      <c r="B6" s="294" t="s">
        <v>0</v>
      </c>
      <c r="C6" s="294" t="s">
        <v>0</v>
      </c>
      <c r="D6" t="s">
        <v>0</v>
      </c>
      <c r="E6" s="293" t="s">
        <v>255</v>
      </c>
      <c r="F6" s="294" t="s">
        <v>0</v>
      </c>
      <c r="G6" s="295" t="s">
        <v>256</v>
      </c>
      <c r="H6" s="295" t="s">
        <v>257</v>
      </c>
      <c r="I6" s="295" t="s">
        <v>258</v>
      </c>
      <c r="J6" s="295" t="s">
        <v>259</v>
      </c>
      <c r="K6" s="295" t="s">
        <v>35</v>
      </c>
      <c r="L6" s="296" t="s">
        <v>260</v>
      </c>
      <c r="M6" s="295" t="s">
        <v>261</v>
      </c>
    </row>
    <row r="7" ht="12.75" customHeight="1" x14ac:dyDescent="0.25"/>
    <row r="8" ht="14.25" customHeight="1" spans="1:13" x14ac:dyDescent="0.25">
      <c r="A8" s="297" t="s">
        <v>262</v>
      </c>
      <c r="B8" t="s">
        <v>0</v>
      </c>
      <c r="C8" s="298">
        <v>0.069424</v>
      </c>
      <c r="D8" t="s">
        <v>0</v>
      </c>
      <c r="E8" s="297" t="s">
        <v>263</v>
      </c>
      <c r="F8" t="s">
        <v>0</v>
      </c>
      <c r="G8" s="299">
        <v>0.74</v>
      </c>
      <c r="H8" s="300">
        <v>9623</v>
      </c>
      <c r="I8" s="300">
        <v>1564</v>
      </c>
      <c r="J8" s="301">
        <f>+I8/H8</f>
        <v>0.16252727839551076</v>
      </c>
      <c r="K8" s="302">
        <v>0.15</v>
      </c>
      <c r="L8" s="303">
        <f>+(G8/(1+(J8*(1-K8))))</f>
        <v>0.6501789562105109</v>
      </c>
      <c r="M8" s="304">
        <v>1</v>
      </c>
    </row>
    <row r="9" ht="14.25" customHeight="1" spans="1:13" x14ac:dyDescent="0.25">
      <c r="A9" t="s">
        <v>0</v>
      </c>
      <c r="B9" t="s">
        <v>0</v>
      </c>
      <c r="C9" t="s">
        <v>0</v>
      </c>
      <c r="D9" t="s">
        <v>0</v>
      </c>
      <c r="E9" s="297" t="s">
        <v>264</v>
      </c>
      <c r="F9" t="s">
        <v>0</v>
      </c>
      <c r="G9" s="299">
        <v>0.78</v>
      </c>
      <c r="H9" s="300">
        <v>9191</v>
      </c>
      <c r="I9" s="300">
        <v>719</v>
      </c>
      <c r="J9" s="301">
        <f>+I9/H9</f>
        <v>0.07822870199107823</v>
      </c>
      <c r="K9" s="302">
        <v>0.21</v>
      </c>
      <c r="L9" s="303">
        <f>+(G9/(1+(J9*(1-K9))))</f>
        <v>0.7346011531907438</v>
      </c>
      <c r="M9" s="304">
        <v>1</v>
      </c>
    </row>
    <row r="10" ht="14.25" customHeight="1" spans="1:13" x14ac:dyDescent="0.25">
      <c r="A10" s="297" t="s">
        <v>265</v>
      </c>
      <c r="B10" t="s">
        <v>0</v>
      </c>
      <c r="C10" s="298">
        <v>0.06</v>
      </c>
      <c r="D10" t="s">
        <v>0</v>
      </c>
      <c r="E10" s="297" t="s">
        <v>266</v>
      </c>
      <c r="F10" t="s">
        <v>0</v>
      </c>
      <c r="G10" s="299">
        <v>0.71</v>
      </c>
      <c r="H10" s="300">
        <v>58719</v>
      </c>
      <c r="I10" s="300">
        <v>2675</v>
      </c>
      <c r="J10" s="301">
        <f>+I10/H10</f>
        <v>0.04555595292835368</v>
      </c>
      <c r="K10" s="302">
        <v>0.21</v>
      </c>
      <c r="L10" s="303">
        <f>+(G10/(1+(J10*(1-K10))))</f>
        <v>0.6853353278894007</v>
      </c>
      <c r="M10" s="304">
        <v>1</v>
      </c>
    </row>
    <row r="11" ht="14.25" customHeight="1" spans="1:13" x14ac:dyDescent="0.25">
      <c r="A11" s="297" t="s">
        <v>267</v>
      </c>
      <c r="B11" t="s">
        <v>0</v>
      </c>
      <c r="C11" s="298">
        <v>0.0522</v>
      </c>
      <c r="D11" t="s">
        <v>0</v>
      </c>
      <c r="E11" s="297" t="s">
        <v>268</v>
      </c>
      <c r="F11" t="s">
        <v>0</v>
      </c>
      <c r="G11" s="299">
        <v>0.71</v>
      </c>
      <c r="H11" s="300">
        <v>15217</v>
      </c>
      <c r="I11" s="300">
        <v>177</v>
      </c>
      <c r="J11" s="301">
        <f>+I11/H11</f>
        <v>0.011631727672997305</v>
      </c>
      <c r="K11" s="302">
        <v>0.21</v>
      </c>
      <c r="L11" s="303">
        <f>+(G11/(1+(J11*(1-K11))))</f>
        <v>0.7035351696932244</v>
      </c>
      <c r="M11" s="304">
        <v>1</v>
      </c>
    </row>
    <row r="12" ht="14.25" customHeight="1" spans="1:13" x14ac:dyDescent="0.25">
      <c r="A12" t="s">
        <v>0</v>
      </c>
      <c r="B12" t="s">
        <v>0</v>
      </c>
      <c r="C12" t="s">
        <v>0</v>
      </c>
      <c r="D12" t="s">
        <v>0</v>
      </c>
      <c r="E12" s="297" t="s">
        <v>269</v>
      </c>
      <c r="F12" t="s">
        <v>0</v>
      </c>
      <c r="G12" s="299">
        <v>0.91</v>
      </c>
      <c r="H12" s="300">
        <v>1568</v>
      </c>
      <c r="I12" s="300">
        <v>40</v>
      </c>
      <c r="J12" s="301">
        <f>+I12/H12</f>
        <v>0.025510204081632654</v>
      </c>
      <c r="K12" s="302">
        <v>0.21</v>
      </c>
      <c r="L12" s="303">
        <f>+(G12/(1+(J12*(1-K12))))</f>
        <v>0.8920230057514379</v>
      </c>
      <c r="M12" s="304">
        <v>1</v>
      </c>
    </row>
    <row r="13" ht="14.25" customHeight="1" spans="1:13" x14ac:dyDescent="0.25">
      <c r="A13" s="297" t="s">
        <v>270</v>
      </c>
      <c r="B13" t="s">
        <v>0</v>
      </c>
      <c r="C13" s="305">
        <f>+F18</f>
        <v>0.7491452833931901</v>
      </c>
      <c r="D13" t="s">
        <v>0</v>
      </c>
      <c r="E13" s="297" t="s">
        <v>271</v>
      </c>
      <c r="F13" t="s">
        <v>0</v>
      </c>
      <c r="G13" s="299">
        <v>0.91</v>
      </c>
      <c r="H13" s="300">
        <v>9989</v>
      </c>
      <c r="I13" s="300">
        <v>5</v>
      </c>
      <c r="J13" s="301">
        <f>+I13/H13</f>
        <v>0.0005005506056662329</v>
      </c>
      <c r="K13" s="302">
        <v>0.19</v>
      </c>
      <c r="L13" s="303">
        <f>+(G13/(1+(J13*(1-K13))))</f>
        <v>0.9096311936796074</v>
      </c>
      <c r="M13" s="304">
        <v>1</v>
      </c>
    </row>
    <row r="14" ht="14.25" customHeight="1" spans="1:13" x14ac:dyDescent="0.25">
      <c r="A14" t="s">
        <v>0</v>
      </c>
      <c r="B14" t="s">
        <v>0</v>
      </c>
      <c r="C14" t="s">
        <v>0</v>
      </c>
      <c r="D14" t="s">
        <v>0</v>
      </c>
      <c r="E14" s="297" t="s">
        <v>272</v>
      </c>
      <c r="F14" t="s">
        <v>0</v>
      </c>
      <c r="G14" s="299">
        <v>0.89</v>
      </c>
      <c r="H14" s="300">
        <v>333</v>
      </c>
      <c r="I14" s="300">
        <v>7</v>
      </c>
      <c r="J14" s="301">
        <f>+I14/H14</f>
        <v>0.021021021021021023</v>
      </c>
      <c r="K14" s="302">
        <v>0.21</v>
      </c>
      <c r="L14" s="303">
        <f>+(G14/(1+(J14*(1-K14))))</f>
        <v>0.875461554367412</v>
      </c>
      <c r="M14" s="304">
        <v>1</v>
      </c>
    </row>
    <row r="15" ht="12.75" customHeight="1" spans="1:13" x14ac:dyDescent="0.25">
      <c r="A15" s="306" t="s">
        <v>273</v>
      </c>
      <c r="B15" t="s">
        <v>0</v>
      </c>
      <c r="C15" s="307">
        <f>+C8+C10*C13+C11</f>
        <v>0.16657271700359141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s="303" t="s">
        <v>0</v>
      </c>
      <c r="M15" t="s">
        <v>0</v>
      </c>
    </row>
    <row r="16" ht="14.25" customHeight="1" spans="1:13" x14ac:dyDescent="0.25">
      <c r="A16" t="s">
        <v>0</v>
      </c>
      <c r="B16" t="s">
        <v>0</v>
      </c>
      <c r="C16" t="s">
        <v>0</v>
      </c>
      <c r="D16" t="s">
        <v>0</v>
      </c>
      <c r="E16" s="308" t="s">
        <v>274</v>
      </c>
      <c r="F16" s="309" t="s">
        <v>0</v>
      </c>
      <c r="G16" s="309" t="s">
        <v>0</v>
      </c>
      <c r="H16" s="309" t="s">
        <v>0</v>
      </c>
      <c r="I16" s="309" t="s">
        <v>0</v>
      </c>
      <c r="J16" s="310">
        <f>+AVERAGE(J8:J14)</f>
        <v>0.049282205242322845</v>
      </c>
      <c r="K16" s="310">
        <f>+AVERAGE(K8:K14)</f>
        <v>0.19857142857142857</v>
      </c>
      <c r="L16" s="311">
        <f>+AVERAGEIFS(L8:L14,M8:M14,1)</f>
        <v>0.7786809086831911</v>
      </c>
      <c r="M16" s="309" t="s">
        <v>0</v>
      </c>
    </row>
    <row r="17" ht="14.25" customHeight="1" spans="1:13" x14ac:dyDescent="0.25">
      <c r="A17" s="293" t="s">
        <v>275</v>
      </c>
      <c r="B17" s="294" t="s">
        <v>0</v>
      </c>
      <c r="C17" s="294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</row>
    <row r="18" ht="14.25" customHeight="1" spans="1:13" x14ac:dyDescent="0.25">
      <c r="A18" t="s">
        <v>0</v>
      </c>
      <c r="B18" t="s">
        <v>0</v>
      </c>
      <c r="C18" t="s">
        <v>0</v>
      </c>
      <c r="D18" t="s">
        <v>0</v>
      </c>
      <c r="E18" s="312" t="s">
        <v>256</v>
      </c>
      <c r="F18" s="313">
        <f>+L16/(1+(J16*(1-C25)))</f>
        <v>0.7491452833931901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</row>
    <row r="19" ht="12.75" customHeight="1" spans="1:13" x14ac:dyDescent="0.25">
      <c r="A19" s="297" t="s">
        <v>276</v>
      </c>
      <c r="B19" t="s">
        <v>0</v>
      </c>
      <c r="C19" s="314">
        <f>+C8</f>
        <v>0.069424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</row>
    <row r="20" ht="12.75" customHeight="1" x14ac:dyDescent="0.25"/>
    <row r="21" ht="12.75" customHeight="1" spans="1:13" x14ac:dyDescent="0.25">
      <c r="A21" s="297" t="s">
        <v>277</v>
      </c>
      <c r="B21" t="s">
        <v>0</v>
      </c>
      <c r="C21" s="298">
        <v>0.05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</row>
    <row r="22" ht="12.75" customHeight="1" x14ac:dyDescent="0.25"/>
    <row r="23" ht="12.75" customHeight="1" spans="1:13" x14ac:dyDescent="0.25">
      <c r="A23" s="297" t="s">
        <v>278</v>
      </c>
      <c r="B23" t="s">
        <v>0</v>
      </c>
      <c r="C23" s="315">
        <f>+C21+C19</f>
        <v>0.119424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</row>
    <row r="24" ht="12.75" customHeight="1" x14ac:dyDescent="0.25"/>
    <row r="25" ht="12.75" customHeight="1" spans="1:13" x14ac:dyDescent="0.25">
      <c r="A25" s="297" t="s">
        <v>279</v>
      </c>
      <c r="B25" t="s">
        <v>0</v>
      </c>
      <c r="C25" s="298">
        <v>0.2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</row>
    <row r="26" ht="12.75" customHeight="1" x14ac:dyDescent="0.25"/>
    <row r="27" ht="12.75" customHeight="1" spans="1:13" x14ac:dyDescent="0.25">
      <c r="A27" s="306" t="s">
        <v>280</v>
      </c>
      <c r="B27" s="306" t="s">
        <v>0</v>
      </c>
      <c r="C27" s="316">
        <f>+(1-C25)*C23</f>
        <v>0.0955392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</row>
    <row r="28" ht="12.75" customHeight="1" x14ac:dyDescent="0.25"/>
    <row r="29" ht="12.75" customHeight="1" spans="1:13" x14ac:dyDescent="0.25">
      <c r="A29" s="293" t="s">
        <v>281</v>
      </c>
      <c r="B29" s="294" t="s">
        <v>0</v>
      </c>
      <c r="C29" s="294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</row>
    <row r="30" ht="12.75" customHeight="1" x14ac:dyDescent="0.25"/>
    <row r="31" ht="12.75" customHeight="1" spans="1:13" x14ac:dyDescent="0.25">
      <c r="A31" s="297" t="s">
        <v>282</v>
      </c>
      <c r="B31" t="s">
        <v>0</v>
      </c>
      <c r="C31" s="317">
        <v>0.04928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</row>
    <row r="32" ht="12.75" customHeight="1" spans="1:13" x14ac:dyDescent="0.25">
      <c r="A32" s="297" t="s">
        <v>283</v>
      </c>
      <c r="B32" t="s">
        <v>0</v>
      </c>
      <c r="C32" s="307">
        <f>1/(1+(1/C31))</f>
        <v>0.04696553827386398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</row>
    <row r="33" ht="12.75" customHeight="1" spans="1:13" x14ac:dyDescent="0.25">
      <c r="A33" s="297" t="s">
        <v>284</v>
      </c>
      <c r="B33" t="s">
        <v>0</v>
      </c>
      <c r="C33" s="307">
        <f>100%-C32</f>
        <v>0.953034461726136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</row>
    <row r="34" ht="12.75" customHeight="1" x14ac:dyDescent="0.25"/>
    <row r="35" ht="12.75" customHeight="1" spans="1:13" x14ac:dyDescent="0.25">
      <c r="A35" s="318" t="s">
        <v>73</v>
      </c>
      <c r="B35" s="319" t="s">
        <v>0</v>
      </c>
      <c r="C35" s="320">
        <f>+C15*C33+C27*C32</f>
        <v>0.16323658964203205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</row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 showGridLines="0"/>
  </sheetViews>
  <sheetFormatPr defaultRowHeight="14.25" outlineLevelRow="0" outlineLevelCol="0" x14ac:dyDescent="55" defaultColWidth="9.2" customHeight="1"/>
  <cols>
    <col min="1" max="20" width="9.2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 showGridLines="0">
      <pane xSplit="5" ySplit="9" topLeftCell="F10" activePane="bottomRight" state="frozen"/>
      <selection pane="bottomRight"/>
    </sheetView>
  </sheetViews>
  <sheetFormatPr defaultRowHeight="14.25" outlineLevelRow="0" outlineLevelCol="0" x14ac:dyDescent="55" defaultColWidth="9.2" customHeight="1"/>
  <cols>
    <col min="1" max="2" width="1.0666666666666667" customWidth="1"/>
    <col min="3" max="3" width="36.53333333333333" customWidth="1"/>
    <col min="4" max="4" width="1.2" customWidth="1"/>
    <col min="5" max="5" width="9.333333333333334" customWidth="1"/>
    <col min="6" max="22" width="9.2" customWidth="1"/>
  </cols>
  <sheetData>
    <row r="1" ht="14.25" customHeight="1" spans="1:22" x14ac:dyDescent="0.25">
      <c r="A1" s="3" t="s">
        <v>0</v>
      </c>
      <c r="B1" s="3" t="s">
        <v>0</v>
      </c>
      <c r="C1" s="3" t="s">
        <v>0</v>
      </c>
      <c r="D1" s="4" t="s">
        <v>0</v>
      </c>
      <c r="E1" s="4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</row>
    <row r="2" ht="14.25" customHeight="1" spans="1:22" x14ac:dyDescent="0.25">
      <c r="A2" s="3" t="s">
        <v>0</v>
      </c>
      <c r="B2" s="3" t="s">
        <v>0</v>
      </c>
      <c r="C2" s="3" t="s">
        <v>0</v>
      </c>
      <c r="D2" s="4" t="s">
        <v>0</v>
      </c>
      <c r="E2" s="4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</row>
    <row r="3" ht="14.25" customHeight="1" spans="1:22" x14ac:dyDescent="0.25">
      <c r="A3" s="3" t="s">
        <v>0</v>
      </c>
      <c r="B3" s="3" t="s">
        <v>0</v>
      </c>
      <c r="C3" s="3" t="s">
        <v>9</v>
      </c>
      <c r="D3" s="4" t="s">
        <v>0</v>
      </c>
      <c r="E3" s="4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</row>
    <row r="4" ht="14.25" customHeight="1" spans="1:22" x14ac:dyDescent="0.25">
      <c r="A4" s="3" t="s">
        <v>0</v>
      </c>
      <c r="B4" s="3" t="s">
        <v>0</v>
      </c>
      <c r="C4" s="5">
        <f>'+Model'!C4</f>
        <v>44256</v>
      </c>
      <c r="D4" s="4" t="s">
        <v>0</v>
      </c>
      <c r="E4" s="4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</row>
    <row r="5" ht="14.25" customHeight="1" spans="1:22" x14ac:dyDescent="0.25">
      <c r="A5" s="3" t="s">
        <v>0</v>
      </c>
      <c r="B5" s="3" t="s">
        <v>0</v>
      </c>
      <c r="C5" s="3" t="str">
        <f>'+Model'!C5</f>
        <v>$ MM, unless otherwise stated</v>
      </c>
      <c r="D5" s="4" t="s">
        <v>0</v>
      </c>
      <c r="E5" s="4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</row>
    <row r="6" ht="14.25" customHeight="1" spans="1:22" x14ac:dyDescent="0.25">
      <c r="A6" s="3" t="s">
        <v>0</v>
      </c>
      <c r="B6" s="3" t="s">
        <v>0</v>
      </c>
      <c r="C6" s="3" t="s">
        <v>0</v>
      </c>
      <c r="D6" s="4" t="s">
        <v>0</v>
      </c>
      <c r="E6" s="4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</row>
    <row r="7" ht="14.25" customHeight="1" spans="1:22" x14ac:dyDescent="0.25">
      <c r="A7" t="s">
        <v>0</v>
      </c>
      <c r="B7" t="s">
        <v>0</v>
      </c>
      <c r="C7" s="6" t="s">
        <v>10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s="7">
        <v>0</v>
      </c>
      <c r="L7" t="s">
        <v>0</v>
      </c>
      <c r="M7" s="8">
        <f>+K7+1</f>
        <v>1</v>
      </c>
      <c r="N7" s="8">
        <f>+M7+1</f>
        <v>2</v>
      </c>
      <c r="O7" s="8">
        <f>+N7+1</f>
        <v>3</v>
      </c>
      <c r="P7" s="8">
        <f>+O7+1</f>
        <v>4</v>
      </c>
      <c r="Q7" s="8">
        <f>+P7+1</f>
        <v>5</v>
      </c>
      <c r="R7" s="8">
        <f>+Q7+1</f>
        <v>6</v>
      </c>
      <c r="S7" s="8">
        <f>+R7+1</f>
        <v>7</v>
      </c>
      <c r="T7" s="8">
        <f>+S7+1</f>
        <v>8</v>
      </c>
      <c r="U7" s="8">
        <f>+T7+1</f>
        <v>9</v>
      </c>
      <c r="V7" s="8">
        <f>+U7+1</f>
        <v>10</v>
      </c>
    </row>
    <row r="8" ht="14.25" customHeight="1" spans="1:22" x14ac:dyDescent="0.25">
      <c r="A8" t="s">
        <v>0</v>
      </c>
      <c r="B8" t="s">
        <v>0</v>
      </c>
      <c r="C8" s="6" t="s">
        <v>11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s="7">
        <v>0</v>
      </c>
      <c r="L8" t="s">
        <v>0</v>
      </c>
      <c r="M8" s="8">
        <f>+K8+0.5</f>
        <v>0.5</v>
      </c>
      <c r="N8" s="8">
        <f>+M8+1</f>
        <v>1.5</v>
      </c>
      <c r="O8" s="8">
        <f>+N8+1</f>
        <v>2.5</v>
      </c>
      <c r="P8" s="8">
        <f>+O8+1</f>
        <v>3.5</v>
      </c>
      <c r="Q8" s="8">
        <f>+P8+1</f>
        <v>4.5</v>
      </c>
      <c r="R8" s="8">
        <f>+Q8+1</f>
        <v>5.5</v>
      </c>
      <c r="S8" s="8">
        <f>+R8+1</f>
        <v>6.5</v>
      </c>
      <c r="T8" s="8">
        <f>+S8+1</f>
        <v>7.5</v>
      </c>
      <c r="U8" s="8">
        <f>+T8+1</f>
        <v>8.5</v>
      </c>
      <c r="V8" s="8">
        <f>+U8+1</f>
        <v>9.5</v>
      </c>
    </row>
    <row r="9" ht="14.25" customHeight="1" spans="1:22" x14ac:dyDescent="0.25">
      <c r="A9" t="s">
        <v>0</v>
      </c>
      <c r="B9" t="s">
        <v>0</v>
      </c>
      <c r="C9" s="6" t="s">
        <v>12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s="9">
        <f>'+Cover'!D14</f>
        <v>2024</v>
      </c>
      <c r="L9" t="s">
        <v>0</v>
      </c>
      <c r="M9" s="10">
        <f>+K9+1</f>
        <v>2025</v>
      </c>
      <c r="N9" s="10">
        <f>+M9+1</f>
        <v>2026</v>
      </c>
      <c r="O9" s="10">
        <f>+N9+1</f>
        <v>2027</v>
      </c>
      <c r="P9" s="10">
        <f>+O9+1</f>
        <v>2028</v>
      </c>
      <c r="Q9" s="10">
        <f>+P9+1</f>
        <v>2029</v>
      </c>
      <c r="R9" s="10">
        <f>+Q9+1</f>
        <v>2030</v>
      </c>
      <c r="S9" s="10">
        <f>+R9+1</f>
        <v>2031</v>
      </c>
      <c r="T9" s="10">
        <f>+S9+1</f>
        <v>2032</v>
      </c>
      <c r="U9" s="10">
        <f>+T9+1</f>
        <v>2033</v>
      </c>
      <c r="V9" s="10">
        <f>+U9+1</f>
        <v>2034</v>
      </c>
    </row>
    <row r="10" ht="14.25" customHeight="1" x14ac:dyDescent="0.25"/>
    <row r="11" ht="14.25" customHeight="1" spans="1:22" x14ac:dyDescent="0.25">
      <c r="A11" t="s">
        <v>0</v>
      </c>
      <c r="B11" t="s">
        <v>0</v>
      </c>
      <c r="C11" s="6" t="s">
        <v>13</v>
      </c>
      <c r="D11" t="s">
        <v>0</v>
      </c>
      <c r="E11" s="11">
        <v>1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</row>
    <row r="12" ht="14.25" customHeight="1" x14ac:dyDescent="0.25"/>
    <row r="13" ht="14.25" customHeight="1" spans="1:22" x14ac:dyDescent="0.25">
      <c r="A13" t="s">
        <v>0</v>
      </c>
      <c r="B13" t="s">
        <v>0</v>
      </c>
      <c r="C13" s="12" t="s">
        <v>4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</row>
    <row r="14" ht="14.25" customHeight="1" x14ac:dyDescent="0.25"/>
    <row r="15" ht="14.25" customHeight="1" spans="1:22" x14ac:dyDescent="0.25">
      <c r="A15" t="s">
        <v>0</v>
      </c>
      <c r="B15" t="s">
        <v>0</v>
      </c>
      <c r="C15" s="13" t="s">
        <v>14</v>
      </c>
      <c r="D15" s="14" t="s">
        <v>0</v>
      </c>
      <c r="E15" s="14" t="s">
        <v>0</v>
      </c>
      <c r="F15" s="15" t="s">
        <v>0</v>
      </c>
      <c r="G15" s="15" t="s">
        <v>0</v>
      </c>
      <c r="H15" s="15" t="s">
        <v>0</v>
      </c>
      <c r="I15" s="15" t="s">
        <v>0</v>
      </c>
      <c r="J15" s="15" t="s">
        <v>0</v>
      </c>
      <c r="K15" s="16">
        <v>58</v>
      </c>
      <c r="L15" s="15" t="s">
        <v>0</v>
      </c>
      <c r="M15" s="17">
        <f>+K15*(1+M160)</f>
        <v>58</v>
      </c>
      <c r="N15" s="17">
        <f>+M15*(1+N16)</f>
        <v>63.800000000000004</v>
      </c>
      <c r="O15" s="17">
        <f>+N15*(1+O16)</f>
        <v>70.18</v>
      </c>
      <c r="P15" s="17">
        <f>+O15*(1+P16)</f>
        <v>77.19800000000001</v>
      </c>
      <c r="Q15" s="17">
        <f>+P15*(1+Q16)</f>
        <v>84.91780000000001</v>
      </c>
      <c r="R15" s="17">
        <f>+Q15*(1+R16)</f>
        <v>93.40958000000002</v>
      </c>
      <c r="S15" s="17">
        <f>+R15*(1+S16)</f>
        <v>102.75053800000003</v>
      </c>
      <c r="T15" s="17">
        <f>+S15*(1+T16)</f>
        <v>113.02559180000004</v>
      </c>
      <c r="U15" s="17">
        <f>+T15*(1+U16)</f>
        <v>124.32815098000006</v>
      </c>
      <c r="V15" s="17">
        <f>+U15*(1+V16)</f>
        <v>136.76096607800008</v>
      </c>
    </row>
    <row r="16" ht="14.25" customHeight="1" spans="1:22" x14ac:dyDescent="0.25">
      <c r="A16" t="s">
        <v>0</v>
      </c>
      <c r="B16" t="s">
        <v>0</v>
      </c>
      <c r="C16" s="18" t="s">
        <v>15</v>
      </c>
      <c r="D16" s="14" t="s">
        <v>0</v>
      </c>
      <c r="E16" s="19">
        <f>+$E$11</f>
        <v>1</v>
      </c>
      <c r="F16" s="15" t="s">
        <v>0</v>
      </c>
      <c r="G16" s="15" t="s">
        <v>0</v>
      </c>
      <c r="H16" s="15" t="s">
        <v>0</v>
      </c>
      <c r="I16" s="15" t="s">
        <v>0</v>
      </c>
      <c r="J16" s="15" t="s">
        <v>0</v>
      </c>
      <c r="K16" s="15" t="s">
        <v>0</v>
      </c>
      <c r="L16" s="15" t="s">
        <v>0</v>
      </c>
      <c r="M16" s="20">
        <f>+CHOOSE($E16,M17,M18,M19)</f>
        <v>0.1</v>
      </c>
      <c r="N16" s="20">
        <f>+CHOOSE($E16,N17,N18,N19)</f>
        <v>0.1</v>
      </c>
      <c r="O16" s="20">
        <f>+CHOOSE($E17,O17,O18,O19)</f>
        <v>0.1</v>
      </c>
      <c r="P16" s="20">
        <f>+CHOOSE($E18,P17,P18,P19)</f>
        <v>0.1</v>
      </c>
      <c r="Q16" s="20">
        <f>+CHOOSE($E19,Q17,Q18,Q19)</f>
        <v>0.1</v>
      </c>
      <c r="R16" s="20">
        <f>+CHOOSE($E20,R17,R18,R19)</f>
        <v>0.1</v>
      </c>
      <c r="S16" s="20">
        <f>+CHOOSE($E21,S17,S18,S19)</f>
        <v>0.1</v>
      </c>
      <c r="T16" s="20">
        <f>+CHOOSE($E22,T17,T18,T19)</f>
        <v>0.1</v>
      </c>
      <c r="U16" s="20">
        <f>+CHOOSE($E23,U17,U18,U19)</f>
        <v>0.1</v>
      </c>
      <c r="V16" s="20">
        <f>+CHOOSE($E24,V17,V18,V19)</f>
        <v>0.1</v>
      </c>
    </row>
    <row r="17" ht="14.25" customHeight="1" spans="1:22" x14ac:dyDescent="0.25">
      <c r="A17" t="s">
        <v>0</v>
      </c>
      <c r="B17" t="s">
        <v>0</v>
      </c>
      <c r="C17" s="18" t="s">
        <v>16</v>
      </c>
      <c r="D17" s="14" t="s">
        <v>0</v>
      </c>
      <c r="E17" s="14" t="s">
        <v>0</v>
      </c>
      <c r="F17" s="15" t="s">
        <v>0</v>
      </c>
      <c r="G17" s="15" t="s">
        <v>0</v>
      </c>
      <c r="H17" s="15" t="s">
        <v>0</v>
      </c>
      <c r="I17" s="15" t="s">
        <v>0</v>
      </c>
      <c r="J17" s="15" t="s">
        <v>0</v>
      </c>
      <c r="K17" s="15" t="s">
        <v>0</v>
      </c>
      <c r="L17" s="15" t="s">
        <v>0</v>
      </c>
      <c r="M17" s="21">
        <v>0.1</v>
      </c>
      <c r="N17" s="21">
        <v>0.1</v>
      </c>
      <c r="O17" s="21">
        <v>0.1</v>
      </c>
      <c r="P17" s="21">
        <v>0.1</v>
      </c>
      <c r="Q17" s="21">
        <v>0.1</v>
      </c>
      <c r="R17" s="21">
        <v>0.1</v>
      </c>
      <c r="S17" s="21">
        <v>0.1</v>
      </c>
      <c r="T17" s="21">
        <v>0.1</v>
      </c>
      <c r="U17" s="21">
        <v>0.1</v>
      </c>
      <c r="V17" s="21">
        <v>0.1</v>
      </c>
    </row>
    <row r="18" ht="14.25" customHeight="1" spans="1:22" x14ac:dyDescent="0.25">
      <c r="A18" t="s">
        <v>0</v>
      </c>
      <c r="B18" t="s">
        <v>0</v>
      </c>
      <c r="C18" s="18" t="s">
        <v>17</v>
      </c>
      <c r="D18" s="14" t="s">
        <v>0</v>
      </c>
      <c r="E18" s="14" t="s">
        <v>0</v>
      </c>
      <c r="F18" s="15" t="s">
        <v>0</v>
      </c>
      <c r="G18" s="15" t="s">
        <v>0</v>
      </c>
      <c r="H18" s="15" t="s">
        <v>0</v>
      </c>
      <c r="I18" s="15" t="s">
        <v>0</v>
      </c>
      <c r="J18" s="15" t="s">
        <v>0</v>
      </c>
      <c r="K18" s="15" t="s">
        <v>0</v>
      </c>
      <c r="L18" s="15" t="s">
        <v>0</v>
      </c>
      <c r="M18" s="21">
        <v>0.15</v>
      </c>
      <c r="N18" s="21">
        <v>0.15</v>
      </c>
      <c r="O18" s="21">
        <v>0.15</v>
      </c>
      <c r="P18" s="21">
        <v>0.15</v>
      </c>
      <c r="Q18" s="21">
        <v>0.15</v>
      </c>
      <c r="R18" s="21">
        <v>0.15</v>
      </c>
      <c r="S18" s="21">
        <v>0.15</v>
      </c>
      <c r="T18" s="21">
        <v>0.15</v>
      </c>
      <c r="U18" s="21">
        <v>0.15</v>
      </c>
      <c r="V18" s="21">
        <v>0.15</v>
      </c>
    </row>
    <row r="19" ht="14.25" customHeight="1" spans="1:22" x14ac:dyDescent="0.25">
      <c r="A19" t="s">
        <v>0</v>
      </c>
      <c r="B19" t="s">
        <v>0</v>
      </c>
      <c r="C19" s="18" t="s">
        <v>18</v>
      </c>
      <c r="D19" s="14" t="s">
        <v>0</v>
      </c>
      <c r="E19" s="14" t="s">
        <v>0</v>
      </c>
      <c r="F19" s="15" t="s">
        <v>0</v>
      </c>
      <c r="G19" s="15" t="s">
        <v>0</v>
      </c>
      <c r="H19" s="15" t="s">
        <v>0</v>
      </c>
      <c r="I19" s="15" t="s">
        <v>0</v>
      </c>
      <c r="J19" s="15" t="s">
        <v>0</v>
      </c>
      <c r="K19" s="15" t="s">
        <v>0</v>
      </c>
      <c r="L19" s="15" t="s">
        <v>0</v>
      </c>
      <c r="M19" s="21">
        <v>0.05</v>
      </c>
      <c r="N19" s="21">
        <v>0.05</v>
      </c>
      <c r="O19" s="21">
        <v>0.05</v>
      </c>
      <c r="P19" s="21">
        <v>0.05</v>
      </c>
      <c r="Q19" s="21">
        <v>0.05</v>
      </c>
      <c r="R19" s="21">
        <v>0.05</v>
      </c>
      <c r="S19" s="21">
        <v>0.05</v>
      </c>
      <c r="T19" s="21">
        <v>0.05</v>
      </c>
      <c r="U19" s="21">
        <v>0.05</v>
      </c>
      <c r="V19" s="21">
        <v>0.05</v>
      </c>
    </row>
    <row r="20" ht="14.25" customHeight="1" spans="1:22" x14ac:dyDescent="0.25">
      <c r="A20" t="s">
        <v>0</v>
      </c>
      <c r="B20" t="s">
        <v>0</v>
      </c>
      <c r="C20" s="15" t="s">
        <v>0</v>
      </c>
      <c r="D20" s="14" t="s">
        <v>0</v>
      </c>
      <c r="E20" s="14" t="s">
        <v>0</v>
      </c>
      <c r="F20" s="15" t="s">
        <v>0</v>
      </c>
      <c r="G20" s="15" t="s">
        <v>0</v>
      </c>
      <c r="H20" s="15" t="s">
        <v>0</v>
      </c>
      <c r="I20" s="15" t="s">
        <v>0</v>
      </c>
      <c r="J20" s="15" t="s">
        <v>0</v>
      </c>
      <c r="K20" s="15" t="s">
        <v>0</v>
      </c>
      <c r="L20" s="15" t="s">
        <v>0</v>
      </c>
      <c r="M20" s="15" t="s">
        <v>0</v>
      </c>
      <c r="N20" s="15" t="s">
        <v>0</v>
      </c>
      <c r="O20" s="15" t="s">
        <v>0</v>
      </c>
      <c r="P20" s="15" t="s">
        <v>0</v>
      </c>
      <c r="Q20" s="15" t="s">
        <v>0</v>
      </c>
      <c r="R20" s="15" t="s">
        <v>0</v>
      </c>
      <c r="S20" s="15" t="s">
        <v>0</v>
      </c>
      <c r="T20" s="15" t="s">
        <v>0</v>
      </c>
      <c r="U20" s="15" t="s">
        <v>0</v>
      </c>
      <c r="V20" s="15" t="s">
        <v>0</v>
      </c>
    </row>
    <row r="21" ht="14.25" customHeight="1" spans="1:22" x14ac:dyDescent="0.25">
      <c r="A21" t="s">
        <v>0</v>
      </c>
      <c r="B21" t="s">
        <v>0</v>
      </c>
      <c r="C21" s="13" t="s">
        <v>19</v>
      </c>
      <c r="D21" s="14" t="s">
        <v>0</v>
      </c>
      <c r="E21" s="14" t="s">
        <v>0</v>
      </c>
      <c r="F21" s="15" t="s">
        <v>0</v>
      </c>
      <c r="G21" s="15" t="s">
        <v>0</v>
      </c>
      <c r="H21" s="15" t="s">
        <v>0</v>
      </c>
      <c r="I21" s="15" t="s">
        <v>0</v>
      </c>
      <c r="J21" s="15" t="s">
        <v>0</v>
      </c>
      <c r="K21" s="15" t="s">
        <v>0</v>
      </c>
      <c r="L21" s="15" t="s">
        <v>0</v>
      </c>
      <c r="M21" s="15" t="s">
        <v>0</v>
      </c>
      <c r="N21" s="15" t="s">
        <v>0</v>
      </c>
      <c r="O21" s="15" t="s">
        <v>0</v>
      </c>
      <c r="P21" s="15" t="s">
        <v>0</v>
      </c>
      <c r="Q21" s="15" t="s">
        <v>0</v>
      </c>
      <c r="R21" s="15" t="s">
        <v>0</v>
      </c>
      <c r="S21" s="15" t="s">
        <v>0</v>
      </c>
      <c r="T21" s="15" t="s">
        <v>0</v>
      </c>
      <c r="U21" s="15" t="s">
        <v>0</v>
      </c>
      <c r="V21" s="15" t="s">
        <v>0</v>
      </c>
    </row>
    <row r="22" ht="14.25" customHeight="1" spans="1:22" x14ac:dyDescent="0.25">
      <c r="A22" t="s">
        <v>0</v>
      </c>
      <c r="B22" t="s">
        <v>0</v>
      </c>
      <c r="C22" s="18" t="s">
        <v>20</v>
      </c>
      <c r="D22" s="14" t="s">
        <v>0</v>
      </c>
      <c r="E22" s="19">
        <f>+$E$11</f>
        <v>1</v>
      </c>
      <c r="F22" s="15" t="s">
        <v>0</v>
      </c>
      <c r="G22" s="15" t="s">
        <v>0</v>
      </c>
      <c r="H22" s="15" t="s">
        <v>0</v>
      </c>
      <c r="I22" s="15" t="s">
        <v>0</v>
      </c>
      <c r="J22" s="15" t="s">
        <v>0</v>
      </c>
      <c r="K22" s="15" t="s">
        <v>0</v>
      </c>
      <c r="L22" s="15" t="s">
        <v>0</v>
      </c>
      <c r="M22" s="20">
        <f>+CHOOSE($E22,M23,M24,M25)</f>
        <v>0.1</v>
      </c>
      <c r="N22" s="20">
        <f>+CHOOSE($E22,N23,N24,N25)</f>
        <v>0.1</v>
      </c>
      <c r="O22" s="20">
        <f>+CHOOSE($E22,O23,O24,O25)</f>
        <v>0.1</v>
      </c>
      <c r="P22" s="20">
        <f>+CHOOSE($E22,P23,P24,P25)</f>
        <v>0.1</v>
      </c>
      <c r="Q22" s="20">
        <f>+CHOOSE($E22,Q23,Q24,Q25)</f>
        <v>0.1</v>
      </c>
      <c r="R22" s="20">
        <f>+CHOOSE($E22,R23,R24,R25)</f>
        <v>0.1</v>
      </c>
      <c r="S22" s="20">
        <f>+CHOOSE($E22,S23,S24,S25)</f>
        <v>0.1</v>
      </c>
      <c r="T22" s="20">
        <f>+CHOOSE($E22,T23,T24,T25)</f>
        <v>0.1</v>
      </c>
      <c r="U22" s="20">
        <f>+CHOOSE($E22,U23,U24,U25)</f>
        <v>0.1</v>
      </c>
      <c r="V22" s="20">
        <f>+CHOOSE($E22,V23,V24,V25)</f>
        <v>0.1</v>
      </c>
    </row>
    <row r="23" ht="14.25" customHeight="1" spans="1:22" x14ac:dyDescent="0.25">
      <c r="A23" t="s">
        <v>0</v>
      </c>
      <c r="B23" t="s">
        <v>0</v>
      </c>
      <c r="C23" s="18" t="s">
        <v>16</v>
      </c>
      <c r="D23" s="14" t="s">
        <v>0</v>
      </c>
      <c r="E23" s="14" t="s">
        <v>0</v>
      </c>
      <c r="F23" s="15" t="s">
        <v>0</v>
      </c>
      <c r="G23" s="15" t="s">
        <v>0</v>
      </c>
      <c r="H23" s="15" t="s">
        <v>0</v>
      </c>
      <c r="I23" s="15" t="s">
        <v>0</v>
      </c>
      <c r="J23" s="15" t="s">
        <v>0</v>
      </c>
      <c r="K23" s="15" t="s">
        <v>0</v>
      </c>
      <c r="L23" s="15" t="s">
        <v>0</v>
      </c>
      <c r="M23" s="21">
        <v>0.1</v>
      </c>
      <c r="N23" s="21">
        <v>0.1</v>
      </c>
      <c r="O23" s="21">
        <v>0.1</v>
      </c>
      <c r="P23" s="21">
        <v>0.1</v>
      </c>
      <c r="Q23" s="21">
        <v>0.1</v>
      </c>
      <c r="R23" s="21">
        <v>0.1</v>
      </c>
      <c r="S23" s="21">
        <v>0.1</v>
      </c>
      <c r="T23" s="21">
        <v>0.1</v>
      </c>
      <c r="U23" s="21">
        <v>0.1</v>
      </c>
      <c r="V23" s="21">
        <v>0.1</v>
      </c>
    </row>
    <row r="24" ht="14.25" customHeight="1" spans="1:22" x14ac:dyDescent="0.25">
      <c r="A24" t="s">
        <v>0</v>
      </c>
      <c r="B24" t="s">
        <v>0</v>
      </c>
      <c r="C24" s="18" t="s">
        <v>21</v>
      </c>
      <c r="D24" s="14" t="s">
        <v>0</v>
      </c>
      <c r="E24" s="14" t="s">
        <v>0</v>
      </c>
      <c r="F24" s="15" t="s">
        <v>0</v>
      </c>
      <c r="G24" s="15" t="s">
        <v>0</v>
      </c>
      <c r="H24" s="15" t="s">
        <v>0</v>
      </c>
      <c r="I24" s="15" t="s">
        <v>0</v>
      </c>
      <c r="J24" s="15" t="s">
        <v>0</v>
      </c>
      <c r="K24" s="15" t="s">
        <v>0</v>
      </c>
      <c r="L24" s="15" t="s">
        <v>0</v>
      </c>
      <c r="M24" s="21">
        <v>0.15</v>
      </c>
      <c r="N24" s="21">
        <v>0.15</v>
      </c>
      <c r="O24" s="21">
        <v>0.15</v>
      </c>
      <c r="P24" s="21">
        <v>0.15</v>
      </c>
      <c r="Q24" s="21">
        <v>0.15</v>
      </c>
      <c r="R24" s="21">
        <v>0.15</v>
      </c>
      <c r="S24" s="21">
        <v>0.15</v>
      </c>
      <c r="T24" s="21">
        <v>0.15</v>
      </c>
      <c r="U24" s="21">
        <v>0.15</v>
      </c>
      <c r="V24" s="21">
        <v>0.15</v>
      </c>
    </row>
    <row r="25" ht="14.25" customHeight="1" spans="1:22" x14ac:dyDescent="0.25">
      <c r="A25" t="s">
        <v>0</v>
      </c>
      <c r="B25" t="s">
        <v>0</v>
      </c>
      <c r="C25" s="18" t="s">
        <v>22</v>
      </c>
      <c r="D25" s="14" t="s">
        <v>0</v>
      </c>
      <c r="E25" s="14" t="s">
        <v>0</v>
      </c>
      <c r="F25" s="15" t="s">
        <v>0</v>
      </c>
      <c r="G25" s="15" t="s">
        <v>0</v>
      </c>
      <c r="H25" s="15" t="s">
        <v>0</v>
      </c>
      <c r="I25" s="15" t="s">
        <v>0</v>
      </c>
      <c r="J25" s="15" t="s">
        <v>0</v>
      </c>
      <c r="K25" s="15" t="s">
        <v>0</v>
      </c>
      <c r="L25" s="15" t="s">
        <v>0</v>
      </c>
      <c r="M25" s="21">
        <v>0.05</v>
      </c>
      <c r="N25" s="21">
        <v>0.05</v>
      </c>
      <c r="O25" s="21">
        <v>0.05</v>
      </c>
      <c r="P25" s="21">
        <v>0.05</v>
      </c>
      <c r="Q25" s="21">
        <v>0.05</v>
      </c>
      <c r="R25" s="21">
        <v>0.05</v>
      </c>
      <c r="S25" s="21">
        <v>0.05</v>
      </c>
      <c r="T25" s="21">
        <v>0.05</v>
      </c>
      <c r="U25" s="21">
        <v>0.05</v>
      </c>
      <c r="V25" s="21">
        <v>0.05</v>
      </c>
    </row>
    <row r="26" ht="14.25" customHeight="1" spans="1:22" x14ac:dyDescent="0.25">
      <c r="A26" t="s">
        <v>0</v>
      </c>
      <c r="B26" t="s">
        <v>0</v>
      </c>
      <c r="C26" s="15" t="s">
        <v>0</v>
      </c>
      <c r="D26" s="14" t="s">
        <v>0</v>
      </c>
      <c r="E26" s="14" t="s">
        <v>0</v>
      </c>
      <c r="F26" s="15" t="s">
        <v>0</v>
      </c>
      <c r="G26" s="15" t="s">
        <v>0</v>
      </c>
      <c r="H26" s="15" t="s">
        <v>0</v>
      </c>
      <c r="I26" s="15" t="s">
        <v>0</v>
      </c>
      <c r="J26" s="15" t="s">
        <v>0</v>
      </c>
      <c r="K26" s="15" t="s">
        <v>0</v>
      </c>
      <c r="L26" s="15" t="s">
        <v>0</v>
      </c>
      <c r="M26" s="15" t="s">
        <v>0</v>
      </c>
      <c r="N26" s="15" t="s">
        <v>0</v>
      </c>
      <c r="O26" s="15" t="s">
        <v>0</v>
      </c>
      <c r="P26" s="15" t="s">
        <v>0</v>
      </c>
      <c r="Q26" s="15" t="s">
        <v>0</v>
      </c>
      <c r="R26" s="15" t="s">
        <v>0</v>
      </c>
      <c r="S26" s="15" t="s">
        <v>0</v>
      </c>
      <c r="T26" s="15" t="s">
        <v>0</v>
      </c>
      <c r="U26" s="15" t="s">
        <v>0</v>
      </c>
      <c r="V26" s="15" t="s">
        <v>0</v>
      </c>
    </row>
    <row r="27" ht="14.25" customHeight="1" spans="1:22" x14ac:dyDescent="0.25">
      <c r="A27" t="s">
        <v>0</v>
      </c>
      <c r="B27" t="s">
        <v>0</v>
      </c>
      <c r="C27" s="18" t="s">
        <v>23</v>
      </c>
      <c r="D27" s="14" t="s">
        <v>0</v>
      </c>
      <c r="E27" s="19">
        <f>+$E$11</f>
        <v>1</v>
      </c>
      <c r="F27" s="15" t="s">
        <v>0</v>
      </c>
      <c r="G27" s="15" t="s">
        <v>0</v>
      </c>
      <c r="H27" s="15" t="s">
        <v>0</v>
      </c>
      <c r="I27" s="15" t="s">
        <v>0</v>
      </c>
      <c r="J27" s="15" t="s">
        <v>0</v>
      </c>
      <c r="K27" s="15" t="s">
        <v>0</v>
      </c>
      <c r="L27" s="15" t="s">
        <v>0</v>
      </c>
      <c r="M27" s="20">
        <f>+CHOOSE($E27,M28,M29,M30)</f>
        <v>0.1</v>
      </c>
      <c r="N27" s="20">
        <f>+CHOOSE($E27,N28,N29,N30)</f>
        <v>0.1</v>
      </c>
      <c r="O27" s="20">
        <f>+CHOOSE($E27,O28,O29,O30)</f>
        <v>0.1</v>
      </c>
      <c r="P27" s="20">
        <f>+CHOOSE($E27,P28,P29,P30)</f>
        <v>0.1</v>
      </c>
      <c r="Q27" s="20">
        <f>+CHOOSE($E27,Q28,Q29,Q30)</f>
        <v>0.1</v>
      </c>
      <c r="R27" s="20">
        <f>+CHOOSE($E27,R28,R29,R30)</f>
        <v>0.1</v>
      </c>
      <c r="S27" s="20">
        <f>+CHOOSE($E27,S28,S29,S30)</f>
        <v>0.1</v>
      </c>
      <c r="T27" s="20">
        <f>+CHOOSE($E27,T28,T29,T30)</f>
        <v>0.1</v>
      </c>
      <c r="U27" s="20">
        <f>+CHOOSE($E27,U28,U29,U30)</f>
        <v>0.1</v>
      </c>
      <c r="V27" s="20">
        <f>+CHOOSE($E27,V28,V29,V30)</f>
        <v>0.1</v>
      </c>
    </row>
    <row r="28" ht="14.25" customHeight="1" spans="1:22" x14ac:dyDescent="0.25">
      <c r="A28" t="s">
        <v>0</v>
      </c>
      <c r="B28" t="s">
        <v>0</v>
      </c>
      <c r="C28" s="18" t="s">
        <v>16</v>
      </c>
      <c r="D28" s="14" t="s">
        <v>0</v>
      </c>
      <c r="E28" s="14" t="s">
        <v>0</v>
      </c>
      <c r="F28" s="15" t="s">
        <v>0</v>
      </c>
      <c r="G28" s="15" t="s">
        <v>0</v>
      </c>
      <c r="H28" s="15" t="s">
        <v>0</v>
      </c>
      <c r="I28" s="15" t="s">
        <v>0</v>
      </c>
      <c r="J28" s="15" t="s">
        <v>0</v>
      </c>
      <c r="K28" s="15" t="s">
        <v>0</v>
      </c>
      <c r="L28" s="15" t="s">
        <v>0</v>
      </c>
      <c r="M28" s="21">
        <v>0.1</v>
      </c>
      <c r="N28" s="21">
        <v>0.1</v>
      </c>
      <c r="O28" s="21">
        <v>0.1</v>
      </c>
      <c r="P28" s="21">
        <v>0.1</v>
      </c>
      <c r="Q28" s="21">
        <v>0.1</v>
      </c>
      <c r="R28" s="21">
        <v>0.1</v>
      </c>
      <c r="S28" s="21">
        <v>0.1</v>
      </c>
      <c r="T28" s="21">
        <v>0.1</v>
      </c>
      <c r="U28" s="21">
        <v>0.1</v>
      </c>
      <c r="V28" s="21">
        <v>0.1</v>
      </c>
    </row>
    <row r="29" ht="14.25" customHeight="1" spans="1:22" x14ac:dyDescent="0.25">
      <c r="A29" t="s">
        <v>0</v>
      </c>
      <c r="B29" t="s">
        <v>0</v>
      </c>
      <c r="C29" s="18" t="s">
        <v>21</v>
      </c>
      <c r="D29" s="14" t="s">
        <v>0</v>
      </c>
      <c r="E29" s="14" t="s">
        <v>0</v>
      </c>
      <c r="F29" s="15" t="s">
        <v>0</v>
      </c>
      <c r="G29" s="15" t="s">
        <v>0</v>
      </c>
      <c r="H29" s="15" t="s">
        <v>0</v>
      </c>
      <c r="I29" s="15" t="s">
        <v>0</v>
      </c>
      <c r="J29" s="15" t="s">
        <v>0</v>
      </c>
      <c r="K29" s="15" t="s">
        <v>0</v>
      </c>
      <c r="L29" s="15" t="s">
        <v>0</v>
      </c>
      <c r="M29" s="21">
        <v>0.15</v>
      </c>
      <c r="N29" s="21">
        <v>0.15</v>
      </c>
      <c r="O29" s="21">
        <v>0.15</v>
      </c>
      <c r="P29" s="21">
        <v>0.15</v>
      </c>
      <c r="Q29" s="21">
        <v>0.15</v>
      </c>
      <c r="R29" s="21">
        <v>0.15</v>
      </c>
      <c r="S29" s="21">
        <v>0.15</v>
      </c>
      <c r="T29" s="21">
        <v>0.15</v>
      </c>
      <c r="U29" s="21">
        <v>0.15</v>
      </c>
      <c r="V29" s="21">
        <v>0.15</v>
      </c>
    </row>
    <row r="30" ht="14.25" customHeight="1" spans="1:22" x14ac:dyDescent="0.25">
      <c r="A30" t="s">
        <v>0</v>
      </c>
      <c r="B30" t="s">
        <v>0</v>
      </c>
      <c r="C30" s="18" t="s">
        <v>22</v>
      </c>
      <c r="D30" s="14" t="s">
        <v>0</v>
      </c>
      <c r="E30" s="14" t="s">
        <v>0</v>
      </c>
      <c r="F30" s="15" t="s">
        <v>0</v>
      </c>
      <c r="G30" s="15" t="s">
        <v>0</v>
      </c>
      <c r="H30" s="15" t="s">
        <v>0</v>
      </c>
      <c r="I30" s="15" t="s">
        <v>0</v>
      </c>
      <c r="J30" s="15" t="s">
        <v>0</v>
      </c>
      <c r="K30" s="15" t="s">
        <v>0</v>
      </c>
      <c r="L30" s="15" t="s">
        <v>0</v>
      </c>
      <c r="M30" s="21">
        <v>0.05</v>
      </c>
      <c r="N30" s="21">
        <v>0.05</v>
      </c>
      <c r="O30" s="21">
        <v>0.05</v>
      </c>
      <c r="P30" s="21">
        <v>0.05</v>
      </c>
      <c r="Q30" s="21">
        <v>0.05</v>
      </c>
      <c r="R30" s="21">
        <v>0.05</v>
      </c>
      <c r="S30" s="21">
        <v>0.05</v>
      </c>
      <c r="T30" s="21">
        <v>0.05</v>
      </c>
      <c r="U30" s="21">
        <v>0.05</v>
      </c>
      <c r="V30" s="21">
        <v>0.05</v>
      </c>
    </row>
    <row r="31" ht="14.25" customHeight="1" spans="1:22" x14ac:dyDescent="0.25">
      <c r="A31" t="s">
        <v>0</v>
      </c>
      <c r="B31" t="s">
        <v>0</v>
      </c>
      <c r="C31" s="15" t="s">
        <v>0</v>
      </c>
      <c r="D31" s="14" t="s">
        <v>0</v>
      </c>
      <c r="E31" s="14" t="s">
        <v>0</v>
      </c>
      <c r="F31" s="15" t="s">
        <v>0</v>
      </c>
      <c r="G31" s="15" t="s">
        <v>0</v>
      </c>
      <c r="H31" s="15" t="s">
        <v>0</v>
      </c>
      <c r="I31" s="15" t="s">
        <v>0</v>
      </c>
      <c r="J31" s="15" t="s">
        <v>0</v>
      </c>
      <c r="K31" s="15" t="s">
        <v>0</v>
      </c>
      <c r="L31" s="15" t="s">
        <v>0</v>
      </c>
      <c r="M31" s="15" t="s">
        <v>0</v>
      </c>
      <c r="N31" s="15" t="s">
        <v>0</v>
      </c>
      <c r="O31" s="15" t="s">
        <v>0</v>
      </c>
      <c r="P31" s="15" t="s">
        <v>0</v>
      </c>
      <c r="Q31" s="15" t="s">
        <v>0</v>
      </c>
      <c r="R31" s="15" t="s">
        <v>0</v>
      </c>
      <c r="S31" s="15" t="s">
        <v>0</v>
      </c>
      <c r="T31" s="15" t="s">
        <v>0</v>
      </c>
      <c r="U31" s="15" t="s">
        <v>0</v>
      </c>
      <c r="V31" s="15" t="s">
        <v>0</v>
      </c>
    </row>
    <row r="32" ht="14.25" customHeight="1" spans="1:22" x14ac:dyDescent="0.25">
      <c r="A32" t="s">
        <v>0</v>
      </c>
      <c r="B32" t="s">
        <v>0</v>
      </c>
      <c r="C32" s="18" t="s">
        <v>24</v>
      </c>
      <c r="D32" s="14" t="s">
        <v>0</v>
      </c>
      <c r="E32" s="19">
        <v>3</v>
      </c>
      <c r="F32" s="15" t="s">
        <v>0</v>
      </c>
      <c r="G32" s="15" t="s">
        <v>0</v>
      </c>
      <c r="H32" s="15" t="s">
        <v>0</v>
      </c>
      <c r="I32" s="15" t="s">
        <v>0</v>
      </c>
      <c r="J32" s="15" t="s">
        <v>0</v>
      </c>
      <c r="K32" s="15" t="s">
        <v>0</v>
      </c>
      <c r="L32" s="15" t="s">
        <v>0</v>
      </c>
      <c r="M32" s="20">
        <f>+CHOOSE($E32,M33,M34,M35)</f>
        <v>0.05</v>
      </c>
      <c r="N32" s="20">
        <f>+CHOOSE($E32,N33,N34,N35)</f>
        <v>0.05</v>
      </c>
      <c r="O32" s="20">
        <f>+CHOOSE($E32,O33,O34,O35)</f>
        <v>0.05</v>
      </c>
      <c r="P32" s="20">
        <f>+CHOOSE($E32,P33,P34,P35)</f>
        <v>0.05</v>
      </c>
      <c r="Q32" s="20">
        <f>+CHOOSE($E32,Q33,Q34,Q35)</f>
        <v>0.05</v>
      </c>
      <c r="R32" s="20">
        <f>+CHOOSE($E32,R33,R34,R35)</f>
        <v>0.05</v>
      </c>
      <c r="S32" s="20">
        <f>+CHOOSE($E32,S33,S34,S35)</f>
        <v>0.05</v>
      </c>
      <c r="T32" s="20">
        <f>+CHOOSE($E32,T33,T34,T35)</f>
        <v>0.05</v>
      </c>
      <c r="U32" s="20">
        <f>+CHOOSE($E32,U33,U34,U35)</f>
        <v>0.05</v>
      </c>
      <c r="V32" s="20">
        <f>+CHOOSE($E32,V33,V34,V35)</f>
        <v>0.05</v>
      </c>
    </row>
    <row r="33" ht="14.25" customHeight="1" spans="1:22" x14ac:dyDescent="0.25">
      <c r="A33" t="s">
        <v>0</v>
      </c>
      <c r="B33" t="s">
        <v>0</v>
      </c>
      <c r="C33" s="18" t="s">
        <v>16</v>
      </c>
      <c r="D33" s="14" t="s">
        <v>0</v>
      </c>
      <c r="E33" s="14" t="s">
        <v>0</v>
      </c>
      <c r="F33" s="15" t="s">
        <v>0</v>
      </c>
      <c r="G33" s="15" t="s">
        <v>0</v>
      </c>
      <c r="H33" s="15" t="s">
        <v>0</v>
      </c>
      <c r="I33" s="15" t="s">
        <v>0</v>
      </c>
      <c r="J33" s="15" t="s">
        <v>0</v>
      </c>
      <c r="K33" s="15" t="s">
        <v>0</v>
      </c>
      <c r="L33" s="15" t="s">
        <v>0</v>
      </c>
      <c r="M33" s="21">
        <v>0.1</v>
      </c>
      <c r="N33" s="21">
        <v>0.1</v>
      </c>
      <c r="O33" s="21">
        <v>0.1</v>
      </c>
      <c r="P33" s="21">
        <v>0.1</v>
      </c>
      <c r="Q33" s="21">
        <v>0.1</v>
      </c>
      <c r="R33" s="21">
        <v>0.1</v>
      </c>
      <c r="S33" s="21">
        <v>0.1</v>
      </c>
      <c r="T33" s="21">
        <v>0.1</v>
      </c>
      <c r="U33" s="21">
        <v>0.1</v>
      </c>
      <c r="V33" s="21">
        <v>0.1</v>
      </c>
    </row>
    <row r="34" ht="14.25" customHeight="1" spans="1:22" x14ac:dyDescent="0.25">
      <c r="A34" t="s">
        <v>0</v>
      </c>
      <c r="B34" t="s">
        <v>0</v>
      </c>
      <c r="C34" s="18" t="s">
        <v>21</v>
      </c>
      <c r="D34" s="14" t="s">
        <v>0</v>
      </c>
      <c r="E34" s="14" t="s">
        <v>0</v>
      </c>
      <c r="F34" s="15" t="s">
        <v>0</v>
      </c>
      <c r="G34" s="15" t="s">
        <v>0</v>
      </c>
      <c r="H34" s="15" t="s">
        <v>0</v>
      </c>
      <c r="I34" s="15" t="s">
        <v>0</v>
      </c>
      <c r="J34" s="15" t="s">
        <v>0</v>
      </c>
      <c r="K34" s="15" t="s">
        <v>0</v>
      </c>
      <c r="L34" s="15" t="s">
        <v>0</v>
      </c>
      <c r="M34" s="21">
        <v>0.15</v>
      </c>
      <c r="N34" s="21">
        <v>0.15</v>
      </c>
      <c r="O34" s="21">
        <v>0.15</v>
      </c>
      <c r="P34" s="21">
        <v>0.15</v>
      </c>
      <c r="Q34" s="21">
        <v>0.15</v>
      </c>
      <c r="R34" s="21">
        <v>0.15</v>
      </c>
      <c r="S34" s="21">
        <v>0.15</v>
      </c>
      <c r="T34" s="21">
        <v>0.15</v>
      </c>
      <c r="U34" s="21">
        <v>0.15</v>
      </c>
      <c r="V34" s="21">
        <v>0.15</v>
      </c>
    </row>
    <row r="35" ht="14.25" customHeight="1" spans="1:22" x14ac:dyDescent="0.25">
      <c r="A35" t="s">
        <v>0</v>
      </c>
      <c r="B35" t="s">
        <v>0</v>
      </c>
      <c r="C35" s="18" t="s">
        <v>22</v>
      </c>
      <c r="D35" s="14" t="s">
        <v>0</v>
      </c>
      <c r="E35" s="14" t="s">
        <v>0</v>
      </c>
      <c r="F35" s="15" t="s">
        <v>0</v>
      </c>
      <c r="G35" s="15" t="s">
        <v>0</v>
      </c>
      <c r="H35" s="15" t="s">
        <v>0</v>
      </c>
      <c r="I35" s="15" t="s">
        <v>0</v>
      </c>
      <c r="J35" s="15" t="s">
        <v>0</v>
      </c>
      <c r="K35" s="15" t="s">
        <v>0</v>
      </c>
      <c r="L35" s="15" t="s">
        <v>0</v>
      </c>
      <c r="M35" s="21">
        <v>0.05</v>
      </c>
      <c r="N35" s="21">
        <v>0.05</v>
      </c>
      <c r="O35" s="21">
        <v>0.05</v>
      </c>
      <c r="P35" s="21">
        <v>0.05</v>
      </c>
      <c r="Q35" s="21">
        <v>0.05</v>
      </c>
      <c r="R35" s="21">
        <v>0.05</v>
      </c>
      <c r="S35" s="21">
        <v>0.05</v>
      </c>
      <c r="T35" s="21">
        <v>0.05</v>
      </c>
      <c r="U35" s="21">
        <v>0.05</v>
      </c>
      <c r="V35" s="21">
        <v>0.05</v>
      </c>
    </row>
    <row r="36" ht="14.25" customHeight="1" spans="1:22" x14ac:dyDescent="0.25">
      <c r="A36" t="s">
        <v>0</v>
      </c>
      <c r="B36" t="s">
        <v>0</v>
      </c>
      <c r="C36" s="15" t="s">
        <v>0</v>
      </c>
      <c r="D36" s="14" t="s">
        <v>0</v>
      </c>
      <c r="E36" s="14" t="s">
        <v>0</v>
      </c>
      <c r="F36" s="15" t="s">
        <v>0</v>
      </c>
      <c r="G36" s="15" t="s">
        <v>0</v>
      </c>
      <c r="H36" s="15" t="s">
        <v>0</v>
      </c>
      <c r="I36" s="15" t="s">
        <v>0</v>
      </c>
      <c r="J36" s="15" t="s">
        <v>0</v>
      </c>
      <c r="K36" s="15" t="s">
        <v>0</v>
      </c>
      <c r="L36" s="15" t="s">
        <v>0</v>
      </c>
      <c r="M36" s="15" t="s">
        <v>0</v>
      </c>
      <c r="N36" s="15" t="s">
        <v>0</v>
      </c>
      <c r="O36" s="15" t="s">
        <v>0</v>
      </c>
      <c r="P36" s="15" t="s">
        <v>0</v>
      </c>
      <c r="Q36" s="15" t="s">
        <v>0</v>
      </c>
      <c r="R36" s="15" t="s">
        <v>0</v>
      </c>
      <c r="S36" s="15" t="s">
        <v>0</v>
      </c>
      <c r="T36" s="15" t="s">
        <v>0</v>
      </c>
      <c r="U36" s="15" t="s">
        <v>0</v>
      </c>
      <c r="V36" s="15" t="s">
        <v>0</v>
      </c>
    </row>
    <row r="37" ht="14.25" customHeight="1" spans="1:22" x14ac:dyDescent="0.25">
      <c r="A37" t="s">
        <v>0</v>
      </c>
      <c r="B37" t="s">
        <v>0</v>
      </c>
      <c r="C37" s="13" t="s">
        <v>25</v>
      </c>
      <c r="D37" s="14" t="s">
        <v>0</v>
      </c>
      <c r="E37" s="14" t="s">
        <v>0</v>
      </c>
      <c r="F37" s="15" t="s">
        <v>0</v>
      </c>
      <c r="G37" s="15" t="s">
        <v>0</v>
      </c>
      <c r="H37" s="15" t="s">
        <v>0</v>
      </c>
      <c r="I37" s="15" t="s">
        <v>0</v>
      </c>
      <c r="J37" s="15" t="s">
        <v>0</v>
      </c>
      <c r="K37" s="15" t="s">
        <v>0</v>
      </c>
      <c r="L37" s="15" t="s">
        <v>0</v>
      </c>
      <c r="M37" s="15" t="s">
        <v>0</v>
      </c>
      <c r="N37" s="15" t="s">
        <v>0</v>
      </c>
      <c r="O37" s="15" t="s">
        <v>0</v>
      </c>
      <c r="P37" s="15" t="s">
        <v>0</v>
      </c>
      <c r="Q37" s="15" t="s">
        <v>0</v>
      </c>
      <c r="R37" s="15" t="s">
        <v>0</v>
      </c>
      <c r="S37" s="15" t="s">
        <v>0</v>
      </c>
      <c r="T37" s="15" t="s">
        <v>0</v>
      </c>
      <c r="U37" s="15" t="s">
        <v>0</v>
      </c>
      <c r="V37" s="15" t="s">
        <v>0</v>
      </c>
    </row>
    <row r="38" ht="14.25" customHeight="1" spans="1:22" x14ac:dyDescent="0.25">
      <c r="A38" t="s">
        <v>0</v>
      </c>
      <c r="B38" t="s">
        <v>0</v>
      </c>
      <c r="C38" s="18" t="s">
        <v>26</v>
      </c>
      <c r="D38" s="14" t="s">
        <v>0</v>
      </c>
      <c r="E38" s="19">
        <f>+$E$11</f>
        <v>1</v>
      </c>
      <c r="F38" s="15" t="s">
        <v>0</v>
      </c>
      <c r="G38" s="15" t="s">
        <v>0</v>
      </c>
      <c r="H38" s="15" t="s">
        <v>0</v>
      </c>
      <c r="I38" s="15" t="s">
        <v>0</v>
      </c>
      <c r="J38" s="15" t="s">
        <v>0</v>
      </c>
      <c r="K38" s="15" t="s">
        <v>0</v>
      </c>
      <c r="L38" s="15" t="s">
        <v>0</v>
      </c>
      <c r="M38" s="20">
        <f>+CHOOSE($E38,M39,M40,M41)</f>
        <v>0.35</v>
      </c>
      <c r="N38" s="20">
        <f>+CHOOSE($E38,N39,N40,N41)</f>
        <v>0.35</v>
      </c>
      <c r="O38" s="20">
        <f>+CHOOSE($E38,O39,O40,O41)</f>
        <v>0.35</v>
      </c>
      <c r="P38" s="20">
        <f>+CHOOSE($E38,P39,P40,P41)</f>
        <v>0.35</v>
      </c>
      <c r="Q38" s="20">
        <f>+CHOOSE($E38,Q39,Q40,Q41)</f>
        <v>0.35</v>
      </c>
      <c r="R38" s="20">
        <f>+CHOOSE($E38,R39,R40,R41)</f>
        <v>0.35</v>
      </c>
      <c r="S38" s="20">
        <f>+CHOOSE($E38,S39,S40,S41)</f>
        <v>0.35</v>
      </c>
      <c r="T38" s="20">
        <f>+CHOOSE($E38,T39,T40,T41)</f>
        <v>0.35</v>
      </c>
      <c r="U38" s="20">
        <f>+CHOOSE($E38,U39,U40,U41)</f>
        <v>0.35</v>
      </c>
      <c r="V38" s="20">
        <f>+CHOOSE($E38,V39,V40,V41)</f>
        <v>0.35</v>
      </c>
    </row>
    <row r="39" ht="14.25" customHeight="1" spans="1:22" x14ac:dyDescent="0.25">
      <c r="A39" t="s">
        <v>0</v>
      </c>
      <c r="B39" t="s">
        <v>0</v>
      </c>
      <c r="C39" s="18" t="s">
        <v>16</v>
      </c>
      <c r="D39" s="14" t="s">
        <v>0</v>
      </c>
      <c r="E39" s="14" t="s">
        <v>0</v>
      </c>
      <c r="F39" s="15" t="s">
        <v>0</v>
      </c>
      <c r="G39" s="15" t="s">
        <v>0</v>
      </c>
      <c r="H39" s="15" t="s">
        <v>0</v>
      </c>
      <c r="I39" s="15" t="s">
        <v>0</v>
      </c>
      <c r="J39" s="15" t="s">
        <v>0</v>
      </c>
      <c r="K39" s="15" t="s">
        <v>0</v>
      </c>
      <c r="L39" s="15" t="s">
        <v>0</v>
      </c>
      <c r="M39" s="21">
        <v>0.35</v>
      </c>
      <c r="N39" s="21">
        <v>0.35</v>
      </c>
      <c r="O39" s="21">
        <v>0.35</v>
      </c>
      <c r="P39" s="21">
        <v>0.35</v>
      </c>
      <c r="Q39" s="21">
        <v>0.35</v>
      </c>
      <c r="R39" s="21">
        <v>0.35</v>
      </c>
      <c r="S39" s="21">
        <v>0.35</v>
      </c>
      <c r="T39" s="21">
        <v>0.35</v>
      </c>
      <c r="U39" s="21">
        <v>0.35</v>
      </c>
      <c r="V39" s="21">
        <v>0.35</v>
      </c>
    </row>
    <row r="40" ht="14.25" customHeight="1" spans="1:22" x14ac:dyDescent="0.25">
      <c r="A40" t="s">
        <v>0</v>
      </c>
      <c r="B40" t="s">
        <v>0</v>
      </c>
      <c r="C40" s="18" t="s">
        <v>21</v>
      </c>
      <c r="D40" s="14" t="s">
        <v>0</v>
      </c>
      <c r="E40" s="14" t="s">
        <v>0</v>
      </c>
      <c r="F40" s="15" t="s">
        <v>0</v>
      </c>
      <c r="G40" s="15" t="s">
        <v>0</v>
      </c>
      <c r="H40" s="15" t="s">
        <v>0</v>
      </c>
      <c r="I40" s="15" t="s">
        <v>0</v>
      </c>
      <c r="J40" s="15" t="s">
        <v>0</v>
      </c>
      <c r="K40" s="15" t="s">
        <v>0</v>
      </c>
      <c r="L40" s="15" t="s">
        <v>0</v>
      </c>
      <c r="M40" s="21">
        <v>0.4</v>
      </c>
      <c r="N40" s="21">
        <v>0.4</v>
      </c>
      <c r="O40" s="21">
        <v>0.4</v>
      </c>
      <c r="P40" s="21">
        <v>0.4</v>
      </c>
      <c r="Q40" s="21">
        <v>0.4</v>
      </c>
      <c r="R40" s="21">
        <v>0.4</v>
      </c>
      <c r="S40" s="21">
        <v>0.4</v>
      </c>
      <c r="T40" s="21">
        <v>0.4</v>
      </c>
      <c r="U40" s="21">
        <v>0.4</v>
      </c>
      <c r="V40" s="21">
        <v>0.4</v>
      </c>
    </row>
    <row r="41" ht="14.25" customHeight="1" spans="1:22" x14ac:dyDescent="0.25">
      <c r="A41" t="s">
        <v>0</v>
      </c>
      <c r="B41" t="s">
        <v>0</v>
      </c>
      <c r="C41" s="18" t="s">
        <v>22</v>
      </c>
      <c r="D41" s="14" t="s">
        <v>0</v>
      </c>
      <c r="E41" s="14" t="s">
        <v>0</v>
      </c>
      <c r="F41" s="15" t="s">
        <v>0</v>
      </c>
      <c r="G41" s="15" t="s">
        <v>0</v>
      </c>
      <c r="H41" s="15" t="s">
        <v>0</v>
      </c>
      <c r="I41" s="15" t="s">
        <v>0</v>
      </c>
      <c r="J41" s="15" t="s">
        <v>0</v>
      </c>
      <c r="K41" s="15" t="s">
        <v>0</v>
      </c>
      <c r="L41" s="15" t="s">
        <v>0</v>
      </c>
      <c r="M41" s="21">
        <v>0.3</v>
      </c>
      <c r="N41" s="21">
        <v>0.3</v>
      </c>
      <c r="O41" s="21">
        <v>0.3</v>
      </c>
      <c r="P41" s="21">
        <v>0.3</v>
      </c>
      <c r="Q41" s="21">
        <v>0.3</v>
      </c>
      <c r="R41" s="21">
        <v>0.3</v>
      </c>
      <c r="S41" s="21">
        <v>0.3</v>
      </c>
      <c r="T41" s="21">
        <v>0.3</v>
      </c>
      <c r="U41" s="21">
        <v>0.3</v>
      </c>
      <c r="V41" s="21">
        <v>0.3</v>
      </c>
    </row>
    <row r="42" ht="14.25" customHeight="1" spans="1:22" x14ac:dyDescent="0.25">
      <c r="A42" t="s">
        <v>0</v>
      </c>
      <c r="B42" t="s">
        <v>0</v>
      </c>
      <c r="C42" s="15" t="s">
        <v>0</v>
      </c>
      <c r="D42" s="14" t="s">
        <v>0</v>
      </c>
      <c r="E42" s="14" t="s">
        <v>0</v>
      </c>
      <c r="F42" s="15" t="s">
        <v>0</v>
      </c>
      <c r="G42" s="15" t="s">
        <v>0</v>
      </c>
      <c r="H42" s="15" t="s">
        <v>0</v>
      </c>
      <c r="I42" s="15" t="s">
        <v>0</v>
      </c>
      <c r="J42" s="15" t="s">
        <v>0</v>
      </c>
      <c r="K42" s="15" t="s">
        <v>0</v>
      </c>
      <c r="L42" s="15" t="s">
        <v>0</v>
      </c>
      <c r="M42" s="15" t="s">
        <v>0</v>
      </c>
      <c r="N42" s="15" t="s">
        <v>0</v>
      </c>
      <c r="O42" s="15" t="s">
        <v>0</v>
      </c>
      <c r="P42" s="15" t="s">
        <v>0</v>
      </c>
      <c r="Q42" s="15" t="s">
        <v>0</v>
      </c>
      <c r="R42" s="15" t="s">
        <v>0</v>
      </c>
      <c r="S42" s="15" t="s">
        <v>0</v>
      </c>
      <c r="T42" s="15" t="s">
        <v>0</v>
      </c>
      <c r="U42" s="15" t="s">
        <v>0</v>
      </c>
      <c r="V42" s="15" t="s">
        <v>0</v>
      </c>
    </row>
    <row r="43" ht="14.25" customHeight="1" spans="1:22" x14ac:dyDescent="0.25">
      <c r="A43" t="s">
        <v>0</v>
      </c>
      <c r="B43" t="s">
        <v>0</v>
      </c>
      <c r="C43" s="18" t="s">
        <v>27</v>
      </c>
      <c r="D43" s="14" t="s">
        <v>0</v>
      </c>
      <c r="E43" s="19">
        <f>+$E$11</f>
        <v>1</v>
      </c>
      <c r="F43" s="15" t="s">
        <v>0</v>
      </c>
      <c r="G43" s="15" t="s">
        <v>0</v>
      </c>
      <c r="H43" s="15" t="s">
        <v>0</v>
      </c>
      <c r="I43" s="15" t="s">
        <v>0</v>
      </c>
      <c r="J43" s="15" t="s">
        <v>0</v>
      </c>
      <c r="K43" s="15" t="s">
        <v>0</v>
      </c>
      <c r="L43" s="15" t="s">
        <v>0</v>
      </c>
      <c r="M43" s="20">
        <f>+CHOOSE($E43,M44,M45,M46)</f>
        <v>0.35</v>
      </c>
      <c r="N43" s="20">
        <f>+CHOOSE($E43,N44,N45,N46)</f>
        <v>0.35</v>
      </c>
      <c r="O43" s="20">
        <f>+CHOOSE($E43,O44,O45,O46)</f>
        <v>0.35</v>
      </c>
      <c r="P43" s="20">
        <f>+CHOOSE($E43,P44,P45,P46)</f>
        <v>0.35</v>
      </c>
      <c r="Q43" s="20">
        <f>+CHOOSE($E43,Q44,Q45,Q46)</f>
        <v>0.35</v>
      </c>
      <c r="R43" s="20">
        <f>+CHOOSE($E43,R44,R45,R46)</f>
        <v>0.35</v>
      </c>
      <c r="S43" s="20">
        <f>+CHOOSE($E43,S44,S45,S46)</f>
        <v>0.35</v>
      </c>
      <c r="T43" s="20">
        <f>+CHOOSE($E43,T44,T45,T46)</f>
        <v>0.35</v>
      </c>
      <c r="U43" s="20">
        <f>+CHOOSE($E43,U44,U45,U46)</f>
        <v>0.35</v>
      </c>
      <c r="V43" s="20">
        <f>+CHOOSE($E43,V44,V45,V46)</f>
        <v>0.35</v>
      </c>
    </row>
    <row r="44" ht="14.25" customHeight="1" spans="1:22" x14ac:dyDescent="0.25">
      <c r="A44" t="s">
        <v>0</v>
      </c>
      <c r="B44" t="s">
        <v>0</v>
      </c>
      <c r="C44" s="18" t="s">
        <v>16</v>
      </c>
      <c r="D44" s="14" t="s">
        <v>0</v>
      </c>
      <c r="E44" s="14" t="s">
        <v>0</v>
      </c>
      <c r="F44" s="15" t="s">
        <v>0</v>
      </c>
      <c r="G44" s="15" t="s">
        <v>0</v>
      </c>
      <c r="H44" s="15" t="s">
        <v>0</v>
      </c>
      <c r="I44" s="15" t="s">
        <v>0</v>
      </c>
      <c r="J44" s="15" t="s">
        <v>0</v>
      </c>
      <c r="K44" s="15" t="s">
        <v>0</v>
      </c>
      <c r="L44" s="15" t="s">
        <v>0</v>
      </c>
      <c r="M44" s="21">
        <v>0.35</v>
      </c>
      <c r="N44" s="21">
        <v>0.35</v>
      </c>
      <c r="O44" s="21">
        <v>0.35</v>
      </c>
      <c r="P44" s="21">
        <v>0.35</v>
      </c>
      <c r="Q44" s="21">
        <v>0.35</v>
      </c>
      <c r="R44" s="21">
        <v>0.35</v>
      </c>
      <c r="S44" s="21">
        <v>0.35</v>
      </c>
      <c r="T44" s="21">
        <v>0.35</v>
      </c>
      <c r="U44" s="21">
        <v>0.35</v>
      </c>
      <c r="V44" s="21">
        <v>0.35</v>
      </c>
    </row>
    <row r="45" ht="14.25" customHeight="1" spans="1:22" x14ac:dyDescent="0.25">
      <c r="A45" t="s">
        <v>0</v>
      </c>
      <c r="B45" t="s">
        <v>0</v>
      </c>
      <c r="C45" s="18" t="s">
        <v>21</v>
      </c>
      <c r="D45" s="14" t="s">
        <v>0</v>
      </c>
      <c r="E45" s="14" t="s">
        <v>0</v>
      </c>
      <c r="F45" s="15" t="s">
        <v>0</v>
      </c>
      <c r="G45" s="15" t="s">
        <v>0</v>
      </c>
      <c r="H45" s="15" t="s">
        <v>0</v>
      </c>
      <c r="I45" s="15" t="s">
        <v>0</v>
      </c>
      <c r="J45" s="15" t="s">
        <v>0</v>
      </c>
      <c r="K45" s="15" t="s">
        <v>0</v>
      </c>
      <c r="L45" s="15" t="s">
        <v>0</v>
      </c>
      <c r="M45" s="21">
        <v>0.4</v>
      </c>
      <c r="N45" s="21">
        <v>0.4</v>
      </c>
      <c r="O45" s="21">
        <v>0.4</v>
      </c>
      <c r="P45" s="21">
        <v>0.4</v>
      </c>
      <c r="Q45" s="21">
        <v>0.4</v>
      </c>
      <c r="R45" s="21">
        <v>0.4</v>
      </c>
      <c r="S45" s="21">
        <v>0.4</v>
      </c>
      <c r="T45" s="21">
        <v>0.4</v>
      </c>
      <c r="U45" s="21">
        <v>0.4</v>
      </c>
      <c r="V45" s="21">
        <v>0.4</v>
      </c>
    </row>
    <row r="46" ht="14.25" customHeight="1" spans="1:22" x14ac:dyDescent="0.25">
      <c r="A46" t="s">
        <v>0</v>
      </c>
      <c r="B46" t="s">
        <v>0</v>
      </c>
      <c r="C46" s="18" t="s">
        <v>22</v>
      </c>
      <c r="D46" s="14" t="s">
        <v>0</v>
      </c>
      <c r="E46" s="14" t="s">
        <v>0</v>
      </c>
      <c r="F46" s="15" t="s">
        <v>0</v>
      </c>
      <c r="G46" s="15" t="s">
        <v>0</v>
      </c>
      <c r="H46" s="15" t="s">
        <v>0</v>
      </c>
      <c r="I46" s="15" t="s">
        <v>0</v>
      </c>
      <c r="J46" s="15" t="s">
        <v>0</v>
      </c>
      <c r="K46" s="15" t="s">
        <v>0</v>
      </c>
      <c r="L46" s="15" t="s">
        <v>0</v>
      </c>
      <c r="M46" s="21">
        <v>0.3</v>
      </c>
      <c r="N46" s="21">
        <v>0.3</v>
      </c>
      <c r="O46" s="21">
        <v>0.3</v>
      </c>
      <c r="P46" s="21">
        <v>0.3</v>
      </c>
      <c r="Q46" s="21">
        <v>0.3</v>
      </c>
      <c r="R46" s="21">
        <v>0.3</v>
      </c>
      <c r="S46" s="21">
        <v>0.3</v>
      </c>
      <c r="T46" s="21">
        <v>0.3</v>
      </c>
      <c r="U46" s="21">
        <v>0.3</v>
      </c>
      <c r="V46" s="21">
        <v>0.3</v>
      </c>
    </row>
    <row r="47" ht="14.25" customHeight="1" spans="1:22" x14ac:dyDescent="0.25">
      <c r="A47" t="s">
        <v>0</v>
      </c>
      <c r="B47" t="s">
        <v>0</v>
      </c>
      <c r="C47" s="15" t="s">
        <v>0</v>
      </c>
      <c r="D47" s="14" t="s">
        <v>0</v>
      </c>
      <c r="E47" s="14" t="s">
        <v>0</v>
      </c>
      <c r="F47" s="15" t="s">
        <v>0</v>
      </c>
      <c r="G47" s="15" t="s">
        <v>0</v>
      </c>
      <c r="H47" s="15" t="s">
        <v>0</v>
      </c>
      <c r="I47" s="15" t="s">
        <v>0</v>
      </c>
      <c r="J47" s="15" t="s">
        <v>0</v>
      </c>
      <c r="K47" s="15" t="s">
        <v>0</v>
      </c>
      <c r="L47" s="15" t="s">
        <v>0</v>
      </c>
      <c r="M47" s="15" t="s">
        <v>0</v>
      </c>
      <c r="N47" s="15" t="s">
        <v>0</v>
      </c>
      <c r="O47" s="15" t="s">
        <v>0</v>
      </c>
      <c r="P47" s="15" t="s">
        <v>0</v>
      </c>
      <c r="Q47" s="15" t="s">
        <v>0</v>
      </c>
      <c r="R47" s="15" t="s">
        <v>0</v>
      </c>
      <c r="S47" s="15" t="s">
        <v>0</v>
      </c>
      <c r="T47" s="15" t="s">
        <v>0</v>
      </c>
      <c r="U47" s="15" t="s">
        <v>0</v>
      </c>
      <c r="V47" s="15" t="s">
        <v>0</v>
      </c>
    </row>
    <row r="48" ht="14.25" customHeight="1" spans="1:22" x14ac:dyDescent="0.25">
      <c r="A48" t="s">
        <v>0</v>
      </c>
      <c r="B48" t="s">
        <v>0</v>
      </c>
      <c r="C48" s="18" t="s">
        <v>28</v>
      </c>
      <c r="D48" s="14" t="s">
        <v>0</v>
      </c>
      <c r="E48" s="19">
        <f>+$E$11</f>
        <v>1</v>
      </c>
      <c r="F48" s="15" t="s">
        <v>0</v>
      </c>
      <c r="G48" s="15" t="s">
        <v>0</v>
      </c>
      <c r="H48" s="15" t="s">
        <v>0</v>
      </c>
      <c r="I48" s="15" t="s">
        <v>0</v>
      </c>
      <c r="J48" s="15" t="s">
        <v>0</v>
      </c>
      <c r="K48" s="15" t="s">
        <v>0</v>
      </c>
      <c r="L48" s="15" t="s">
        <v>0</v>
      </c>
      <c r="M48" s="20">
        <f>+CHOOSE($E48,M49,M50,M51)</f>
        <v>0.35</v>
      </c>
      <c r="N48" s="20">
        <f>+CHOOSE($E48,N49,N50,N51)</f>
        <v>0.35</v>
      </c>
      <c r="O48" s="20">
        <f>+CHOOSE($E48,O49,O50,O51)</f>
        <v>0.35</v>
      </c>
      <c r="P48" s="20">
        <f>+CHOOSE($E48,P49,P50,P51)</f>
        <v>0.35</v>
      </c>
      <c r="Q48" s="20">
        <f>+CHOOSE($E48,Q49,Q50,Q51)</f>
        <v>0.35</v>
      </c>
      <c r="R48" s="20">
        <f>+CHOOSE($E48,R49,R50,R51)</f>
        <v>0.35</v>
      </c>
      <c r="S48" s="20">
        <f>+CHOOSE($E48,S49,S50,S51)</f>
        <v>0.35</v>
      </c>
      <c r="T48" s="20">
        <f>+CHOOSE($E48,T49,T50,T51)</f>
        <v>0.35</v>
      </c>
      <c r="U48" s="20">
        <f>+CHOOSE($E48,U49,U50,U51)</f>
        <v>0.35</v>
      </c>
      <c r="V48" s="20">
        <f>+CHOOSE($E48,V49,V50,V51)</f>
        <v>0.35</v>
      </c>
    </row>
    <row r="49" ht="14.25" customHeight="1" spans="1:22" x14ac:dyDescent="0.25">
      <c r="A49" t="s">
        <v>0</v>
      </c>
      <c r="B49" t="s">
        <v>0</v>
      </c>
      <c r="C49" s="18" t="s">
        <v>16</v>
      </c>
      <c r="D49" s="14" t="s">
        <v>0</v>
      </c>
      <c r="E49" s="14" t="s">
        <v>0</v>
      </c>
      <c r="F49" s="15" t="s">
        <v>0</v>
      </c>
      <c r="G49" s="15" t="s">
        <v>0</v>
      </c>
      <c r="H49" s="15" t="s">
        <v>0</v>
      </c>
      <c r="I49" s="15" t="s">
        <v>0</v>
      </c>
      <c r="J49" s="15" t="s">
        <v>0</v>
      </c>
      <c r="K49" s="15" t="s">
        <v>0</v>
      </c>
      <c r="L49" s="15" t="s">
        <v>0</v>
      </c>
      <c r="M49" s="21">
        <v>0.35</v>
      </c>
      <c r="N49" s="21">
        <v>0.35</v>
      </c>
      <c r="O49" s="21">
        <v>0.35</v>
      </c>
      <c r="P49" s="21">
        <v>0.35</v>
      </c>
      <c r="Q49" s="21">
        <v>0.35</v>
      </c>
      <c r="R49" s="21">
        <v>0.35</v>
      </c>
      <c r="S49" s="21">
        <v>0.35</v>
      </c>
      <c r="T49" s="21">
        <v>0.35</v>
      </c>
      <c r="U49" s="21">
        <v>0.35</v>
      </c>
      <c r="V49" s="21">
        <v>0.35</v>
      </c>
    </row>
    <row r="50" ht="14.25" customHeight="1" spans="1:22" x14ac:dyDescent="0.25">
      <c r="A50" t="s">
        <v>0</v>
      </c>
      <c r="B50" t="s">
        <v>0</v>
      </c>
      <c r="C50" s="18" t="s">
        <v>21</v>
      </c>
      <c r="D50" s="14" t="s">
        <v>0</v>
      </c>
      <c r="E50" s="14" t="s">
        <v>0</v>
      </c>
      <c r="F50" s="15" t="s">
        <v>0</v>
      </c>
      <c r="G50" s="15" t="s">
        <v>0</v>
      </c>
      <c r="H50" s="15" t="s">
        <v>0</v>
      </c>
      <c r="I50" s="15" t="s">
        <v>0</v>
      </c>
      <c r="J50" s="15" t="s">
        <v>0</v>
      </c>
      <c r="K50" s="15" t="s">
        <v>0</v>
      </c>
      <c r="L50" s="15" t="s">
        <v>0</v>
      </c>
      <c r="M50" s="21">
        <v>0.4</v>
      </c>
      <c r="N50" s="21">
        <v>0.4</v>
      </c>
      <c r="O50" s="21">
        <v>0.4</v>
      </c>
      <c r="P50" s="21">
        <v>0.4</v>
      </c>
      <c r="Q50" s="21">
        <v>0.4</v>
      </c>
      <c r="R50" s="21">
        <v>0.4</v>
      </c>
      <c r="S50" s="21">
        <v>0.4</v>
      </c>
      <c r="T50" s="21">
        <v>0.4</v>
      </c>
      <c r="U50" s="21">
        <v>0.4</v>
      </c>
      <c r="V50" s="21">
        <v>0.4</v>
      </c>
    </row>
    <row r="51" ht="14.25" customHeight="1" spans="1:22" x14ac:dyDescent="0.25">
      <c r="A51" t="s">
        <v>0</v>
      </c>
      <c r="B51" t="s">
        <v>0</v>
      </c>
      <c r="C51" s="18" t="s">
        <v>22</v>
      </c>
      <c r="D51" s="14" t="s">
        <v>0</v>
      </c>
      <c r="E51" s="14" t="s">
        <v>0</v>
      </c>
      <c r="F51" s="15" t="s">
        <v>0</v>
      </c>
      <c r="G51" s="15" t="s">
        <v>0</v>
      </c>
      <c r="H51" s="15" t="s">
        <v>0</v>
      </c>
      <c r="I51" s="15" t="s">
        <v>0</v>
      </c>
      <c r="J51" s="15" t="s">
        <v>0</v>
      </c>
      <c r="K51" s="15" t="s">
        <v>0</v>
      </c>
      <c r="L51" s="15" t="s">
        <v>0</v>
      </c>
      <c r="M51" s="21">
        <v>0.3</v>
      </c>
      <c r="N51" s="21">
        <v>0.3</v>
      </c>
      <c r="O51" s="21">
        <v>0.3</v>
      </c>
      <c r="P51" s="21">
        <v>0.3</v>
      </c>
      <c r="Q51" s="21">
        <v>0.3</v>
      </c>
      <c r="R51" s="21">
        <v>0.3</v>
      </c>
      <c r="S51" s="21">
        <v>0.3</v>
      </c>
      <c r="T51" s="21">
        <v>0.3</v>
      </c>
      <c r="U51" s="21">
        <v>0.3</v>
      </c>
      <c r="V51" s="21">
        <v>0.3</v>
      </c>
    </row>
    <row r="52" ht="14.25" customHeight="1" spans="1:22" x14ac:dyDescent="0.25">
      <c r="A52" t="s">
        <v>0</v>
      </c>
      <c r="B52" t="s">
        <v>0</v>
      </c>
      <c r="C52" s="15" t="s">
        <v>0</v>
      </c>
      <c r="D52" s="14" t="s">
        <v>0</v>
      </c>
      <c r="E52" s="14" t="s">
        <v>0</v>
      </c>
      <c r="F52" s="15" t="s">
        <v>0</v>
      </c>
      <c r="G52" s="15" t="s">
        <v>0</v>
      </c>
      <c r="H52" s="15" t="s">
        <v>0</v>
      </c>
      <c r="I52" s="15" t="s">
        <v>0</v>
      </c>
      <c r="J52" s="15" t="s">
        <v>0</v>
      </c>
      <c r="K52" s="15" t="s">
        <v>0</v>
      </c>
      <c r="L52" s="15" t="s">
        <v>0</v>
      </c>
      <c r="M52" s="15" t="s">
        <v>0</v>
      </c>
      <c r="N52" s="15" t="s">
        <v>0</v>
      </c>
      <c r="O52" s="15" t="s">
        <v>0</v>
      </c>
      <c r="P52" s="15" t="s">
        <v>0</v>
      </c>
      <c r="Q52" s="15" t="s">
        <v>0</v>
      </c>
      <c r="R52" s="15" t="s">
        <v>0</v>
      </c>
      <c r="S52" s="15" t="s">
        <v>0</v>
      </c>
      <c r="T52" s="15" t="s">
        <v>0</v>
      </c>
      <c r="U52" s="15" t="s">
        <v>0</v>
      </c>
      <c r="V52" s="15" t="s">
        <v>0</v>
      </c>
    </row>
    <row r="53" ht="14.25" customHeight="1" spans="1:22" x14ac:dyDescent="0.25">
      <c r="A53" t="s">
        <v>0</v>
      </c>
      <c r="B53" t="s">
        <v>0</v>
      </c>
      <c r="C53" s="13" t="s">
        <v>29</v>
      </c>
      <c r="D53" s="14" t="s">
        <v>0</v>
      </c>
      <c r="E53" s="14" t="s">
        <v>0</v>
      </c>
      <c r="F53" s="15" t="s">
        <v>0</v>
      </c>
      <c r="G53" s="15" t="s">
        <v>0</v>
      </c>
      <c r="H53" s="15" t="s">
        <v>0</v>
      </c>
      <c r="I53" s="15" t="s">
        <v>0</v>
      </c>
      <c r="J53" s="15" t="s">
        <v>0</v>
      </c>
      <c r="K53" s="15" t="s">
        <v>0</v>
      </c>
      <c r="L53" s="15" t="s">
        <v>0</v>
      </c>
      <c r="M53" s="15" t="s">
        <v>0</v>
      </c>
      <c r="N53" s="15" t="s">
        <v>0</v>
      </c>
      <c r="O53" s="15" t="s">
        <v>0</v>
      </c>
      <c r="P53" s="15" t="s">
        <v>0</v>
      </c>
      <c r="Q53" s="15" t="s">
        <v>0</v>
      </c>
      <c r="R53" s="15" t="s">
        <v>0</v>
      </c>
      <c r="S53" s="15" t="s">
        <v>0</v>
      </c>
      <c r="T53" s="15" t="s">
        <v>0</v>
      </c>
      <c r="U53" s="15" t="s">
        <v>0</v>
      </c>
      <c r="V53" s="15" t="s">
        <v>0</v>
      </c>
    </row>
    <row r="54" ht="14.25" customHeight="1" spans="1:22" x14ac:dyDescent="0.25">
      <c r="A54" t="s">
        <v>0</v>
      </c>
      <c r="B54" t="s">
        <v>0</v>
      </c>
      <c r="C54" s="18" t="s">
        <v>30</v>
      </c>
      <c r="D54" s="14" t="s">
        <v>0</v>
      </c>
      <c r="E54" s="19">
        <f>+$E$11</f>
        <v>1</v>
      </c>
      <c r="F54" s="15" t="s">
        <v>0</v>
      </c>
      <c r="G54" s="15" t="s">
        <v>0</v>
      </c>
      <c r="H54" s="15" t="s">
        <v>0</v>
      </c>
      <c r="I54" s="15" t="s">
        <v>0</v>
      </c>
      <c r="J54" s="15" t="s">
        <v>0</v>
      </c>
      <c r="K54" s="15" t="s">
        <v>0</v>
      </c>
      <c r="L54" s="15" t="s">
        <v>0</v>
      </c>
      <c r="M54" s="20">
        <f>+CHOOSE($E54,M55,M56,M57)</f>
        <v>0.25</v>
      </c>
      <c r="N54" s="20">
        <f>+CHOOSE($E54,N55,N56,N57)</f>
        <v>0.25</v>
      </c>
      <c r="O54" s="20">
        <f>+CHOOSE($E55,O55,O56,O57)</f>
        <v>0.25</v>
      </c>
      <c r="P54" s="20">
        <f>+CHOOSE($E56,P55,P56,P57)</f>
        <v>0.25</v>
      </c>
      <c r="Q54" s="20">
        <f>+CHOOSE($E57,Q55,Q56,Q57)</f>
        <v>0.25</v>
      </c>
      <c r="R54" s="20">
        <f>+CHOOSE($E58,R55,R56,R57)</f>
        <v>0.25</v>
      </c>
      <c r="S54" s="20">
        <f>+CHOOSE($E59,S55,S56,S57)</f>
        <v>0.25</v>
      </c>
      <c r="T54" s="20">
        <f>+CHOOSE($E60,T55,T56,T57)</f>
        <v>0.25</v>
      </c>
      <c r="U54" s="20">
        <f>+CHOOSE($E61,U55,U56,U57)</f>
        <v>0.25</v>
      </c>
      <c r="V54" s="20">
        <f>+CHOOSE($E62,V55,V56,V57)</f>
        <v>0.25</v>
      </c>
    </row>
    <row r="55" ht="14.25" customHeight="1" spans="1:22" x14ac:dyDescent="0.25">
      <c r="A55" t="s">
        <v>0</v>
      </c>
      <c r="B55" t="s">
        <v>0</v>
      </c>
      <c r="C55" s="18" t="s">
        <v>16</v>
      </c>
      <c r="D55" s="14" t="s">
        <v>0</v>
      </c>
      <c r="E55" s="14" t="s">
        <v>0</v>
      </c>
      <c r="F55" s="15" t="s">
        <v>0</v>
      </c>
      <c r="G55" s="15" t="s">
        <v>0</v>
      </c>
      <c r="H55" s="15" t="s">
        <v>0</v>
      </c>
      <c r="I55" s="15" t="s">
        <v>0</v>
      </c>
      <c r="J55" s="15" t="s">
        <v>0</v>
      </c>
      <c r="K55" s="15" t="s">
        <v>0</v>
      </c>
      <c r="L55" s="15" t="s">
        <v>0</v>
      </c>
      <c r="M55" s="21">
        <v>0.25</v>
      </c>
      <c r="N55" s="21">
        <v>0.25</v>
      </c>
      <c r="O55" s="21">
        <v>0.25</v>
      </c>
      <c r="P55" s="21">
        <v>0.25</v>
      </c>
      <c r="Q55" s="21">
        <v>0.25</v>
      </c>
      <c r="R55" s="21">
        <v>0.25</v>
      </c>
      <c r="S55" s="21">
        <v>0.25</v>
      </c>
      <c r="T55" s="21">
        <v>0.25</v>
      </c>
      <c r="U55" s="21">
        <v>0.25</v>
      </c>
      <c r="V55" s="21">
        <v>0.25</v>
      </c>
    </row>
    <row r="56" ht="14.25" customHeight="1" spans="1:22" x14ac:dyDescent="0.25">
      <c r="A56" t="s">
        <v>0</v>
      </c>
      <c r="B56" t="s">
        <v>0</v>
      </c>
      <c r="C56" s="18" t="s">
        <v>21</v>
      </c>
      <c r="D56" s="14" t="s">
        <v>0</v>
      </c>
      <c r="E56" s="14" t="s">
        <v>0</v>
      </c>
      <c r="F56" s="15" t="s">
        <v>0</v>
      </c>
      <c r="G56" s="15" t="s">
        <v>0</v>
      </c>
      <c r="H56" s="15" t="s">
        <v>0</v>
      </c>
      <c r="I56" s="15" t="s">
        <v>0</v>
      </c>
      <c r="J56" s="15" t="s">
        <v>0</v>
      </c>
      <c r="K56" s="15" t="s">
        <v>0</v>
      </c>
      <c r="L56" s="15" t="s">
        <v>0</v>
      </c>
      <c r="M56" s="21">
        <v>0.28</v>
      </c>
      <c r="N56" s="21">
        <v>0.28</v>
      </c>
      <c r="O56" s="21">
        <v>0.28</v>
      </c>
      <c r="P56" s="21">
        <v>0.28</v>
      </c>
      <c r="Q56" s="21">
        <v>0.28</v>
      </c>
      <c r="R56" s="21">
        <v>0.28</v>
      </c>
      <c r="S56" s="21">
        <v>0.28</v>
      </c>
      <c r="T56" s="21">
        <v>0.28</v>
      </c>
      <c r="U56" s="21">
        <v>0.28</v>
      </c>
      <c r="V56" s="21">
        <v>0.28</v>
      </c>
    </row>
    <row r="57" ht="14.25" customHeight="1" spans="1:22" x14ac:dyDescent="0.25">
      <c r="A57" t="s">
        <v>0</v>
      </c>
      <c r="B57" t="s">
        <v>0</v>
      </c>
      <c r="C57" s="18" t="s">
        <v>22</v>
      </c>
      <c r="D57" s="14" t="s">
        <v>0</v>
      </c>
      <c r="E57" s="14" t="s">
        <v>0</v>
      </c>
      <c r="F57" s="15" t="s">
        <v>0</v>
      </c>
      <c r="G57" s="15" t="s">
        <v>0</v>
      </c>
      <c r="H57" s="15" t="s">
        <v>0</v>
      </c>
      <c r="I57" s="15" t="s">
        <v>0</v>
      </c>
      <c r="J57" s="15" t="s">
        <v>0</v>
      </c>
      <c r="K57" s="15" t="s">
        <v>0</v>
      </c>
      <c r="L57" s="15" t="s">
        <v>0</v>
      </c>
      <c r="M57" s="21">
        <v>0.25</v>
      </c>
      <c r="N57" s="21">
        <v>0.3</v>
      </c>
      <c r="O57" s="21">
        <v>0.3</v>
      </c>
      <c r="P57" s="21">
        <v>0.3</v>
      </c>
      <c r="Q57" s="21">
        <v>0.3</v>
      </c>
      <c r="R57" s="21">
        <v>0.3</v>
      </c>
      <c r="S57" s="21">
        <v>0.3</v>
      </c>
      <c r="T57" s="21">
        <v>0.3</v>
      </c>
      <c r="U57" s="21">
        <v>0.3</v>
      </c>
      <c r="V57" s="21">
        <v>0.3</v>
      </c>
    </row>
    <row r="58" ht="14.25" customHeight="1" spans="1:22" x14ac:dyDescent="0.25">
      <c r="A58" t="s">
        <v>0</v>
      </c>
      <c r="B58" t="s">
        <v>0</v>
      </c>
      <c r="C58" s="15" t="s">
        <v>0</v>
      </c>
      <c r="D58" s="14" t="s">
        <v>0</v>
      </c>
      <c r="E58" s="14" t="s">
        <v>0</v>
      </c>
      <c r="F58" s="15" t="s">
        <v>0</v>
      </c>
      <c r="G58" s="15" t="s">
        <v>0</v>
      </c>
      <c r="H58" s="15" t="s">
        <v>0</v>
      </c>
      <c r="I58" s="15" t="s">
        <v>0</v>
      </c>
      <c r="J58" s="15" t="s">
        <v>0</v>
      </c>
      <c r="K58" s="15" t="s">
        <v>0</v>
      </c>
      <c r="L58" s="15" t="s">
        <v>0</v>
      </c>
      <c r="M58" s="15" t="s">
        <v>0</v>
      </c>
      <c r="N58" s="15" t="s">
        <v>0</v>
      </c>
      <c r="O58" s="15" t="s">
        <v>0</v>
      </c>
      <c r="P58" s="15" t="s">
        <v>0</v>
      </c>
      <c r="Q58" s="15" t="s">
        <v>0</v>
      </c>
      <c r="R58" s="15" t="s">
        <v>0</v>
      </c>
      <c r="S58" s="15" t="s">
        <v>0</v>
      </c>
      <c r="T58" s="15" t="s">
        <v>0</v>
      </c>
      <c r="U58" s="15" t="s">
        <v>0</v>
      </c>
      <c r="V58" s="15" t="s">
        <v>0</v>
      </c>
    </row>
    <row r="59" ht="14.25" customHeight="1" spans="1:22" x14ac:dyDescent="0.25">
      <c r="A59" t="s">
        <v>0</v>
      </c>
      <c r="B59" t="s">
        <v>0</v>
      </c>
      <c r="C59" s="13" t="s">
        <v>31</v>
      </c>
      <c r="D59" s="14" t="s">
        <v>0</v>
      </c>
      <c r="E59" s="14" t="s">
        <v>0</v>
      </c>
      <c r="F59" s="15" t="s">
        <v>0</v>
      </c>
      <c r="G59" s="15" t="s">
        <v>0</v>
      </c>
      <c r="H59" s="15" t="s">
        <v>0</v>
      </c>
      <c r="I59" s="15" t="s">
        <v>0</v>
      </c>
      <c r="J59" s="15" t="s">
        <v>0</v>
      </c>
      <c r="K59" s="15" t="s">
        <v>0</v>
      </c>
      <c r="L59" s="15" t="s">
        <v>0</v>
      </c>
      <c r="M59" s="15" t="s">
        <v>0</v>
      </c>
      <c r="N59" s="15" t="s">
        <v>0</v>
      </c>
      <c r="O59" s="15" t="s">
        <v>0</v>
      </c>
      <c r="P59" s="15" t="s">
        <v>0</v>
      </c>
      <c r="Q59" s="15" t="s">
        <v>0</v>
      </c>
      <c r="R59" s="15" t="s">
        <v>0</v>
      </c>
      <c r="S59" s="15" t="s">
        <v>0</v>
      </c>
      <c r="T59" s="15" t="s">
        <v>0</v>
      </c>
      <c r="U59" s="15" t="s">
        <v>0</v>
      </c>
      <c r="V59" s="15" t="s">
        <v>0</v>
      </c>
    </row>
    <row r="60" ht="14.25" customHeight="1" spans="1:22" x14ac:dyDescent="0.25">
      <c r="A60" t="s">
        <v>0</v>
      </c>
      <c r="B60" t="s">
        <v>0</v>
      </c>
      <c r="C60" s="18" t="s">
        <v>32</v>
      </c>
      <c r="D60" s="14" t="s">
        <v>0</v>
      </c>
      <c r="E60" s="19">
        <f>+$E$11</f>
        <v>1</v>
      </c>
      <c r="F60" s="15" t="s">
        <v>0</v>
      </c>
      <c r="G60" s="15" t="s">
        <v>0</v>
      </c>
      <c r="H60" s="15" t="s">
        <v>0</v>
      </c>
      <c r="I60" s="15" t="s">
        <v>0</v>
      </c>
      <c r="J60" s="15" t="s">
        <v>0</v>
      </c>
      <c r="K60" s="20">
        <v>0.02</v>
      </c>
      <c r="L60" s="15" t="s">
        <v>0</v>
      </c>
      <c r="M60" s="20">
        <f>+CHOOSE($E60,M61,M62,M63)</f>
        <v>0.05</v>
      </c>
      <c r="N60" s="20">
        <f>+CHOOSE($E61,N61,N62,N63)</f>
        <v>0.05</v>
      </c>
      <c r="O60" s="20">
        <f>+CHOOSE($E62,O61,O62,O63)</f>
        <v>0.05</v>
      </c>
      <c r="P60" s="20">
        <f>+CHOOSE($E63,P61,P62,P63)</f>
        <v>0.05</v>
      </c>
      <c r="Q60" s="20">
        <f>+CHOOSE($E64,Q61,Q62,Q63)</f>
        <v>0.05</v>
      </c>
      <c r="R60" s="20">
        <f>+CHOOSE($E65,R61,R62,R63)</f>
        <v>0.05</v>
      </c>
      <c r="S60" s="20">
        <f>+CHOOSE($E66,S61,S62,S63)</f>
        <v>0.05</v>
      </c>
      <c r="T60" s="20">
        <f>+CHOOSE($E67,T61,T62,T63)</f>
        <v>0.05</v>
      </c>
      <c r="U60" s="20">
        <f>+CHOOSE($E68,U61,U62,U63)</f>
        <v>0.05</v>
      </c>
      <c r="V60" s="20">
        <f>+CHOOSE($E69,V61,V62,V63)</f>
        <v>0.05</v>
      </c>
    </row>
    <row r="61" ht="14.25" customHeight="1" spans="1:22" x14ac:dyDescent="0.25">
      <c r="A61" t="s">
        <v>0</v>
      </c>
      <c r="B61" t="s">
        <v>0</v>
      </c>
      <c r="C61" s="18" t="s">
        <v>16</v>
      </c>
      <c r="D61" s="14" t="s">
        <v>0</v>
      </c>
      <c r="E61" s="14" t="s">
        <v>0</v>
      </c>
      <c r="F61" s="15" t="s">
        <v>0</v>
      </c>
      <c r="G61" s="15" t="s">
        <v>0</v>
      </c>
      <c r="H61" s="15" t="s">
        <v>0</v>
      </c>
      <c r="I61" s="15" t="s">
        <v>0</v>
      </c>
      <c r="J61" s="15" t="s">
        <v>0</v>
      </c>
      <c r="K61" s="21">
        <v>0.05</v>
      </c>
      <c r="L61" s="15" t="s">
        <v>0</v>
      </c>
      <c r="M61" s="21">
        <v>0.05</v>
      </c>
      <c r="N61" s="21">
        <v>0.05</v>
      </c>
      <c r="O61" s="21">
        <v>0.05</v>
      </c>
      <c r="P61" s="21">
        <v>0.05</v>
      </c>
      <c r="Q61" s="21">
        <v>0.05</v>
      </c>
      <c r="R61" s="21">
        <v>0.05</v>
      </c>
      <c r="S61" s="21">
        <v>0.05</v>
      </c>
      <c r="T61" s="21">
        <v>0.05</v>
      </c>
      <c r="U61" s="21">
        <v>0.05</v>
      </c>
      <c r="V61" s="21">
        <v>0.05</v>
      </c>
    </row>
    <row r="62" ht="14.25" customHeight="1" spans="1:22" x14ac:dyDescent="0.25">
      <c r="A62" t="s">
        <v>0</v>
      </c>
      <c r="B62" t="s">
        <v>0</v>
      </c>
      <c r="C62" s="18" t="s">
        <v>21</v>
      </c>
      <c r="D62" s="14" t="s">
        <v>0</v>
      </c>
      <c r="E62" s="14" t="s">
        <v>0</v>
      </c>
      <c r="F62" s="15" t="s">
        <v>0</v>
      </c>
      <c r="G62" s="15" t="s">
        <v>0</v>
      </c>
      <c r="H62" s="15" t="s">
        <v>0</v>
      </c>
      <c r="I62" s="15" t="s">
        <v>0</v>
      </c>
      <c r="J62" s="15" t="s">
        <v>0</v>
      </c>
      <c r="K62" s="21">
        <v>0.04</v>
      </c>
      <c r="L62" s="15" t="s">
        <v>0</v>
      </c>
      <c r="M62" s="21">
        <v>0.04</v>
      </c>
      <c r="N62" s="21">
        <v>0.04</v>
      </c>
      <c r="O62" s="21">
        <v>0.04</v>
      </c>
      <c r="P62" s="21">
        <v>0.04</v>
      </c>
      <c r="Q62" s="21">
        <v>0.04</v>
      </c>
      <c r="R62" s="21">
        <v>0.04</v>
      </c>
      <c r="S62" s="21">
        <v>0.04</v>
      </c>
      <c r="T62" s="21">
        <v>0.04</v>
      </c>
      <c r="U62" s="21">
        <v>0.04</v>
      </c>
      <c r="V62" s="21">
        <v>0.04</v>
      </c>
    </row>
    <row r="63" ht="14.25" customHeight="1" spans="1:22" x14ac:dyDescent="0.25">
      <c r="A63" t="s">
        <v>0</v>
      </c>
      <c r="B63" t="s">
        <v>0</v>
      </c>
      <c r="C63" s="18" t="s">
        <v>22</v>
      </c>
      <c r="D63" s="14" t="s">
        <v>0</v>
      </c>
      <c r="E63" s="14" t="s">
        <v>0</v>
      </c>
      <c r="F63" s="15" t="s">
        <v>0</v>
      </c>
      <c r="G63" s="15" t="s">
        <v>0</v>
      </c>
      <c r="H63" s="15" t="s">
        <v>0</v>
      </c>
      <c r="I63" s="15" t="s">
        <v>0</v>
      </c>
      <c r="J63" s="15" t="s">
        <v>0</v>
      </c>
      <c r="K63" s="21">
        <v>0.06</v>
      </c>
      <c r="L63" s="15" t="s">
        <v>0</v>
      </c>
      <c r="M63" s="21">
        <v>0.06</v>
      </c>
      <c r="N63" s="21">
        <v>0.06</v>
      </c>
      <c r="O63" s="21">
        <v>0.06</v>
      </c>
      <c r="P63" s="21">
        <v>0.06</v>
      </c>
      <c r="Q63" s="21">
        <v>0.06</v>
      </c>
      <c r="R63" s="21">
        <v>0.06</v>
      </c>
      <c r="S63" s="21">
        <v>0.06</v>
      </c>
      <c r="T63" s="21">
        <v>0.06</v>
      </c>
      <c r="U63" s="21">
        <v>0.06</v>
      </c>
      <c r="V63" s="21">
        <v>0.06</v>
      </c>
    </row>
    <row r="64" ht="14.25" customHeight="1" spans="1:22" x14ac:dyDescent="0.25">
      <c r="A64" t="s">
        <v>0</v>
      </c>
      <c r="B64" t="s">
        <v>0</v>
      </c>
      <c r="C64" s="15" t="s">
        <v>0</v>
      </c>
      <c r="D64" s="14" t="s">
        <v>0</v>
      </c>
      <c r="E64" s="14" t="s">
        <v>0</v>
      </c>
      <c r="F64" s="15" t="s">
        <v>0</v>
      </c>
      <c r="G64" s="15" t="s">
        <v>0</v>
      </c>
      <c r="H64" s="15" t="s">
        <v>0</v>
      </c>
      <c r="I64" s="15" t="s">
        <v>0</v>
      </c>
      <c r="J64" s="15" t="s">
        <v>0</v>
      </c>
      <c r="K64" s="15" t="s">
        <v>0</v>
      </c>
      <c r="L64" s="15" t="s">
        <v>0</v>
      </c>
      <c r="M64" s="15" t="s">
        <v>0</v>
      </c>
      <c r="N64" s="15" t="s">
        <v>0</v>
      </c>
      <c r="O64" s="15" t="s">
        <v>0</v>
      </c>
      <c r="P64" s="15" t="s">
        <v>0</v>
      </c>
      <c r="Q64" s="15" t="s">
        <v>0</v>
      </c>
      <c r="R64" s="15" t="s">
        <v>0</v>
      </c>
      <c r="S64" s="15" t="s">
        <v>0</v>
      </c>
      <c r="T64" s="15" t="s">
        <v>0</v>
      </c>
      <c r="U64" s="15" t="s">
        <v>0</v>
      </c>
      <c r="V64" s="15" t="s">
        <v>0</v>
      </c>
    </row>
    <row r="65" ht="14.25" customHeight="1" spans="1:22" x14ac:dyDescent="0.25">
      <c r="A65" t="s">
        <v>0</v>
      </c>
      <c r="B65" t="s">
        <v>0</v>
      </c>
      <c r="C65" s="18" t="s">
        <v>33</v>
      </c>
      <c r="D65" s="14" t="s">
        <v>0</v>
      </c>
      <c r="E65" s="19">
        <f>+$E$11</f>
        <v>1</v>
      </c>
      <c r="F65" s="15" t="s">
        <v>0</v>
      </c>
      <c r="G65" s="15" t="s">
        <v>0</v>
      </c>
      <c r="H65" s="15" t="s">
        <v>0</v>
      </c>
      <c r="I65" s="15" t="s">
        <v>0</v>
      </c>
      <c r="J65" s="15" t="s">
        <v>0</v>
      </c>
      <c r="K65" s="15" t="s">
        <v>0</v>
      </c>
      <c r="L65" s="15" t="s">
        <v>0</v>
      </c>
      <c r="M65" s="20">
        <f>+CHOOSE($E65,M66,M67,M68)</f>
        <v>0.5</v>
      </c>
      <c r="N65" s="20">
        <f>+CHOOSE($E65,N66,N67,N68)</f>
        <v>0.5</v>
      </c>
      <c r="O65" s="20">
        <f>+CHOOSE($E65,O66,O67,O68)</f>
        <v>0.5</v>
      </c>
      <c r="P65" s="20">
        <f>+CHOOSE($E65,P66,P67,P68)</f>
        <v>0.5</v>
      </c>
      <c r="Q65" s="20">
        <f>+CHOOSE($E65,Q66,Q67,Q68)</f>
        <v>0.5</v>
      </c>
      <c r="R65" s="20">
        <f>+CHOOSE($E65,R66,R67,R68)</f>
        <v>0.5</v>
      </c>
      <c r="S65" s="20">
        <f>+CHOOSE($E65,S66,S67,S68)</f>
        <v>0.5</v>
      </c>
      <c r="T65" s="20">
        <f>+CHOOSE($E65,T66,T67,T68)</f>
        <v>0.5</v>
      </c>
      <c r="U65" s="20">
        <f>+CHOOSE($E65,U66,U67,U68)</f>
        <v>0.5</v>
      </c>
      <c r="V65" s="20">
        <f>+CHOOSE($E65,V66,V67,V68)</f>
        <v>0.5</v>
      </c>
    </row>
    <row r="66" ht="14.25" customHeight="1" spans="1:22" x14ac:dyDescent="0.25">
      <c r="A66" t="s">
        <v>0</v>
      </c>
      <c r="B66" t="s">
        <v>0</v>
      </c>
      <c r="C66" s="18" t="s">
        <v>16</v>
      </c>
      <c r="D66" s="14" t="s">
        <v>0</v>
      </c>
      <c r="E66" s="14" t="s">
        <v>0</v>
      </c>
      <c r="F66" s="15" t="s">
        <v>0</v>
      </c>
      <c r="G66" s="15" t="s">
        <v>0</v>
      </c>
      <c r="H66" s="15" t="s">
        <v>0</v>
      </c>
      <c r="I66" s="15" t="s">
        <v>0</v>
      </c>
      <c r="J66" s="15" t="s">
        <v>0</v>
      </c>
      <c r="K66" s="15" t="s">
        <v>0</v>
      </c>
      <c r="L66" s="15" t="s">
        <v>0</v>
      </c>
      <c r="M66" s="21">
        <v>0.5</v>
      </c>
      <c r="N66" s="21">
        <v>0.5</v>
      </c>
      <c r="O66" s="21">
        <v>0.5</v>
      </c>
      <c r="P66" s="21">
        <v>0.5</v>
      </c>
      <c r="Q66" s="21">
        <v>0.5</v>
      </c>
      <c r="R66" s="21">
        <v>0.5</v>
      </c>
      <c r="S66" s="21">
        <v>0.5</v>
      </c>
      <c r="T66" s="21">
        <v>0.5</v>
      </c>
      <c r="U66" s="21">
        <v>0.5</v>
      </c>
      <c r="V66" s="21">
        <v>0.5</v>
      </c>
    </row>
    <row r="67" ht="14.25" customHeight="1" spans="1:22" x14ac:dyDescent="0.25">
      <c r="A67" t="s">
        <v>0</v>
      </c>
      <c r="B67" t="s">
        <v>0</v>
      </c>
      <c r="C67" s="18" t="s">
        <v>21</v>
      </c>
      <c r="D67" s="14" t="s">
        <v>0</v>
      </c>
      <c r="E67" s="14" t="s">
        <v>0</v>
      </c>
      <c r="F67" s="15" t="s">
        <v>0</v>
      </c>
      <c r="G67" s="15" t="s">
        <v>0</v>
      </c>
      <c r="H67" s="15" t="s">
        <v>0</v>
      </c>
      <c r="I67" s="15" t="s">
        <v>0</v>
      </c>
      <c r="J67" s="15" t="s">
        <v>0</v>
      </c>
      <c r="K67" s="15" t="s">
        <v>0</v>
      </c>
      <c r="L67" s="15" t="s">
        <v>0</v>
      </c>
      <c r="M67" s="21">
        <v>0.5</v>
      </c>
      <c r="N67" s="21">
        <v>0.5</v>
      </c>
      <c r="O67" s="21">
        <v>0.5</v>
      </c>
      <c r="P67" s="21">
        <v>0.5</v>
      </c>
      <c r="Q67" s="21">
        <v>0.5</v>
      </c>
      <c r="R67" s="21">
        <v>0.5</v>
      </c>
      <c r="S67" s="21">
        <v>0.5</v>
      </c>
      <c r="T67" s="21">
        <v>0.5</v>
      </c>
      <c r="U67" s="21">
        <v>0.5</v>
      </c>
      <c r="V67" s="21">
        <v>0.5</v>
      </c>
    </row>
    <row r="68" ht="14.25" customHeight="1" spans="1:22" x14ac:dyDescent="0.25">
      <c r="A68" t="s">
        <v>0</v>
      </c>
      <c r="B68" t="s">
        <v>0</v>
      </c>
      <c r="C68" s="18" t="s">
        <v>22</v>
      </c>
      <c r="D68" s="14" t="s">
        <v>0</v>
      </c>
      <c r="E68" s="14" t="s">
        <v>0</v>
      </c>
      <c r="F68" s="15" t="s">
        <v>0</v>
      </c>
      <c r="G68" s="15" t="s">
        <v>0</v>
      </c>
      <c r="H68" s="15" t="s">
        <v>0</v>
      </c>
      <c r="I68" s="15" t="s">
        <v>0</v>
      </c>
      <c r="J68" s="15" t="s">
        <v>0</v>
      </c>
      <c r="K68" s="15" t="s">
        <v>0</v>
      </c>
      <c r="L68" s="15" t="s">
        <v>0</v>
      </c>
      <c r="M68" s="21">
        <v>0.5</v>
      </c>
      <c r="N68" s="21">
        <v>0.5</v>
      </c>
      <c r="O68" s="21">
        <v>0.5</v>
      </c>
      <c r="P68" s="21">
        <v>0.5</v>
      </c>
      <c r="Q68" s="21">
        <v>0.5</v>
      </c>
      <c r="R68" s="21">
        <v>0.5</v>
      </c>
      <c r="S68" s="21">
        <v>0.5</v>
      </c>
      <c r="T68" s="21">
        <v>0.5</v>
      </c>
      <c r="U68" s="21">
        <v>0.5</v>
      </c>
      <c r="V68" s="21">
        <v>0.5</v>
      </c>
    </row>
    <row r="69" ht="14.25" customHeight="1" spans="1:22" x14ac:dyDescent="0.25">
      <c r="A69" t="s">
        <v>0</v>
      </c>
      <c r="B69" t="s">
        <v>0</v>
      </c>
      <c r="C69" s="15" t="s">
        <v>0</v>
      </c>
      <c r="D69" s="14" t="s">
        <v>0</v>
      </c>
      <c r="E69" s="14" t="s">
        <v>0</v>
      </c>
      <c r="F69" s="15" t="s">
        <v>0</v>
      </c>
      <c r="G69" s="15" t="s">
        <v>0</v>
      </c>
      <c r="H69" s="15" t="s">
        <v>0</v>
      </c>
      <c r="I69" s="15" t="s">
        <v>0</v>
      </c>
      <c r="J69" s="15" t="s">
        <v>0</v>
      </c>
      <c r="K69" s="15" t="s">
        <v>0</v>
      </c>
      <c r="L69" s="15" t="s">
        <v>0</v>
      </c>
      <c r="M69" s="15" t="s">
        <v>0</v>
      </c>
      <c r="N69" s="15" t="s">
        <v>0</v>
      </c>
      <c r="O69" s="15" t="s">
        <v>0</v>
      </c>
      <c r="P69" s="15" t="s">
        <v>0</v>
      </c>
      <c r="Q69" s="15" t="s">
        <v>0</v>
      </c>
      <c r="R69" s="15" t="s">
        <v>0</v>
      </c>
      <c r="S69" s="15" t="s">
        <v>0</v>
      </c>
      <c r="T69" s="15" t="s">
        <v>0</v>
      </c>
      <c r="U69" s="15" t="s">
        <v>0</v>
      </c>
      <c r="V69" s="15" t="s">
        <v>0</v>
      </c>
    </row>
    <row r="70" ht="14.25" customHeight="1" spans="1:22" x14ac:dyDescent="0.25">
      <c r="A70" t="s">
        <v>0</v>
      </c>
      <c r="B70" t="s">
        <v>0</v>
      </c>
      <c r="C70" s="13" t="s">
        <v>34</v>
      </c>
      <c r="D70" s="14" t="s">
        <v>0</v>
      </c>
      <c r="E70" s="14" t="s">
        <v>0</v>
      </c>
      <c r="F70" s="15" t="s">
        <v>0</v>
      </c>
      <c r="G70" s="15" t="s">
        <v>0</v>
      </c>
      <c r="H70" s="15" t="s">
        <v>0</v>
      </c>
      <c r="I70" s="15" t="s">
        <v>0</v>
      </c>
      <c r="J70" s="15" t="s">
        <v>0</v>
      </c>
      <c r="K70" s="15" t="s">
        <v>0</v>
      </c>
      <c r="L70" s="15" t="s">
        <v>0</v>
      </c>
      <c r="M70" s="15" t="s">
        <v>0</v>
      </c>
      <c r="N70" s="15" t="s">
        <v>0</v>
      </c>
      <c r="O70" s="15" t="s">
        <v>0</v>
      </c>
      <c r="P70" s="15" t="s">
        <v>0</v>
      </c>
      <c r="Q70" s="15" t="s">
        <v>0</v>
      </c>
      <c r="R70" s="15" t="s">
        <v>0</v>
      </c>
      <c r="S70" s="15" t="s">
        <v>0</v>
      </c>
      <c r="T70" s="15" t="s">
        <v>0</v>
      </c>
      <c r="U70" s="15" t="s">
        <v>0</v>
      </c>
      <c r="V70" s="15" t="s">
        <v>0</v>
      </c>
    </row>
    <row r="71" ht="14.25" customHeight="1" spans="1:22" x14ac:dyDescent="0.25">
      <c r="A71" t="s">
        <v>0</v>
      </c>
      <c r="B71" t="s">
        <v>0</v>
      </c>
      <c r="C71" s="18" t="s">
        <v>35</v>
      </c>
      <c r="D71" s="14" t="s">
        <v>0</v>
      </c>
      <c r="E71" s="14" t="s">
        <v>0</v>
      </c>
      <c r="F71" s="15" t="s">
        <v>0</v>
      </c>
      <c r="G71" s="15" t="s">
        <v>0</v>
      </c>
      <c r="H71" s="15" t="s">
        <v>0</v>
      </c>
      <c r="I71" s="15" t="s">
        <v>0</v>
      </c>
      <c r="J71" s="15" t="s">
        <v>0</v>
      </c>
      <c r="K71" s="21">
        <v>0.2</v>
      </c>
      <c r="L71" s="15" t="s">
        <v>0</v>
      </c>
      <c r="M71" s="21">
        <v>0.2</v>
      </c>
      <c r="N71" s="21">
        <v>0.2</v>
      </c>
      <c r="O71" s="21">
        <v>0.2</v>
      </c>
      <c r="P71" s="21">
        <v>0.2</v>
      </c>
      <c r="Q71" s="21">
        <v>0.2</v>
      </c>
      <c r="R71" s="21">
        <v>0.2</v>
      </c>
      <c r="S71" s="21">
        <v>0.2</v>
      </c>
      <c r="T71" s="21">
        <v>0.2</v>
      </c>
      <c r="U71" s="21">
        <v>0.2</v>
      </c>
      <c r="V71" s="21">
        <v>0.2</v>
      </c>
    </row>
    <row r="72" ht="14.25" customHeight="1" spans="1:22" x14ac:dyDescent="0.25">
      <c r="A72" t="s">
        <v>0</v>
      </c>
      <c r="B72" t="s">
        <v>0</v>
      </c>
      <c r="C72" s="15" t="s">
        <v>0</v>
      </c>
      <c r="D72" s="14" t="s">
        <v>0</v>
      </c>
      <c r="E72" s="14" t="s">
        <v>0</v>
      </c>
      <c r="F72" s="15" t="s">
        <v>0</v>
      </c>
      <c r="G72" s="15" t="s">
        <v>0</v>
      </c>
      <c r="H72" s="15" t="s">
        <v>0</v>
      </c>
      <c r="I72" s="15" t="s">
        <v>0</v>
      </c>
      <c r="J72" s="15" t="s">
        <v>0</v>
      </c>
      <c r="K72" s="15" t="s">
        <v>0</v>
      </c>
      <c r="L72" s="15" t="s">
        <v>0</v>
      </c>
      <c r="M72" s="15" t="s">
        <v>0</v>
      </c>
      <c r="N72" s="15" t="s">
        <v>0</v>
      </c>
      <c r="O72" s="15" t="s">
        <v>0</v>
      </c>
      <c r="P72" s="15" t="s">
        <v>0</v>
      </c>
      <c r="Q72" s="15" t="s">
        <v>0</v>
      </c>
      <c r="R72" s="15" t="s">
        <v>0</v>
      </c>
      <c r="S72" s="15" t="s">
        <v>0</v>
      </c>
      <c r="T72" s="15" t="s">
        <v>0</v>
      </c>
      <c r="U72" s="15" t="s">
        <v>0</v>
      </c>
      <c r="V72" s="15" t="s">
        <v>0</v>
      </c>
    </row>
    <row r="73" ht="14.25" customHeight="1" spans="1:22" x14ac:dyDescent="0.25">
      <c r="A73" t="s">
        <v>0</v>
      </c>
      <c r="B73" t="s">
        <v>0</v>
      </c>
      <c r="C73" s="13" t="s">
        <v>36</v>
      </c>
      <c r="D73" s="14" t="s">
        <v>0</v>
      </c>
      <c r="E73" s="14" t="s">
        <v>0</v>
      </c>
      <c r="F73" s="15" t="s">
        <v>0</v>
      </c>
      <c r="G73" s="15" t="s">
        <v>0</v>
      </c>
      <c r="H73" s="15" t="s">
        <v>0</v>
      </c>
      <c r="I73" s="15" t="s">
        <v>0</v>
      </c>
      <c r="J73" s="15" t="s">
        <v>0</v>
      </c>
      <c r="K73" s="15" t="s">
        <v>0</v>
      </c>
      <c r="L73" s="15" t="s">
        <v>0</v>
      </c>
      <c r="M73" s="15" t="s">
        <v>0</v>
      </c>
      <c r="N73" s="15" t="s">
        <v>0</v>
      </c>
      <c r="O73" s="15" t="s">
        <v>0</v>
      </c>
      <c r="P73" s="15" t="s">
        <v>0</v>
      </c>
      <c r="Q73" s="15" t="s">
        <v>0</v>
      </c>
      <c r="R73" s="15" t="s">
        <v>0</v>
      </c>
      <c r="S73" s="15" t="s">
        <v>0</v>
      </c>
      <c r="T73" s="15" t="s">
        <v>0</v>
      </c>
      <c r="U73" s="15" t="s">
        <v>0</v>
      </c>
      <c r="V73" s="15" t="s">
        <v>0</v>
      </c>
    </row>
    <row r="74" ht="14.25" customHeight="1" spans="1:22" x14ac:dyDescent="0.25">
      <c r="A74" t="s">
        <v>0</v>
      </c>
      <c r="B74" t="s">
        <v>0</v>
      </c>
      <c r="C74" s="18" t="s">
        <v>37</v>
      </c>
      <c r="D74" s="14" t="s">
        <v>0</v>
      </c>
      <c r="E74" s="19">
        <f>+$E$11</f>
        <v>1</v>
      </c>
      <c r="F74" s="15" t="s">
        <v>0</v>
      </c>
      <c r="G74" s="15" t="s">
        <v>0</v>
      </c>
      <c r="H74" s="15" t="s">
        <v>0</v>
      </c>
      <c r="I74" s="15" t="s">
        <v>0</v>
      </c>
      <c r="J74" s="15" t="s">
        <v>0</v>
      </c>
      <c r="K74" s="15" t="s">
        <v>0</v>
      </c>
      <c r="L74" s="15" t="s">
        <v>0</v>
      </c>
      <c r="M74" s="22">
        <f>+CHOOSE($E74,M75,M76,M77)</f>
        <v>0</v>
      </c>
      <c r="N74" s="22">
        <f>+CHOOSE($E74,N75,N76,N77)</f>
        <v>0</v>
      </c>
      <c r="O74" s="22">
        <f>+CHOOSE($E75,O75,O76,O77)</f>
        <v>0</v>
      </c>
      <c r="P74" s="22">
        <f>+CHOOSE($E76,P75,P76,P77)</f>
        <v>0</v>
      </c>
      <c r="Q74" s="22">
        <f>+CHOOSE($E77,Q75,Q76,Q77)</f>
        <v>0</v>
      </c>
      <c r="R74" s="22">
        <f>+CHOOSE($E78,R75,R76,R77)</f>
        <v>0</v>
      </c>
      <c r="S74" s="22">
        <f>+CHOOSE($E79,S75,S76,S77)</f>
        <v>0</v>
      </c>
      <c r="T74" s="22">
        <f>+CHOOSE($E80,T75,T76,T77)</f>
        <v>0</v>
      </c>
      <c r="U74" s="22">
        <f>+CHOOSE($E81,U75,U76,U77)</f>
        <v>0</v>
      </c>
      <c r="V74" s="22">
        <f>+CHOOSE($E82,V75,V76,V77)</f>
        <v>0</v>
      </c>
    </row>
    <row r="75" ht="14.25" customHeight="1" spans="1:22" x14ac:dyDescent="0.25">
      <c r="A75" t="s">
        <v>0</v>
      </c>
      <c r="B75" t="s">
        <v>0</v>
      </c>
      <c r="C75" s="18" t="s">
        <v>16</v>
      </c>
      <c r="D75" s="14" t="s">
        <v>0</v>
      </c>
      <c r="E75" s="14" t="s">
        <v>0</v>
      </c>
      <c r="F75" s="15" t="s">
        <v>0</v>
      </c>
      <c r="G75" s="15" t="s">
        <v>0</v>
      </c>
      <c r="H75" s="15" t="s">
        <v>0</v>
      </c>
      <c r="I75" s="15" t="s">
        <v>0</v>
      </c>
      <c r="J75" s="15" t="s">
        <v>0</v>
      </c>
      <c r="K75" s="15" t="s">
        <v>0</v>
      </c>
      <c r="L75" s="15" t="s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</row>
    <row r="76" ht="14.25" customHeight="1" spans="1:22" x14ac:dyDescent="0.25">
      <c r="A76" t="s">
        <v>0</v>
      </c>
      <c r="B76" t="s">
        <v>0</v>
      </c>
      <c r="C76" s="18" t="s">
        <v>21</v>
      </c>
      <c r="D76" s="14" t="s">
        <v>0</v>
      </c>
      <c r="E76" s="14" t="s">
        <v>0</v>
      </c>
      <c r="F76" s="15" t="s">
        <v>0</v>
      </c>
      <c r="G76" s="15" t="s">
        <v>0</v>
      </c>
      <c r="H76" s="15" t="s">
        <v>0</v>
      </c>
      <c r="I76" s="15" t="s">
        <v>0</v>
      </c>
      <c r="J76" s="15" t="s">
        <v>0</v>
      </c>
      <c r="K76" s="15" t="s">
        <v>0</v>
      </c>
      <c r="L76" s="15" t="s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</row>
    <row r="77" ht="14.25" customHeight="1" spans="1:22" x14ac:dyDescent="0.25">
      <c r="A77" t="s">
        <v>0</v>
      </c>
      <c r="B77" t="s">
        <v>0</v>
      </c>
      <c r="C77" s="18" t="s">
        <v>22</v>
      </c>
      <c r="D77" s="14" t="s">
        <v>0</v>
      </c>
      <c r="E77" s="14" t="s">
        <v>0</v>
      </c>
      <c r="F77" s="15" t="s">
        <v>0</v>
      </c>
      <c r="G77" s="15" t="s">
        <v>0</v>
      </c>
      <c r="H77" s="15" t="s">
        <v>0</v>
      </c>
      <c r="I77" s="15" t="s">
        <v>0</v>
      </c>
      <c r="J77" s="15" t="s">
        <v>0</v>
      </c>
      <c r="K77" s="15" t="s">
        <v>0</v>
      </c>
      <c r="L77" s="15" t="s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</row>
    <row r="78" ht="14.25" customHeight="1" spans="1:22" x14ac:dyDescent="0.25">
      <c r="A78" t="s">
        <v>0</v>
      </c>
      <c r="B78" t="s">
        <v>0</v>
      </c>
      <c r="C78" s="15" t="s">
        <v>0</v>
      </c>
      <c r="D78" s="14" t="s">
        <v>0</v>
      </c>
      <c r="E78" s="14" t="s">
        <v>0</v>
      </c>
      <c r="F78" s="15" t="s">
        <v>0</v>
      </c>
      <c r="G78" s="15" t="s">
        <v>0</v>
      </c>
      <c r="H78" s="15" t="s">
        <v>0</v>
      </c>
      <c r="I78" s="15" t="s">
        <v>0</v>
      </c>
      <c r="J78" s="15" t="s">
        <v>0</v>
      </c>
      <c r="K78" s="15" t="s">
        <v>0</v>
      </c>
      <c r="L78" s="15" t="s">
        <v>0</v>
      </c>
      <c r="M78" s="15" t="s">
        <v>0</v>
      </c>
      <c r="N78" s="15" t="s">
        <v>0</v>
      </c>
      <c r="O78" s="15" t="s">
        <v>0</v>
      </c>
      <c r="P78" s="15" t="s">
        <v>0</v>
      </c>
      <c r="Q78" s="15" t="s">
        <v>0</v>
      </c>
      <c r="R78" s="15" t="s">
        <v>0</v>
      </c>
      <c r="S78" s="15" t="s">
        <v>0</v>
      </c>
      <c r="T78" s="15" t="s">
        <v>0</v>
      </c>
      <c r="U78" s="15" t="s">
        <v>0</v>
      </c>
      <c r="V78" s="15" t="s">
        <v>0</v>
      </c>
    </row>
    <row r="79" ht="14.25" customHeight="1" spans="1:22" x14ac:dyDescent="0.25">
      <c r="A79" t="s">
        <v>0</v>
      </c>
      <c r="B79" t="s">
        <v>0</v>
      </c>
      <c r="C79" s="13" t="s">
        <v>38</v>
      </c>
      <c r="D79" s="14" t="s">
        <v>0</v>
      </c>
      <c r="E79" s="14" t="s">
        <v>0</v>
      </c>
      <c r="F79" s="15" t="s">
        <v>0</v>
      </c>
      <c r="G79" s="15" t="s">
        <v>0</v>
      </c>
      <c r="H79" s="15" t="s">
        <v>0</v>
      </c>
      <c r="I79" s="15" t="s">
        <v>0</v>
      </c>
      <c r="J79" s="15" t="s">
        <v>0</v>
      </c>
      <c r="K79" s="15" t="s">
        <v>0</v>
      </c>
      <c r="L79" s="15" t="s">
        <v>0</v>
      </c>
      <c r="M79" s="15" t="s">
        <v>0</v>
      </c>
      <c r="N79" s="15" t="s">
        <v>0</v>
      </c>
      <c r="O79" s="15" t="s">
        <v>0</v>
      </c>
      <c r="P79" s="15" t="s">
        <v>0</v>
      </c>
      <c r="Q79" s="15" t="s">
        <v>0</v>
      </c>
      <c r="R79" s="15" t="s">
        <v>0</v>
      </c>
      <c r="S79" s="15" t="s">
        <v>0</v>
      </c>
      <c r="T79" s="15" t="s">
        <v>0</v>
      </c>
      <c r="U79" s="15" t="s">
        <v>0</v>
      </c>
      <c r="V79" s="15" t="s">
        <v>0</v>
      </c>
    </row>
    <row r="80" ht="14.25" customHeight="1" spans="1:22" x14ac:dyDescent="0.25">
      <c r="A80" t="s">
        <v>0</v>
      </c>
      <c r="B80" t="s">
        <v>0</v>
      </c>
      <c r="C80" s="18" t="s">
        <v>39</v>
      </c>
      <c r="D80" s="14" t="s">
        <v>0</v>
      </c>
      <c r="E80" s="19">
        <f>+$E$11</f>
        <v>1</v>
      </c>
      <c r="F80" s="15" t="s">
        <v>0</v>
      </c>
      <c r="G80" s="15" t="s">
        <v>0</v>
      </c>
      <c r="H80" s="15" t="s">
        <v>0</v>
      </c>
      <c r="I80" s="15" t="s">
        <v>0</v>
      </c>
      <c r="J80" s="15" t="s">
        <v>0</v>
      </c>
      <c r="K80" s="24">
        <f>+CHOOSE($E80,K81,K82,K83)</f>
        <v>5</v>
      </c>
      <c r="L80" s="15" t="s">
        <v>0</v>
      </c>
      <c r="M80" s="15" t="s">
        <v>0</v>
      </c>
      <c r="N80" s="15" t="s">
        <v>0</v>
      </c>
      <c r="O80" s="15" t="s">
        <v>0</v>
      </c>
      <c r="P80" s="15" t="s">
        <v>0</v>
      </c>
      <c r="Q80" s="15" t="s">
        <v>0</v>
      </c>
      <c r="R80" s="15" t="s">
        <v>0</v>
      </c>
      <c r="S80" s="15" t="s">
        <v>0</v>
      </c>
      <c r="T80" s="15" t="s">
        <v>0</v>
      </c>
      <c r="U80" s="15" t="s">
        <v>0</v>
      </c>
      <c r="V80" s="15" t="s">
        <v>0</v>
      </c>
    </row>
    <row r="81" ht="14.25" customHeight="1" spans="1:22" x14ac:dyDescent="0.25">
      <c r="A81" t="s">
        <v>0</v>
      </c>
      <c r="B81" t="s">
        <v>0</v>
      </c>
      <c r="C81" s="18" t="s">
        <v>16</v>
      </c>
      <c r="D81" s="14" t="s">
        <v>0</v>
      </c>
      <c r="E81" s="14" t="s">
        <v>0</v>
      </c>
      <c r="F81" s="15" t="s">
        <v>0</v>
      </c>
      <c r="G81" s="15" t="s">
        <v>0</v>
      </c>
      <c r="H81" s="15" t="s">
        <v>0</v>
      </c>
      <c r="I81" s="15" t="s">
        <v>0</v>
      </c>
      <c r="J81" s="15" t="s">
        <v>0</v>
      </c>
      <c r="K81" s="25">
        <v>5</v>
      </c>
      <c r="L81" s="15" t="s">
        <v>0</v>
      </c>
      <c r="M81" s="15" t="s">
        <v>0</v>
      </c>
      <c r="N81" s="15" t="s">
        <v>0</v>
      </c>
      <c r="O81" s="15" t="s">
        <v>0</v>
      </c>
      <c r="P81" s="15" t="s">
        <v>0</v>
      </c>
      <c r="Q81" s="15" t="s">
        <v>0</v>
      </c>
      <c r="R81" s="15" t="s">
        <v>0</v>
      </c>
      <c r="S81" s="15" t="s">
        <v>0</v>
      </c>
      <c r="T81" s="15" t="s">
        <v>0</v>
      </c>
      <c r="U81" s="15" t="s">
        <v>0</v>
      </c>
      <c r="V81" s="15" t="s">
        <v>0</v>
      </c>
    </row>
    <row r="82" ht="14.25" customHeight="1" spans="1:22" x14ac:dyDescent="0.25">
      <c r="A82" t="s">
        <v>0</v>
      </c>
      <c r="B82" t="s">
        <v>0</v>
      </c>
      <c r="C82" s="18" t="s">
        <v>21</v>
      </c>
      <c r="D82" s="14" t="s">
        <v>0</v>
      </c>
      <c r="E82" s="14" t="s">
        <v>0</v>
      </c>
      <c r="F82" s="15" t="s">
        <v>0</v>
      </c>
      <c r="G82" s="15" t="s">
        <v>0</v>
      </c>
      <c r="H82" s="15" t="s">
        <v>0</v>
      </c>
      <c r="I82" s="15" t="s">
        <v>0</v>
      </c>
      <c r="J82" s="15" t="s">
        <v>0</v>
      </c>
      <c r="K82" s="25">
        <v>4</v>
      </c>
      <c r="L82" s="15" t="s">
        <v>0</v>
      </c>
      <c r="M82" s="15" t="s">
        <v>0</v>
      </c>
      <c r="N82" s="15" t="s">
        <v>0</v>
      </c>
      <c r="O82" s="15" t="s">
        <v>0</v>
      </c>
      <c r="P82" s="15" t="s">
        <v>0</v>
      </c>
      <c r="Q82" s="15" t="s">
        <v>0</v>
      </c>
      <c r="R82" s="15" t="s">
        <v>0</v>
      </c>
      <c r="S82" s="15" t="s">
        <v>0</v>
      </c>
      <c r="T82" s="15" t="s">
        <v>0</v>
      </c>
      <c r="U82" s="15" t="s">
        <v>0</v>
      </c>
      <c r="V82" s="15" t="s">
        <v>0</v>
      </c>
    </row>
    <row r="83" ht="14.25" customHeight="1" spans="1:22" x14ac:dyDescent="0.25">
      <c r="A83" t="s">
        <v>0</v>
      </c>
      <c r="B83" t="s">
        <v>0</v>
      </c>
      <c r="C83" s="18" t="s">
        <v>22</v>
      </c>
      <c r="D83" s="14" t="s">
        <v>0</v>
      </c>
      <c r="E83" s="14" t="s">
        <v>0</v>
      </c>
      <c r="F83" s="15" t="s">
        <v>0</v>
      </c>
      <c r="G83" s="15" t="s">
        <v>0</v>
      </c>
      <c r="H83" s="15" t="s">
        <v>0</v>
      </c>
      <c r="I83" s="15" t="s">
        <v>0</v>
      </c>
      <c r="J83" s="15" t="s">
        <v>0</v>
      </c>
      <c r="K83" s="25">
        <v>6</v>
      </c>
      <c r="L83" s="15" t="s">
        <v>0</v>
      </c>
      <c r="M83" s="15" t="s">
        <v>0</v>
      </c>
      <c r="N83" s="15" t="s">
        <v>0</v>
      </c>
      <c r="O83" s="15" t="s">
        <v>0</v>
      </c>
      <c r="P83" s="15" t="s">
        <v>0</v>
      </c>
      <c r="Q83" s="15" t="s">
        <v>0</v>
      </c>
      <c r="R83" s="15" t="s">
        <v>0</v>
      </c>
      <c r="S83" s="15" t="s">
        <v>0</v>
      </c>
      <c r="T83" s="15" t="s">
        <v>0</v>
      </c>
      <c r="U83" s="15" t="s">
        <v>0</v>
      </c>
      <c r="V83" s="15" t="s">
        <v>0</v>
      </c>
    </row>
    <row r="84" ht="14.25" customHeight="1" spans="1:22" x14ac:dyDescent="0.25">
      <c r="A84" t="s">
        <v>0</v>
      </c>
      <c r="B84" t="s">
        <v>0</v>
      </c>
      <c r="C84" s="15" t="s">
        <v>0</v>
      </c>
      <c r="D84" s="14" t="s">
        <v>0</v>
      </c>
      <c r="E84" s="14" t="s">
        <v>0</v>
      </c>
      <c r="F84" s="15" t="s">
        <v>0</v>
      </c>
      <c r="G84" s="15" t="s">
        <v>0</v>
      </c>
      <c r="H84" s="15" t="s">
        <v>0</v>
      </c>
      <c r="I84" s="15" t="s">
        <v>0</v>
      </c>
      <c r="J84" s="15" t="s">
        <v>0</v>
      </c>
      <c r="K84" s="15" t="s">
        <v>0</v>
      </c>
      <c r="L84" s="15" t="s">
        <v>0</v>
      </c>
      <c r="M84" s="15" t="s">
        <v>0</v>
      </c>
      <c r="N84" s="15" t="s">
        <v>0</v>
      </c>
      <c r="O84" s="15" t="s">
        <v>0</v>
      </c>
      <c r="P84" s="15" t="s">
        <v>0</v>
      </c>
      <c r="Q84" s="15" t="s">
        <v>0</v>
      </c>
      <c r="R84" s="15" t="s">
        <v>0</v>
      </c>
      <c r="S84" s="15" t="s">
        <v>0</v>
      </c>
      <c r="T84" s="15" t="s">
        <v>0</v>
      </c>
      <c r="U84" s="15" t="s">
        <v>0</v>
      </c>
      <c r="V84" s="15" t="s">
        <v>0</v>
      </c>
    </row>
    <row r="85" ht="14.25" customHeight="1" spans="1:22" x14ac:dyDescent="0.25">
      <c r="A85" t="s">
        <v>0</v>
      </c>
      <c r="B85" t="s">
        <v>0</v>
      </c>
      <c r="C85" s="13" t="s">
        <v>40</v>
      </c>
      <c r="D85" s="14" t="s">
        <v>0</v>
      </c>
      <c r="E85" s="14" t="s">
        <v>0</v>
      </c>
      <c r="F85" s="15" t="s">
        <v>0</v>
      </c>
      <c r="G85" s="15" t="s">
        <v>0</v>
      </c>
      <c r="H85" s="15" t="s">
        <v>0</v>
      </c>
      <c r="I85" s="15" t="s">
        <v>0</v>
      </c>
      <c r="J85" s="15" t="s">
        <v>0</v>
      </c>
      <c r="K85" s="15" t="s">
        <v>0</v>
      </c>
      <c r="L85" s="15" t="s">
        <v>0</v>
      </c>
      <c r="M85" s="15" t="s">
        <v>0</v>
      </c>
      <c r="N85" s="15" t="s">
        <v>0</v>
      </c>
      <c r="O85" s="15" t="s">
        <v>0</v>
      </c>
      <c r="P85" s="15" t="s">
        <v>0</v>
      </c>
      <c r="Q85" s="15" t="s">
        <v>0</v>
      </c>
      <c r="R85" s="15" t="s">
        <v>0</v>
      </c>
      <c r="S85" s="15" t="s">
        <v>0</v>
      </c>
      <c r="T85" s="15" t="s">
        <v>0</v>
      </c>
      <c r="U85" s="15" t="s">
        <v>0</v>
      </c>
      <c r="V85" s="15" t="s">
        <v>0</v>
      </c>
    </row>
    <row r="86" ht="14.25" customHeight="1" spans="1:22" x14ac:dyDescent="0.25">
      <c r="A86" t="s">
        <v>0</v>
      </c>
      <c r="B86" t="s">
        <v>0</v>
      </c>
      <c r="C86" s="18" t="s">
        <v>40</v>
      </c>
      <c r="D86" s="14" t="s">
        <v>0</v>
      </c>
      <c r="E86" s="19">
        <f>+$E$11</f>
        <v>1</v>
      </c>
      <c r="F86" s="15" t="s">
        <v>0</v>
      </c>
      <c r="G86" s="15" t="s">
        <v>0</v>
      </c>
      <c r="H86" s="15" t="s">
        <v>0</v>
      </c>
      <c r="I86" s="15" t="s">
        <v>0</v>
      </c>
      <c r="J86" s="15" t="s">
        <v>0</v>
      </c>
      <c r="K86" s="15" t="s">
        <v>0</v>
      </c>
      <c r="L86" s="15" t="s">
        <v>0</v>
      </c>
      <c r="M86" s="20">
        <f>+CHOOSE($E86,M87,M88,M89)</f>
        <v>0.05</v>
      </c>
      <c r="N86" s="20">
        <f>+CHOOSE($E86,N87,N88,N89)</f>
        <v>0.05</v>
      </c>
      <c r="O86" s="20">
        <f>+CHOOSE($E87,O87,O88,O89)</f>
        <v>0.05</v>
      </c>
      <c r="P86" s="20">
        <f>+CHOOSE($E88,P87,P88,P89)</f>
        <v>0.05</v>
      </c>
      <c r="Q86" s="20">
        <f>+CHOOSE($E89,Q87,Q88,Q89)</f>
        <v>0.05</v>
      </c>
      <c r="R86" s="20">
        <f>+CHOOSE($E90,R87,R88,R89)</f>
        <v>0.05</v>
      </c>
      <c r="S86" s="20">
        <f>+CHOOSE($E91,S87,S88,S89)</f>
        <v>0.05</v>
      </c>
      <c r="T86" s="20">
        <f>+CHOOSE($E92,T87,T88,T89)</f>
        <v>0.05</v>
      </c>
      <c r="U86" s="20">
        <f>+CHOOSE($E93,U87,U88,U89)</f>
        <v>0.05</v>
      </c>
      <c r="V86" s="20">
        <f>+CHOOSE($E94,V87,V88,V89)</f>
        <v>0.05</v>
      </c>
    </row>
    <row r="87" ht="14.25" customHeight="1" spans="1:22" x14ac:dyDescent="0.25">
      <c r="A87" t="s">
        <v>0</v>
      </c>
      <c r="B87" t="s">
        <v>0</v>
      </c>
      <c r="C87" s="18" t="s">
        <v>16</v>
      </c>
      <c r="D87" s="14" t="s">
        <v>0</v>
      </c>
      <c r="E87" s="14" t="s">
        <v>0</v>
      </c>
      <c r="F87" s="15" t="s">
        <v>0</v>
      </c>
      <c r="G87" s="15" t="s">
        <v>0</v>
      </c>
      <c r="H87" s="15" t="s">
        <v>0</v>
      </c>
      <c r="I87" s="15" t="s">
        <v>0</v>
      </c>
      <c r="J87" s="15" t="s">
        <v>0</v>
      </c>
      <c r="K87" s="21">
        <v>0.05</v>
      </c>
      <c r="L87" s="15" t="s">
        <v>0</v>
      </c>
      <c r="M87" s="21">
        <v>0.05</v>
      </c>
      <c r="N87" s="21">
        <v>0.05</v>
      </c>
      <c r="O87" s="21">
        <v>0.05</v>
      </c>
      <c r="P87" s="21">
        <v>0.05</v>
      </c>
      <c r="Q87" s="21">
        <v>0.05</v>
      </c>
      <c r="R87" s="21">
        <v>0.05</v>
      </c>
      <c r="S87" s="21">
        <v>0.05</v>
      </c>
      <c r="T87" s="21">
        <v>0.05</v>
      </c>
      <c r="U87" s="21">
        <v>0.05</v>
      </c>
      <c r="V87" s="21">
        <v>0.05</v>
      </c>
    </row>
    <row r="88" ht="14.25" customHeight="1" spans="1:22" x14ac:dyDescent="0.25">
      <c r="A88" t="s">
        <v>0</v>
      </c>
      <c r="B88" t="s">
        <v>0</v>
      </c>
      <c r="C88" s="18" t="s">
        <v>21</v>
      </c>
      <c r="D88" s="14" t="s">
        <v>0</v>
      </c>
      <c r="E88" s="14" t="s">
        <v>0</v>
      </c>
      <c r="F88" s="15" t="s">
        <v>0</v>
      </c>
      <c r="G88" s="15" t="s">
        <v>0</v>
      </c>
      <c r="H88" s="15" t="s">
        <v>0</v>
      </c>
      <c r="I88" s="15" t="s">
        <v>0</v>
      </c>
      <c r="J88" s="15" t="s">
        <v>0</v>
      </c>
      <c r="K88" s="21">
        <v>0.05</v>
      </c>
      <c r="L88" s="15" t="s">
        <v>0</v>
      </c>
      <c r="M88" s="21">
        <v>0.05</v>
      </c>
      <c r="N88" s="21">
        <v>0.05</v>
      </c>
      <c r="O88" s="21">
        <v>0.05</v>
      </c>
      <c r="P88" s="21">
        <v>0.05</v>
      </c>
      <c r="Q88" s="21">
        <v>0.05</v>
      </c>
      <c r="R88" s="21">
        <v>0.05</v>
      </c>
      <c r="S88" s="21">
        <v>0.05</v>
      </c>
      <c r="T88" s="21">
        <v>0.05</v>
      </c>
      <c r="U88" s="21">
        <v>0.05</v>
      </c>
      <c r="V88" s="21">
        <v>0.05</v>
      </c>
    </row>
    <row r="89" ht="14.25" customHeight="1" spans="1:22" x14ac:dyDescent="0.25">
      <c r="A89" t="s">
        <v>0</v>
      </c>
      <c r="B89" t="s">
        <v>0</v>
      </c>
      <c r="C89" s="18" t="s">
        <v>22</v>
      </c>
      <c r="D89" s="14" t="s">
        <v>0</v>
      </c>
      <c r="E89" s="14" t="s">
        <v>0</v>
      </c>
      <c r="F89" s="15" t="s">
        <v>0</v>
      </c>
      <c r="G89" s="15" t="s">
        <v>0</v>
      </c>
      <c r="H89" s="15" t="s">
        <v>0</v>
      </c>
      <c r="I89" s="15" t="s">
        <v>0</v>
      </c>
      <c r="J89" s="15" t="s">
        <v>0</v>
      </c>
      <c r="K89" s="21">
        <v>0.05</v>
      </c>
      <c r="L89" s="15" t="s">
        <v>0</v>
      </c>
      <c r="M89" s="21">
        <v>0.05</v>
      </c>
      <c r="N89" s="21">
        <v>0.05</v>
      </c>
      <c r="O89" s="21">
        <v>0.05</v>
      </c>
      <c r="P89" s="21">
        <v>0.05</v>
      </c>
      <c r="Q89" s="21">
        <v>0.05</v>
      </c>
      <c r="R89" s="21">
        <v>0.05</v>
      </c>
      <c r="S89" s="21">
        <v>0.05</v>
      </c>
      <c r="T89" s="21">
        <v>0.05</v>
      </c>
      <c r="U89" s="21">
        <v>0.05</v>
      </c>
      <c r="V89" s="21">
        <v>0.05</v>
      </c>
    </row>
    <row r="90" ht="14.25" customHeight="1" x14ac:dyDescent="0.25"/>
    <row r="91" ht="14.25" customHeight="1" spans="1:22" x14ac:dyDescent="0.25">
      <c r="A91" t="s">
        <v>0</v>
      </c>
      <c r="B91" t="s">
        <v>0</v>
      </c>
      <c r="C91" s="26" t="s">
        <v>0</v>
      </c>
      <c r="D91" s="27" t="s">
        <v>0</v>
      </c>
      <c r="E91" s="27" t="s">
        <v>0</v>
      </c>
      <c r="F91" s="26" t="s">
        <v>0</v>
      </c>
      <c r="G91" s="26" t="s">
        <v>0</v>
      </c>
      <c r="H91" s="26" t="s">
        <v>0</v>
      </c>
      <c r="I91" s="26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6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26" t="s">
        <v>0</v>
      </c>
      <c r="T91" s="26" t="s">
        <v>0</v>
      </c>
      <c r="U91" s="26" t="s">
        <v>0</v>
      </c>
      <c r="V91" s="26" t="s">
        <v>0</v>
      </c>
    </row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 showGridLines="0">
      <pane xSplit="5" ySplit="9" topLeftCell="F10" activePane="bottomRight" state="frozen"/>
      <selection pane="bottomRight"/>
    </sheetView>
  </sheetViews>
  <sheetFormatPr defaultRowHeight="14.25" outlineLevelRow="0" outlineLevelCol="0" x14ac:dyDescent="55" defaultColWidth="9.2" customHeight="1"/>
  <cols>
    <col min="1" max="2" width="1.0666666666666667" customWidth="1"/>
    <col min="3" max="3" width="28.8" customWidth="1"/>
    <col min="4" max="22" width="9.2" customWidth="1"/>
  </cols>
  <sheetData>
    <row r="1" ht="14.25" customHeight="1" spans="1:22" x14ac:dyDescent="0.25">
      <c r="A1" s="3" t="s">
        <v>0</v>
      </c>
      <c r="B1" s="3" t="s">
        <v>0</v>
      </c>
      <c r="C1" s="3" t="s">
        <v>0</v>
      </c>
      <c r="D1" s="4" t="s">
        <v>0</v>
      </c>
      <c r="E1" s="4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</row>
    <row r="2" ht="14.25" customHeight="1" spans="1:22" x14ac:dyDescent="0.25">
      <c r="A2" s="3" t="s">
        <v>0</v>
      </c>
      <c r="B2" s="3" t="s">
        <v>0</v>
      </c>
      <c r="C2" s="3" t="s">
        <v>0</v>
      </c>
      <c r="D2" s="4" t="s">
        <v>0</v>
      </c>
      <c r="E2" s="4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</row>
    <row r="3" ht="14.25" customHeight="1" spans="1:22" x14ac:dyDescent="0.25">
      <c r="A3" s="3" t="s">
        <v>0</v>
      </c>
      <c r="B3" s="3" t="s">
        <v>0</v>
      </c>
      <c r="C3" s="3" t="s">
        <v>9</v>
      </c>
      <c r="D3" s="4" t="s">
        <v>0</v>
      </c>
      <c r="E3" s="4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</row>
    <row r="4" ht="14.25" customHeight="1" spans="1:22" x14ac:dyDescent="0.25">
      <c r="A4" s="3" t="s">
        <v>0</v>
      </c>
      <c r="B4" s="3" t="s">
        <v>0</v>
      </c>
      <c r="C4" s="5">
        <v>44256</v>
      </c>
      <c r="D4" s="4" t="s">
        <v>0</v>
      </c>
      <c r="E4" s="4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</row>
    <row r="5" ht="14.25" customHeight="1" spans="1:22" x14ac:dyDescent="0.25">
      <c r="A5" s="3" t="s">
        <v>0</v>
      </c>
      <c r="B5" s="3" t="s">
        <v>0</v>
      </c>
      <c r="C5" s="3" t="s">
        <v>41</v>
      </c>
      <c r="D5" s="4" t="s">
        <v>0</v>
      </c>
      <c r="E5" s="4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</row>
    <row r="6" ht="14.25" customHeight="1" spans="1:22" x14ac:dyDescent="0.25">
      <c r="A6" s="3" t="s">
        <v>0</v>
      </c>
      <c r="B6" s="3" t="s">
        <v>0</v>
      </c>
      <c r="C6" s="3" t="s">
        <v>0</v>
      </c>
      <c r="D6" s="4" t="s">
        <v>0</v>
      </c>
      <c r="E6" s="4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</row>
    <row r="7" ht="14.25" customHeight="1" spans="1:22" x14ac:dyDescent="0.25">
      <c r="A7" t="s">
        <v>0</v>
      </c>
      <c r="B7" t="s">
        <v>0</v>
      </c>
      <c r="C7" s="6" t="s">
        <v>10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s="7">
        <v>0</v>
      </c>
      <c r="L7" t="s">
        <v>0</v>
      </c>
      <c r="M7" s="8">
        <f>+K7+1</f>
        <v>1</v>
      </c>
      <c r="N7" s="8">
        <f>+M7+1</f>
        <v>2</v>
      </c>
      <c r="O7" s="8">
        <f>+N7+1</f>
        <v>3</v>
      </c>
      <c r="P7" s="8">
        <f>+O7+1</f>
        <v>4</v>
      </c>
      <c r="Q7" s="8">
        <f>+P7+1</f>
        <v>5</v>
      </c>
      <c r="R7" s="8">
        <f>+Q7+1</f>
        <v>6</v>
      </c>
      <c r="S7" s="8">
        <f>+R7+1</f>
        <v>7</v>
      </c>
      <c r="T7" s="8">
        <f>+S7+1</f>
        <v>8</v>
      </c>
      <c r="U7" s="8">
        <f>+T7+1</f>
        <v>9</v>
      </c>
      <c r="V7" s="8">
        <f>+U7+1</f>
        <v>10</v>
      </c>
    </row>
    <row r="8" ht="14.25" customHeight="1" spans="1:22" x14ac:dyDescent="0.25">
      <c r="A8" t="s">
        <v>0</v>
      </c>
      <c r="B8" t="s">
        <v>0</v>
      </c>
      <c r="C8" s="6" t="s">
        <v>11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s="7">
        <v>0</v>
      </c>
      <c r="L8" t="s">
        <v>0</v>
      </c>
      <c r="M8" s="8">
        <f>+K8+0.5</f>
        <v>0.5</v>
      </c>
      <c r="N8" s="8">
        <f>+M8+1</f>
        <v>1.5</v>
      </c>
      <c r="O8" s="8">
        <f>+N8+1</f>
        <v>2.5</v>
      </c>
      <c r="P8" s="8">
        <f>+O8+1</f>
        <v>3.5</v>
      </c>
      <c r="Q8" s="8">
        <f>+P8+1</f>
        <v>4.5</v>
      </c>
      <c r="R8" s="8">
        <f>+Q8+1</f>
        <v>5.5</v>
      </c>
      <c r="S8" s="8">
        <f>+R8+1</f>
        <v>6.5</v>
      </c>
      <c r="T8" s="8">
        <f>+S8+1</f>
        <v>7.5</v>
      </c>
      <c r="U8" s="8">
        <f>+T8+1</f>
        <v>8.5</v>
      </c>
      <c r="V8" s="8">
        <f>+U8+1</f>
        <v>9.5</v>
      </c>
    </row>
    <row r="9" ht="14.25" customHeight="1" spans="1:22" x14ac:dyDescent="0.25">
      <c r="A9" t="s">
        <v>0</v>
      </c>
      <c r="B9" t="s">
        <v>0</v>
      </c>
      <c r="C9" s="6" t="s">
        <v>12</v>
      </c>
      <c r="D9" t="s">
        <v>0</v>
      </c>
      <c r="E9" t="s">
        <v>0</v>
      </c>
      <c r="F9" s="28">
        <f>+G9-1</f>
        <v>2019</v>
      </c>
      <c r="G9" s="28">
        <f>+H9-1</f>
        <v>2020</v>
      </c>
      <c r="H9" s="28">
        <f>+I9-1</f>
        <v>2021</v>
      </c>
      <c r="I9" s="28">
        <f>+J9-1</f>
        <v>2022</v>
      </c>
      <c r="J9" s="28">
        <f>+K9-1</f>
        <v>2023</v>
      </c>
      <c r="K9" s="9">
        <f>+'Operational Assumptions'!K9</f>
        <v>2024</v>
      </c>
      <c r="L9" t="s">
        <v>0</v>
      </c>
      <c r="M9" s="10">
        <f>+K9+1</f>
        <v>2025</v>
      </c>
      <c r="N9" s="10">
        <f>+M9+1</f>
        <v>2026</v>
      </c>
      <c r="O9" s="10">
        <f>+N9+1</f>
        <v>2027</v>
      </c>
      <c r="P9" s="10">
        <f>+O9+1</f>
        <v>2028</v>
      </c>
      <c r="Q9" s="10">
        <f>+P9+1</f>
        <v>2029</v>
      </c>
      <c r="R9" s="10">
        <f>+Q9+1</f>
        <v>2030</v>
      </c>
      <c r="S9" s="10">
        <f>+R9+1</f>
        <v>2031</v>
      </c>
      <c r="T9" s="10">
        <f>+S9+1</f>
        <v>2032</v>
      </c>
      <c r="U9" s="10">
        <f>+T9+1</f>
        <v>2033</v>
      </c>
      <c r="V9" s="10">
        <f>+U9+1</f>
        <v>2034</v>
      </c>
    </row>
    <row r="10" ht="14.25" customHeight="1" x14ac:dyDescent="0.25"/>
    <row r="11" ht="14.25" customHeight="1" spans="1:22" x14ac:dyDescent="0.25">
      <c r="A11" t="s">
        <v>0</v>
      </c>
      <c r="B11" t="s">
        <v>0</v>
      </c>
      <c r="C11" s="12" t="s">
        <v>42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</row>
    <row r="12" ht="14.25" customHeight="1" x14ac:dyDescent="0.25"/>
    <row r="13" ht="14.25" customHeight="1" spans="1:22" x14ac:dyDescent="0.25">
      <c r="A13" t="s">
        <v>0</v>
      </c>
      <c r="B13" t="s">
        <v>0</v>
      </c>
      <c r="C13" s="15" t="s">
        <v>43</v>
      </c>
      <c r="D13" s="15" t="s">
        <v>0</v>
      </c>
      <c r="E13" s="15" t="s">
        <v>0</v>
      </c>
      <c r="F13" s="23">
        <v>15</v>
      </c>
      <c r="G13" s="23">
        <v>15</v>
      </c>
      <c r="H13" s="23">
        <v>15</v>
      </c>
      <c r="I13" s="23">
        <v>15</v>
      </c>
      <c r="J13" s="23">
        <v>15</v>
      </c>
      <c r="K13" s="23">
        <v>20</v>
      </c>
      <c r="L13" s="29" t="s">
        <v>0</v>
      </c>
      <c r="M13" s="17">
        <f>+K13*(1+M14)</f>
        <v>22</v>
      </c>
      <c r="N13" s="17">
        <f>+M13*(1+N14)</f>
        <v>24.200000000000003</v>
      </c>
      <c r="O13" s="17">
        <f>+N13*(1+O14)</f>
        <v>26.620000000000005</v>
      </c>
      <c r="P13" s="17">
        <f>+O13*(1+P14)</f>
        <v>29.282000000000007</v>
      </c>
      <c r="Q13" s="17">
        <f>+P13*(1+Q14)</f>
        <v>32.21020000000001</v>
      </c>
      <c r="R13" s="17">
        <f>+Q13*(1+R14)</f>
        <v>35.43122000000001</v>
      </c>
      <c r="S13" s="17">
        <f>+R13*(1+S14)</f>
        <v>38.974342000000014</v>
      </c>
      <c r="T13" s="17">
        <f>+S13*(1+T14)</f>
        <v>42.87177620000002</v>
      </c>
      <c r="U13" s="17">
        <f>+T13*(1+U14)</f>
        <v>47.15895382000003</v>
      </c>
      <c r="V13" s="17">
        <f>+U13*(1+V14)</f>
        <v>51.874849202000036</v>
      </c>
    </row>
    <row r="14" ht="14.25" customHeight="1" spans="1:22" x14ac:dyDescent="0.25">
      <c r="A14" t="s">
        <v>0</v>
      </c>
      <c r="B14" t="s">
        <v>0</v>
      </c>
      <c r="C14" s="30" t="s">
        <v>15</v>
      </c>
      <c r="D14" s="31" t="s">
        <v>0</v>
      </c>
      <c r="E14" s="31" t="s">
        <v>0</v>
      </c>
      <c r="F14" s="31" t="s">
        <v>0</v>
      </c>
      <c r="G14" s="31" t="s">
        <v>0</v>
      </c>
      <c r="H14" s="31" t="s">
        <v>0</v>
      </c>
      <c r="I14" s="31" t="s">
        <v>0</v>
      </c>
      <c r="J14" s="31" t="s">
        <v>0</v>
      </c>
      <c r="K14" s="32">
        <f>+K13/J13-1</f>
        <v>0.33333333333333326</v>
      </c>
      <c r="L14" s="33" t="s">
        <v>0</v>
      </c>
      <c r="M14" s="34">
        <f>+'Operational Assumptions'!M22</f>
        <v>0.1</v>
      </c>
      <c r="N14" s="34">
        <f>+'Operational Assumptions'!N22</f>
        <v>0.1</v>
      </c>
      <c r="O14" s="34">
        <f>+'Operational Assumptions'!O22</f>
        <v>0.1</v>
      </c>
      <c r="P14" s="34">
        <f>+'Operational Assumptions'!P22</f>
        <v>0.1</v>
      </c>
      <c r="Q14" s="34">
        <f>+'Operational Assumptions'!Q22</f>
        <v>0.1</v>
      </c>
      <c r="R14" s="34">
        <f>+'Operational Assumptions'!R22</f>
        <v>0.1</v>
      </c>
      <c r="S14" s="34">
        <f>+'Operational Assumptions'!S22</f>
        <v>0.1</v>
      </c>
      <c r="T14" s="34">
        <f>+'Operational Assumptions'!T22</f>
        <v>0.1</v>
      </c>
      <c r="U14" s="34">
        <f>+'Operational Assumptions'!U22</f>
        <v>0.1</v>
      </c>
      <c r="V14" s="34">
        <f>+'Operational Assumptions'!V22</f>
        <v>0.1</v>
      </c>
    </row>
    <row r="15" ht="14.25" customHeight="1" spans="1:22" x14ac:dyDescent="0.25">
      <c r="A15" t="s">
        <v>0</v>
      </c>
      <c r="B15" t="s">
        <v>0</v>
      </c>
      <c r="C15" s="15" t="s">
        <v>44</v>
      </c>
      <c r="D15" s="15" t="s">
        <v>0</v>
      </c>
      <c r="E15" s="15" t="s">
        <v>0</v>
      </c>
      <c r="F15" s="23">
        <v>10</v>
      </c>
      <c r="G15" s="23">
        <v>10</v>
      </c>
      <c r="H15" s="23">
        <v>10</v>
      </c>
      <c r="I15" s="23">
        <v>10</v>
      </c>
      <c r="J15" s="23">
        <v>10</v>
      </c>
      <c r="K15" s="23">
        <v>13</v>
      </c>
      <c r="L15" s="29" t="s">
        <v>0</v>
      </c>
      <c r="M15" s="17">
        <f>+K15*(1+M16)</f>
        <v>14.3</v>
      </c>
      <c r="N15" s="17">
        <f>+M15*(1+N16)</f>
        <v>15.730000000000002</v>
      </c>
      <c r="O15" s="17">
        <f>+N15*(1+O16)</f>
        <v>17.303000000000004</v>
      </c>
      <c r="P15" s="17">
        <f>+O15*(1+P16)</f>
        <v>19.033300000000008</v>
      </c>
      <c r="Q15" s="17">
        <f>+P15*(1+Q16)</f>
        <v>20.93663000000001</v>
      </c>
      <c r="R15" s="17">
        <f>+Q15*(1+R16)</f>
        <v>23.030293000000015</v>
      </c>
      <c r="S15" s="17">
        <f>+R15*(1+S16)</f>
        <v>25.333322300000017</v>
      </c>
      <c r="T15" s="17">
        <f>+S15*(1+T16)</f>
        <v>27.86665453000002</v>
      </c>
      <c r="U15" s="17">
        <f>+T15*(1+U16)</f>
        <v>30.653319983000024</v>
      </c>
      <c r="V15" s="17">
        <f>+U15*(1+V16)</f>
        <v>33.71865198130003</v>
      </c>
    </row>
    <row r="16" ht="14.25" customHeight="1" spans="1:22" x14ac:dyDescent="0.25">
      <c r="A16" t="s">
        <v>0</v>
      </c>
      <c r="B16" t="s">
        <v>0</v>
      </c>
      <c r="C16" s="30" t="s">
        <v>15</v>
      </c>
      <c r="D16" s="31" t="s">
        <v>0</v>
      </c>
      <c r="E16" s="31" t="s">
        <v>0</v>
      </c>
      <c r="F16" s="31" t="s">
        <v>0</v>
      </c>
      <c r="G16" s="31" t="s">
        <v>0</v>
      </c>
      <c r="H16" s="31" t="s">
        <v>0</v>
      </c>
      <c r="I16" s="31" t="s">
        <v>0</v>
      </c>
      <c r="J16" s="31" t="s">
        <v>0</v>
      </c>
      <c r="K16" s="32">
        <f>+K15/J15-1</f>
        <v>0.30000000000000004</v>
      </c>
      <c r="L16" s="33" t="s">
        <v>0</v>
      </c>
      <c r="M16" s="34">
        <f>+'Operational Assumptions'!M27</f>
        <v>0.1</v>
      </c>
      <c r="N16" s="34">
        <f>+'Operational Assumptions'!N27</f>
        <v>0.1</v>
      </c>
      <c r="O16" s="34">
        <f>+'Operational Assumptions'!O27</f>
        <v>0.1</v>
      </c>
      <c r="P16" s="34">
        <f>+'Operational Assumptions'!P27</f>
        <v>0.1</v>
      </c>
      <c r="Q16" s="34">
        <f>+'Operational Assumptions'!Q27</f>
        <v>0.1</v>
      </c>
      <c r="R16" s="34">
        <f>+'Operational Assumptions'!R27</f>
        <v>0.1</v>
      </c>
      <c r="S16" s="34">
        <f>+'Operational Assumptions'!S27</f>
        <v>0.1</v>
      </c>
      <c r="T16" s="34">
        <f>+'Operational Assumptions'!T27</f>
        <v>0.1</v>
      </c>
      <c r="U16" s="34">
        <f>+'Operational Assumptions'!U27</f>
        <v>0.1</v>
      </c>
      <c r="V16" s="34">
        <f>+'Operational Assumptions'!V27</f>
        <v>0.1</v>
      </c>
    </row>
    <row r="17" ht="14.25" customHeight="1" spans="1:22" x14ac:dyDescent="0.25">
      <c r="A17" t="s">
        <v>0</v>
      </c>
      <c r="B17" t="s">
        <v>0</v>
      </c>
      <c r="C17" s="15" t="s">
        <v>45</v>
      </c>
      <c r="D17" s="15" t="s">
        <v>0</v>
      </c>
      <c r="E17" s="15" t="s">
        <v>0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3</v>
      </c>
      <c r="L17" s="29" t="s">
        <v>0</v>
      </c>
      <c r="M17" s="17">
        <f>+K17*(1+M18)</f>
        <v>3.1500000000000004</v>
      </c>
      <c r="N17" s="17">
        <f>+M17*(1+N18)</f>
        <v>3.3075000000000006</v>
      </c>
      <c r="O17" s="17">
        <f>+N17*(1+O18)</f>
        <v>3.4728750000000006</v>
      </c>
      <c r="P17" s="17">
        <f>+O17*(1+P18)</f>
        <v>3.6465187500000007</v>
      </c>
      <c r="Q17" s="17">
        <f>+P17*(1+Q18)</f>
        <v>3.828844687500001</v>
      </c>
      <c r="R17" s="17">
        <f>+Q17*(1+R18)</f>
        <v>4.020286921875002</v>
      </c>
      <c r="S17" s="17">
        <f>+R17*(1+S18)</f>
        <v>4.221301267968752</v>
      </c>
      <c r="T17" s="17">
        <f>+S17*(1+T18)</f>
        <v>4.43236633136719</v>
      </c>
      <c r="U17" s="17">
        <f>+T17*(1+U18)</f>
        <v>4.653984647935549</v>
      </c>
      <c r="V17" s="17">
        <f>+U17*(1+V18)</f>
        <v>4.886683880332327</v>
      </c>
    </row>
    <row r="18" ht="14.25" customHeight="1" spans="1:22" x14ac:dyDescent="0.25">
      <c r="A18" t="s">
        <v>0</v>
      </c>
      <c r="B18" t="s">
        <v>0</v>
      </c>
      <c r="C18" s="30" t="s">
        <v>15</v>
      </c>
      <c r="D18" s="31" t="s">
        <v>0</v>
      </c>
      <c r="E18" s="31" t="s">
        <v>0</v>
      </c>
      <c r="F18" s="31" t="s">
        <v>0</v>
      </c>
      <c r="G18" s="31" t="s">
        <v>0</v>
      </c>
      <c r="H18" s="31" t="s">
        <v>0</v>
      </c>
      <c r="I18" s="31" t="s">
        <v>0</v>
      </c>
      <c r="J18" s="31" t="s">
        <v>0</v>
      </c>
      <c r="K18" s="32">
        <f>+K17/J17-1</f>
        <v>2</v>
      </c>
      <c r="L18" s="33" t="s">
        <v>0</v>
      </c>
      <c r="M18" s="34">
        <f>+'Operational Assumptions'!M32</f>
        <v>0.05</v>
      </c>
      <c r="N18" s="34">
        <f>+'Operational Assumptions'!N32</f>
        <v>0.05</v>
      </c>
      <c r="O18" s="34">
        <f>+'Operational Assumptions'!O32</f>
        <v>0.05</v>
      </c>
      <c r="P18" s="34">
        <f>+'Operational Assumptions'!P32</f>
        <v>0.05</v>
      </c>
      <c r="Q18" s="34">
        <f>+'Operational Assumptions'!Q32</f>
        <v>0.05</v>
      </c>
      <c r="R18" s="34">
        <f>+'Operational Assumptions'!R32</f>
        <v>0.05</v>
      </c>
      <c r="S18" s="34">
        <f>+'Operational Assumptions'!S32</f>
        <v>0.05</v>
      </c>
      <c r="T18" s="34">
        <f>+'Operational Assumptions'!T32</f>
        <v>0.05</v>
      </c>
      <c r="U18" s="34">
        <f>+'Operational Assumptions'!U32</f>
        <v>0.05</v>
      </c>
      <c r="V18" s="34">
        <f>+'Operational Assumptions'!V32</f>
        <v>0.05</v>
      </c>
    </row>
    <row r="19" ht="14.25" customHeight="1" spans="1:22" x14ac:dyDescent="0.25">
      <c r="A19" t="s">
        <v>0</v>
      </c>
      <c r="B19" t="s">
        <v>0</v>
      </c>
      <c r="C19" s="35" t="s">
        <v>46</v>
      </c>
      <c r="D19" s="35" t="s">
        <v>0</v>
      </c>
      <c r="E19" s="35" t="s">
        <v>0</v>
      </c>
      <c r="F19" s="36">
        <f>+F17+F15+F13</f>
        <v>26</v>
      </c>
      <c r="G19" s="36">
        <f>+G17+G15+G13</f>
        <v>26</v>
      </c>
      <c r="H19" s="36">
        <f>+H17+H15+H13</f>
        <v>26</v>
      </c>
      <c r="I19" s="36">
        <f>+I17+I15+I13</f>
        <v>26</v>
      </c>
      <c r="J19" s="36">
        <f>+J17+J15+J13</f>
        <v>26</v>
      </c>
      <c r="K19" s="36">
        <f>+K17+K15+K13</f>
        <v>36</v>
      </c>
      <c r="L19" s="35" t="s">
        <v>0</v>
      </c>
      <c r="M19" s="37">
        <f>+M17+M15+M13</f>
        <v>39.45</v>
      </c>
      <c r="N19" s="37">
        <f>+N17+N15+N13</f>
        <v>43.237500000000004</v>
      </c>
      <c r="O19" s="37">
        <f>+O17+O15+O13</f>
        <v>47.39587500000001</v>
      </c>
      <c r="P19" s="37">
        <f>+P17+P15+P13</f>
        <v>51.96181875000002</v>
      </c>
      <c r="Q19" s="37">
        <f>+Q17+Q15+Q13</f>
        <v>56.97567468750002</v>
      </c>
      <c r="R19" s="37">
        <f>+R17+R15+R13</f>
        <v>62.48179992187502</v>
      </c>
      <c r="S19" s="37">
        <f>+S17+S15+S13</f>
        <v>68.52896556796878</v>
      </c>
      <c r="T19" s="37">
        <f>+T17+T15+T13</f>
        <v>75.17079706136724</v>
      </c>
      <c r="U19" s="37">
        <f>+U17+U15+U13</f>
        <v>82.46625845093561</v>
      </c>
      <c r="V19" s="37">
        <f>+V17+V15+V13</f>
        <v>90.48018506363239</v>
      </c>
    </row>
    <row r="20" ht="14.25" customHeight="1" spans="1:22" x14ac:dyDescent="0.25">
      <c r="A20" t="s">
        <v>0</v>
      </c>
      <c r="B20" t="s">
        <v>0</v>
      </c>
      <c r="C20" s="30" t="s">
        <v>15</v>
      </c>
      <c r="D20" s="31" t="s">
        <v>0</v>
      </c>
      <c r="E20" s="31" t="s">
        <v>0</v>
      </c>
      <c r="F20" s="31" t="s">
        <v>0</v>
      </c>
      <c r="G20" s="31" t="s">
        <v>0</v>
      </c>
      <c r="H20" s="31" t="s">
        <v>0</v>
      </c>
      <c r="I20" s="31" t="s">
        <v>0</v>
      </c>
      <c r="J20" s="31" t="s">
        <v>0</v>
      </c>
      <c r="K20" s="32">
        <f>+K19/J19-1</f>
        <v>0.3846153846153846</v>
      </c>
      <c r="L20" s="33" t="s">
        <v>0</v>
      </c>
      <c r="M20" s="38">
        <f>+M19/K19-1</f>
        <v>0.09583333333333344</v>
      </c>
      <c r="N20" s="38">
        <f>+N19/M19-1</f>
        <v>0.0960076045627376</v>
      </c>
      <c r="O20" s="38">
        <f>+O19/N19-1</f>
        <v>0.09617519514310513</v>
      </c>
      <c r="P20" s="38">
        <f>+P19/O19-1</f>
        <v>0.09633631091313344</v>
      </c>
      <c r="Q20" s="38">
        <f>+Q19/P19-1</f>
        <v>0.09649115558527277</v>
      </c>
      <c r="R20" s="38">
        <f>+R19/Q19-1</f>
        <v>0.09663993036633589</v>
      </c>
      <c r="S20" s="38">
        <f>+S19/R19-1</f>
        <v>0.0967828336196288</v>
      </c>
      <c r="T20" s="38">
        <f>+T19/S19-1</f>
        <v>0.09692006056637337</v>
      </c>
      <c r="U20" s="38">
        <f>+U19/T19-1</f>
        <v>0.09705180302415273</v>
      </c>
      <c r="V20" s="38">
        <f>+V19/U19-1</f>
        <v>0.09717824918011497</v>
      </c>
    </row>
    <row r="21" ht="14.25" customHeight="1" spans="1:22" x14ac:dyDescent="0.25">
      <c r="A21" t="s">
        <v>0</v>
      </c>
      <c r="B21" t="s">
        <v>0</v>
      </c>
      <c r="C21" s="15" t="s">
        <v>43</v>
      </c>
      <c r="D21" s="15" t="s">
        <v>0</v>
      </c>
      <c r="E21" s="15" t="s">
        <v>0</v>
      </c>
      <c r="F21" s="23">
        <v>5</v>
      </c>
      <c r="G21" s="23">
        <v>5</v>
      </c>
      <c r="H21" s="23">
        <v>5</v>
      </c>
      <c r="I21" s="23">
        <v>5</v>
      </c>
      <c r="J21" s="23">
        <v>5</v>
      </c>
      <c r="K21" s="23">
        <v>10</v>
      </c>
      <c r="L21" s="29" t="s">
        <v>0</v>
      </c>
      <c r="M21" s="17">
        <f>+M22*M13</f>
        <v>7.699999999999999</v>
      </c>
      <c r="N21" s="17">
        <f>+N22*N13</f>
        <v>8.47</v>
      </c>
      <c r="O21" s="17">
        <f>+O22*O13</f>
        <v>9.317</v>
      </c>
      <c r="P21" s="17">
        <f>+P22*P13</f>
        <v>10.248700000000001</v>
      </c>
      <c r="Q21" s="17">
        <f>+Q22*Q13</f>
        <v>11.273570000000001</v>
      </c>
      <c r="R21" s="17">
        <f>+R22*R13</f>
        <v>12.400927000000003</v>
      </c>
      <c r="S21" s="17">
        <f>+S22*S13</f>
        <v>13.641019700000005</v>
      </c>
      <c r="T21" s="17">
        <f>+T22*T13</f>
        <v>15.005121670000007</v>
      </c>
      <c r="U21" s="17">
        <f>+U22*U13</f>
        <v>16.50563383700001</v>
      </c>
      <c r="V21" s="17">
        <f>+V22*V13</f>
        <v>18.15619722070001</v>
      </c>
    </row>
    <row r="22" ht="14.25" customHeight="1" spans="1:22" x14ac:dyDescent="0.25">
      <c r="A22" t="s">
        <v>0</v>
      </c>
      <c r="B22" t="s">
        <v>0</v>
      </c>
      <c r="C22" s="30" t="s">
        <v>47</v>
      </c>
      <c r="D22" s="31" t="s">
        <v>0</v>
      </c>
      <c r="E22" s="31" t="s">
        <v>0</v>
      </c>
      <c r="F22" s="32">
        <f>+F21/F13</f>
        <v>0.3333333333333333</v>
      </c>
      <c r="G22" s="32">
        <f>+G21/G13</f>
        <v>0.3333333333333333</v>
      </c>
      <c r="H22" s="32">
        <f>+H21/H13</f>
        <v>0.3333333333333333</v>
      </c>
      <c r="I22" s="32">
        <f>+I21/I13</f>
        <v>0.3333333333333333</v>
      </c>
      <c r="J22" s="32">
        <f>+J21/J13</f>
        <v>0.3333333333333333</v>
      </c>
      <c r="K22" s="32">
        <f>+K21/K13</f>
        <v>0.5</v>
      </c>
      <c r="L22" s="33" t="s">
        <v>0</v>
      </c>
      <c r="M22" s="34">
        <f>+'Operational Assumptions'!M38</f>
        <v>0.35</v>
      </c>
      <c r="N22" s="34">
        <f>+'Operational Assumptions'!N38</f>
        <v>0.35</v>
      </c>
      <c r="O22" s="34">
        <f>+'Operational Assumptions'!O38</f>
        <v>0.35</v>
      </c>
      <c r="P22" s="34">
        <f>+'Operational Assumptions'!P38</f>
        <v>0.35</v>
      </c>
      <c r="Q22" s="34">
        <f>+'Operational Assumptions'!Q38</f>
        <v>0.35</v>
      </c>
      <c r="R22" s="34">
        <f>+'Operational Assumptions'!R38</f>
        <v>0.35</v>
      </c>
      <c r="S22" s="34">
        <f>+'Operational Assumptions'!S38</f>
        <v>0.35</v>
      </c>
      <c r="T22" s="34">
        <f>+'Operational Assumptions'!T38</f>
        <v>0.35</v>
      </c>
      <c r="U22" s="34">
        <f>+'Operational Assumptions'!U38</f>
        <v>0.35</v>
      </c>
      <c r="V22" s="34">
        <f>+'Operational Assumptions'!V38</f>
        <v>0.35</v>
      </c>
    </row>
    <row r="23" ht="14.25" customHeight="1" spans="1:22" x14ac:dyDescent="0.25">
      <c r="A23" t="s">
        <v>0</v>
      </c>
      <c r="B23" t="s">
        <v>0</v>
      </c>
      <c r="C23" s="15" t="s">
        <v>44</v>
      </c>
      <c r="D23" s="15" t="s">
        <v>0</v>
      </c>
      <c r="E23" s="15" t="s">
        <v>0</v>
      </c>
      <c r="F23" s="23">
        <v>3</v>
      </c>
      <c r="G23" s="23">
        <v>3</v>
      </c>
      <c r="H23" s="23">
        <v>3</v>
      </c>
      <c r="I23" s="23">
        <v>3</v>
      </c>
      <c r="J23" s="23">
        <v>3</v>
      </c>
      <c r="K23" s="23">
        <v>5</v>
      </c>
      <c r="L23" s="29" t="s">
        <v>0</v>
      </c>
      <c r="M23" s="17">
        <f>+M24*M15</f>
        <v>5.005</v>
      </c>
      <c r="N23" s="17">
        <f>+N24*N15</f>
        <v>5.5055000000000005</v>
      </c>
      <c r="O23" s="17">
        <f>+O24*O15</f>
        <v>6.056050000000001</v>
      </c>
      <c r="P23" s="17">
        <f>+P24*P15</f>
        <v>6.661655000000002</v>
      </c>
      <c r="Q23" s="17">
        <f>+Q24*Q15</f>
        <v>7.327820500000003</v>
      </c>
      <c r="R23" s="17">
        <f>+R24*R15</f>
        <v>8.060602550000004</v>
      </c>
      <c r="S23" s="17">
        <f>+S24*S15</f>
        <v>8.866662805000006</v>
      </c>
      <c r="T23" s="17">
        <f>+T24*T15</f>
        <v>9.753329085500006</v>
      </c>
      <c r="U23" s="17">
        <f>+U24*U15</f>
        <v>10.728661994050007</v>
      </c>
      <c r="V23" s="17">
        <f>+V24*V15</f>
        <v>11.80152819345501</v>
      </c>
    </row>
    <row r="24" ht="14.25" customHeight="1" spans="1:22" x14ac:dyDescent="0.25">
      <c r="A24" t="s">
        <v>0</v>
      </c>
      <c r="B24" t="s">
        <v>0</v>
      </c>
      <c r="C24" s="30" t="s">
        <v>47</v>
      </c>
      <c r="D24" s="31" t="s">
        <v>0</v>
      </c>
      <c r="E24" s="31" t="s">
        <v>0</v>
      </c>
      <c r="F24" s="32">
        <f>+F23/F15</f>
        <v>0.3</v>
      </c>
      <c r="G24" s="32">
        <f>+G23/G15</f>
        <v>0.3</v>
      </c>
      <c r="H24" s="32">
        <f>+H23/H15</f>
        <v>0.3</v>
      </c>
      <c r="I24" s="32">
        <f>+I23/I15</f>
        <v>0.3</v>
      </c>
      <c r="J24" s="32">
        <f>+J23/J15</f>
        <v>0.3</v>
      </c>
      <c r="K24" s="32">
        <f>+K23/K15</f>
        <v>0.38461538461538464</v>
      </c>
      <c r="L24" s="33" t="s">
        <v>0</v>
      </c>
      <c r="M24" s="34">
        <f>+'Operational Assumptions'!M43</f>
        <v>0.35</v>
      </c>
      <c r="N24" s="34">
        <f>+'Operational Assumptions'!N43</f>
        <v>0.35</v>
      </c>
      <c r="O24" s="34">
        <f>+'Operational Assumptions'!O43</f>
        <v>0.35</v>
      </c>
      <c r="P24" s="34">
        <f>+'Operational Assumptions'!P43</f>
        <v>0.35</v>
      </c>
      <c r="Q24" s="34">
        <f>+'Operational Assumptions'!Q43</f>
        <v>0.35</v>
      </c>
      <c r="R24" s="34">
        <f>+'Operational Assumptions'!R43</f>
        <v>0.35</v>
      </c>
      <c r="S24" s="34">
        <f>+'Operational Assumptions'!S43</f>
        <v>0.35</v>
      </c>
      <c r="T24" s="34">
        <f>+'Operational Assumptions'!T43</f>
        <v>0.35</v>
      </c>
      <c r="U24" s="34">
        <f>+'Operational Assumptions'!U43</f>
        <v>0.35</v>
      </c>
      <c r="V24" s="34">
        <f>+'Operational Assumptions'!V43</f>
        <v>0.35</v>
      </c>
    </row>
    <row r="25" ht="14.25" customHeight="1" spans="1:22" x14ac:dyDescent="0.25">
      <c r="A25" t="s">
        <v>0</v>
      </c>
      <c r="B25" t="s">
        <v>0</v>
      </c>
      <c r="C25" s="15" t="s">
        <v>45</v>
      </c>
      <c r="D25" s="15" t="s">
        <v>0</v>
      </c>
      <c r="E25" s="15" t="s">
        <v>0</v>
      </c>
      <c r="F25" s="23">
        <v>1</v>
      </c>
      <c r="G25" s="23">
        <v>1</v>
      </c>
      <c r="H25" s="23">
        <v>1</v>
      </c>
      <c r="I25" s="23">
        <v>1</v>
      </c>
      <c r="J25" s="23">
        <v>1</v>
      </c>
      <c r="K25" s="23">
        <v>2</v>
      </c>
      <c r="L25" s="29" t="s">
        <v>0</v>
      </c>
      <c r="M25" s="17">
        <f>+M26*M17</f>
        <v>1.1025</v>
      </c>
      <c r="N25" s="17">
        <f>+N26*N17</f>
        <v>1.1576250000000001</v>
      </c>
      <c r="O25" s="17">
        <f>+O26*O17</f>
        <v>1.2155062500000002</v>
      </c>
      <c r="P25" s="17">
        <f>+P26*P17</f>
        <v>1.2762815625000001</v>
      </c>
      <c r="Q25" s="17">
        <f>+Q26*Q17</f>
        <v>1.3400956406250002</v>
      </c>
      <c r="R25" s="17">
        <f>+R26*R17</f>
        <v>1.4071004226562505</v>
      </c>
      <c r="S25" s="17">
        <f>+S26*S17</f>
        <v>1.477455443789063</v>
      </c>
      <c r="T25" s="17">
        <f>+T26*T17</f>
        <v>1.5513282159785162</v>
      </c>
      <c r="U25" s="17">
        <f>+U26*U17</f>
        <v>1.628894626777442</v>
      </c>
      <c r="V25" s="17">
        <f>+V26*V17</f>
        <v>1.7103393581163142</v>
      </c>
    </row>
    <row r="26" ht="14.25" customHeight="1" spans="1:22" x14ac:dyDescent="0.25">
      <c r="A26" t="s">
        <v>0</v>
      </c>
      <c r="B26" t="s">
        <v>0</v>
      </c>
      <c r="C26" s="30" t="s">
        <v>47</v>
      </c>
      <c r="D26" s="31" t="s">
        <v>0</v>
      </c>
      <c r="E26" s="31" t="s">
        <v>0</v>
      </c>
      <c r="F26" s="32">
        <f>+F25/F17</f>
        <v>1</v>
      </c>
      <c r="G26" s="32">
        <f>+G25/G17</f>
        <v>1</v>
      </c>
      <c r="H26" s="32">
        <f>+H25/H17</f>
        <v>1</v>
      </c>
      <c r="I26" s="32">
        <f>+I25/I17</f>
        <v>1</v>
      </c>
      <c r="J26" s="32">
        <f>+J25/J17</f>
        <v>1</v>
      </c>
      <c r="K26" s="32">
        <f>+K25/K17</f>
        <v>0.6666666666666666</v>
      </c>
      <c r="L26" s="33" t="s">
        <v>0</v>
      </c>
      <c r="M26" s="34">
        <f>+'Operational Assumptions'!M48</f>
        <v>0.35</v>
      </c>
      <c r="N26" s="34">
        <f>+'Operational Assumptions'!N48</f>
        <v>0.35</v>
      </c>
      <c r="O26" s="34">
        <f>+'Operational Assumptions'!O48</f>
        <v>0.35</v>
      </c>
      <c r="P26" s="34">
        <f>+'Operational Assumptions'!P48</f>
        <v>0.35</v>
      </c>
      <c r="Q26" s="34">
        <f>+'Operational Assumptions'!Q48</f>
        <v>0.35</v>
      </c>
      <c r="R26" s="34">
        <f>+'Operational Assumptions'!R48</f>
        <v>0.35</v>
      </c>
      <c r="S26" s="34">
        <f>+'Operational Assumptions'!S48</f>
        <v>0.35</v>
      </c>
      <c r="T26" s="34">
        <f>+'Operational Assumptions'!T48</f>
        <v>0.35</v>
      </c>
      <c r="U26" s="34">
        <f>+'Operational Assumptions'!U48</f>
        <v>0.35</v>
      </c>
      <c r="V26" s="34">
        <f>+'Operational Assumptions'!V48</f>
        <v>0.35</v>
      </c>
    </row>
    <row r="27" ht="14.25" customHeight="1" spans="1:22" x14ac:dyDescent="0.25">
      <c r="A27" t="s">
        <v>0</v>
      </c>
      <c r="B27" t="s">
        <v>0</v>
      </c>
      <c r="C27" s="35" t="s">
        <v>48</v>
      </c>
      <c r="D27" s="35" t="s">
        <v>0</v>
      </c>
      <c r="E27" s="35" t="s">
        <v>0</v>
      </c>
      <c r="F27" s="36">
        <f>+F25+F23+F21</f>
        <v>9</v>
      </c>
      <c r="G27" s="36">
        <f>+G25+G23+G21</f>
        <v>9</v>
      </c>
      <c r="H27" s="36">
        <f>+H25+H23+H21</f>
        <v>9</v>
      </c>
      <c r="I27" s="36">
        <f>+I25+I23+I21</f>
        <v>9</v>
      </c>
      <c r="J27" s="36">
        <f>+J25+J23+J21</f>
        <v>9</v>
      </c>
      <c r="K27" s="36">
        <f>+K25+K23+K21</f>
        <v>17</v>
      </c>
      <c r="L27" s="35" t="s">
        <v>0</v>
      </c>
      <c r="M27" s="37">
        <f>+M25+M23+M21</f>
        <v>13.8075</v>
      </c>
      <c r="N27" s="37">
        <f>+N25+N23+N21</f>
        <v>15.133125000000001</v>
      </c>
      <c r="O27" s="37">
        <f>+O25+O23+O21</f>
        <v>16.588556250000003</v>
      </c>
      <c r="P27" s="37">
        <f>+P25+P23+P21</f>
        <v>18.186636562500006</v>
      </c>
      <c r="Q27" s="37">
        <f>+Q25+Q23+Q21</f>
        <v>19.941486140625003</v>
      </c>
      <c r="R27" s="37">
        <f>+R25+R23+R21</f>
        <v>21.868629972656258</v>
      </c>
      <c r="S27" s="37">
        <f>+S25+S23+S21</f>
        <v>23.985137948789074</v>
      </c>
      <c r="T27" s="37">
        <f>+T25+T23+T21</f>
        <v>26.30977897147853</v>
      </c>
      <c r="U27" s="37">
        <f>+U25+U23+U21</f>
        <v>28.863190457827457</v>
      </c>
      <c r="V27" s="37">
        <f>+V25+V23+V21</f>
        <v>31.668064772271336</v>
      </c>
    </row>
    <row r="28" ht="14.25" customHeight="1" spans="1:22" x14ac:dyDescent="0.25">
      <c r="A28" t="s">
        <v>0</v>
      </c>
      <c r="B28" t="s">
        <v>0</v>
      </c>
      <c r="C28" s="30" t="s">
        <v>47</v>
      </c>
      <c r="D28" s="15" t="s">
        <v>0</v>
      </c>
      <c r="E28" s="15" t="s">
        <v>0</v>
      </c>
      <c r="F28" s="32">
        <f>+F27/F19</f>
        <v>0.34615384615384615</v>
      </c>
      <c r="G28" s="32">
        <f>+G27/G19</f>
        <v>0.34615384615384615</v>
      </c>
      <c r="H28" s="32">
        <f>+H27/H19</f>
        <v>0.34615384615384615</v>
      </c>
      <c r="I28" s="32">
        <f>+I27/I19</f>
        <v>0.34615384615384615</v>
      </c>
      <c r="J28" s="32">
        <f>+J27/J19</f>
        <v>0.34615384615384615</v>
      </c>
      <c r="K28" s="32">
        <f>+K27/K19</f>
        <v>0.4722222222222222</v>
      </c>
      <c r="L28" s="29" t="s">
        <v>0</v>
      </c>
      <c r="M28" s="32">
        <f>+M27/M19</f>
        <v>0.35</v>
      </c>
      <c r="N28" s="32">
        <f>+N27/N19</f>
        <v>0.35</v>
      </c>
      <c r="O28" s="32">
        <f>+O27/O19</f>
        <v>0.35</v>
      </c>
      <c r="P28" s="32">
        <f>+P27/P19</f>
        <v>0.35</v>
      </c>
      <c r="Q28" s="32">
        <f>+Q27/Q19</f>
        <v>0.3499999999999999</v>
      </c>
      <c r="R28" s="32">
        <f>+R27/R19</f>
        <v>0.35</v>
      </c>
      <c r="S28" s="32">
        <f>+S27/S19</f>
        <v>0.35</v>
      </c>
      <c r="T28" s="32">
        <f>+T27/T19</f>
        <v>0.3499999999999999</v>
      </c>
      <c r="U28" s="32">
        <f>+U27/U19</f>
        <v>0.3499999999999999</v>
      </c>
      <c r="V28" s="32">
        <f>+V27/V19</f>
        <v>0.35</v>
      </c>
    </row>
    <row r="29" ht="14.25" customHeight="1" spans="1:22" x14ac:dyDescent="0.25">
      <c r="A29" t="s">
        <v>0</v>
      </c>
      <c r="B29" t="s">
        <v>0</v>
      </c>
      <c r="C29" s="15" t="s">
        <v>49</v>
      </c>
      <c r="D29" s="15" t="s">
        <v>0</v>
      </c>
      <c r="E29" s="15" t="s">
        <v>0</v>
      </c>
      <c r="F29" s="23">
        <v>-10</v>
      </c>
      <c r="G29" s="23">
        <v>-10</v>
      </c>
      <c r="H29" s="23">
        <v>-10</v>
      </c>
      <c r="I29" s="23">
        <v>-10</v>
      </c>
      <c r="J29" s="23">
        <v>-10</v>
      </c>
      <c r="K29" s="23">
        <v>-12</v>
      </c>
      <c r="L29" s="29" t="s">
        <v>0</v>
      </c>
      <c r="M29" s="17">
        <f>+M31-M27</f>
        <v>-3.9449999999999985</v>
      </c>
      <c r="N29" s="17">
        <f>+N31-N27</f>
        <v>-4.32375</v>
      </c>
      <c r="O29" s="17">
        <f>+O31-O27</f>
        <v>-4.739587500000001</v>
      </c>
      <c r="P29" s="17">
        <f>+P31-P27</f>
        <v>-5.196181875000001</v>
      </c>
      <c r="Q29" s="17">
        <f>+Q31-Q27</f>
        <v>-5.697567468749998</v>
      </c>
      <c r="R29" s="17">
        <f>+R31-R27</f>
        <v>-6.248179992187502</v>
      </c>
      <c r="S29" s="17">
        <f>+S31-S27</f>
        <v>-6.852896556796878</v>
      </c>
      <c r="T29" s="17">
        <f>+T31-T27</f>
        <v>-7.51707970613672</v>
      </c>
      <c r="U29" s="17">
        <f>+U31-U27</f>
        <v>-8.246625845093554</v>
      </c>
      <c r="V29" s="17">
        <f>+V31-V27</f>
        <v>-9.048018506363238</v>
      </c>
    </row>
    <row r="30" ht="14.25" customHeight="1" spans="1:22" x14ac:dyDescent="0.25">
      <c r="A30" t="s">
        <v>0</v>
      </c>
      <c r="B30" t="s">
        <v>0</v>
      </c>
      <c r="C30" s="30" t="s">
        <v>15</v>
      </c>
      <c r="D30" s="15" t="s">
        <v>0</v>
      </c>
      <c r="E30" s="15" t="s">
        <v>0</v>
      </c>
      <c r="F30" s="38" t="s">
        <v>0</v>
      </c>
      <c r="G30" s="38">
        <f>+G29/F29-1</f>
        <v>0</v>
      </c>
      <c r="H30" s="38">
        <f>+H29/G29-1</f>
        <v>0</v>
      </c>
      <c r="I30" s="38">
        <f>+I29/H29-1</f>
        <v>0</v>
      </c>
      <c r="J30" s="38">
        <f>+J29/I29-1</f>
        <v>0</v>
      </c>
      <c r="K30" s="38">
        <f>+K29/J29-1</f>
        <v>0.19999999999999996</v>
      </c>
      <c r="L30" s="29" t="s">
        <v>0</v>
      </c>
      <c r="M30" s="38">
        <f>+M29/K29-1</f>
        <v>-0.6712500000000001</v>
      </c>
      <c r="N30" s="38">
        <f>+N29/M29-1</f>
        <v>0.09600760456273827</v>
      </c>
      <c r="O30" s="38">
        <f>+O29/N29-1</f>
        <v>0.09617519514310491</v>
      </c>
      <c r="P30" s="38">
        <f>+P29/O29-1</f>
        <v>0.09633631091313322</v>
      </c>
      <c r="Q30" s="38">
        <f>+Q29/P29-1</f>
        <v>0.09649115558527233</v>
      </c>
      <c r="R30" s="38">
        <f>+R29/Q29-1</f>
        <v>0.09663993036633656</v>
      </c>
      <c r="S30" s="38">
        <f>+S29/R29-1</f>
        <v>0.0967828336196288</v>
      </c>
      <c r="T30" s="38">
        <f>+T29/S29-1</f>
        <v>0.09692006056637292</v>
      </c>
      <c r="U30" s="38">
        <f>+U29/T29-1</f>
        <v>0.0970518030241525</v>
      </c>
      <c r="V30" s="38">
        <f>+V29/U29-1</f>
        <v>0.09717824918011586</v>
      </c>
    </row>
    <row r="31" ht="14.25" customHeight="1" spans="1:22" x14ac:dyDescent="0.25">
      <c r="A31" t="s">
        <v>0</v>
      </c>
      <c r="B31" t="s">
        <v>0</v>
      </c>
      <c r="C31" s="35" t="s">
        <v>50</v>
      </c>
      <c r="D31" s="35" t="s">
        <v>0</v>
      </c>
      <c r="E31" s="35" t="s">
        <v>0</v>
      </c>
      <c r="F31" s="36">
        <v>0.8</v>
      </c>
      <c r="G31" s="36">
        <v>1</v>
      </c>
      <c r="H31" s="36">
        <v>1.5</v>
      </c>
      <c r="I31" s="36">
        <v>2</v>
      </c>
      <c r="J31" s="36">
        <v>3.5</v>
      </c>
      <c r="K31" s="36">
        <f>+K27+K29</f>
        <v>5</v>
      </c>
      <c r="L31" s="35" t="s">
        <v>0</v>
      </c>
      <c r="M31" s="37">
        <f>+M32*M19</f>
        <v>9.8625</v>
      </c>
      <c r="N31" s="37">
        <f>+N32*N19</f>
        <v>10.809375000000001</v>
      </c>
      <c r="O31" s="37">
        <f>+O32*O19</f>
        <v>11.848968750000003</v>
      </c>
      <c r="P31" s="37">
        <f>+P32*P19</f>
        <v>12.990454687500005</v>
      </c>
      <c r="Q31" s="37">
        <f>+Q32*Q19</f>
        <v>14.243918671875004</v>
      </c>
      <c r="R31" s="37">
        <f>+R32*R19</f>
        <v>15.620449980468756</v>
      </c>
      <c r="S31" s="37">
        <f>+S32*S19</f>
        <v>17.132241391992196</v>
      </c>
      <c r="T31" s="37">
        <f>+T32*T19</f>
        <v>18.79269926534181</v>
      </c>
      <c r="U31" s="37">
        <f>+U32*U19</f>
        <v>20.616564612733903</v>
      </c>
      <c r="V31" s="37">
        <f>+V32*V19</f>
        <v>22.620046265908098</v>
      </c>
    </row>
    <row r="32" ht="14.25" customHeight="1" spans="1:22" x14ac:dyDescent="0.25">
      <c r="A32" t="s">
        <v>0</v>
      </c>
      <c r="B32" t="s">
        <v>0</v>
      </c>
      <c r="C32" s="30" t="s">
        <v>47</v>
      </c>
      <c r="D32" s="15" t="s">
        <v>0</v>
      </c>
      <c r="E32" s="15" t="s">
        <v>0</v>
      </c>
      <c r="F32" s="38">
        <f>+F31/F19</f>
        <v>0.03076923076923077</v>
      </c>
      <c r="G32" s="38">
        <f>+G31/G19</f>
        <v>0.038461538461538464</v>
      </c>
      <c r="H32" s="38">
        <f>+H31/H19</f>
        <v>0.057692307692307696</v>
      </c>
      <c r="I32" s="38">
        <f>+I31/I19</f>
        <v>0.07692307692307693</v>
      </c>
      <c r="J32" s="38">
        <f>+J31/J19</f>
        <v>0.1346153846153846</v>
      </c>
      <c r="K32" s="38">
        <f>+K31/K19</f>
        <v>0.1388888888888889</v>
      </c>
      <c r="L32" s="29" t="s">
        <v>0</v>
      </c>
      <c r="M32" s="34">
        <f>+'Operational Assumptions'!M54</f>
        <v>0.25</v>
      </c>
      <c r="N32" s="34">
        <f>+'Operational Assumptions'!N54</f>
        <v>0.25</v>
      </c>
      <c r="O32" s="34">
        <f>+'Operational Assumptions'!O54</f>
        <v>0.25</v>
      </c>
      <c r="P32" s="34">
        <f>+'Operational Assumptions'!P54</f>
        <v>0.25</v>
      </c>
      <c r="Q32" s="34">
        <f>+'Operational Assumptions'!Q54</f>
        <v>0.25</v>
      </c>
      <c r="R32" s="34">
        <f>+'Operational Assumptions'!R54</f>
        <v>0.25</v>
      </c>
      <c r="S32" s="34">
        <f>+'Operational Assumptions'!S54</f>
        <v>0.25</v>
      </c>
      <c r="T32" s="34">
        <f>+'Operational Assumptions'!T54</f>
        <v>0.25</v>
      </c>
      <c r="U32" s="34">
        <f>+'Operational Assumptions'!U54</f>
        <v>0.25</v>
      </c>
      <c r="V32" s="34">
        <f>+'Operational Assumptions'!V54</f>
        <v>0.25</v>
      </c>
    </row>
    <row r="33" ht="14.25" customHeight="1" spans="1:22" x14ac:dyDescent="0.25">
      <c r="A33" t="s">
        <v>0</v>
      </c>
      <c r="B33" t="s">
        <v>0</v>
      </c>
      <c r="C33" s="30" t="s">
        <v>15</v>
      </c>
      <c r="D33" s="15" t="s">
        <v>0</v>
      </c>
      <c r="E33" s="15" t="s">
        <v>0</v>
      </c>
      <c r="F33" s="15" t="s">
        <v>0</v>
      </c>
      <c r="G33" s="39">
        <f>+G31/F31-1</f>
        <v>0.25</v>
      </c>
      <c r="H33" s="39">
        <f>+H31/G31-1</f>
        <v>0.5</v>
      </c>
      <c r="I33" s="39">
        <f>+I31/H31-1</f>
        <v>0.33333333333333326</v>
      </c>
      <c r="J33" s="39">
        <f>+J31/I31-1</f>
        <v>0.75</v>
      </c>
      <c r="K33" s="39">
        <f>+K31/J31-1</f>
        <v>0.4285714285714286</v>
      </c>
      <c r="L33" s="29" t="s">
        <v>0</v>
      </c>
      <c r="M33" s="39">
        <f>+M31/K31-1</f>
        <v>0.9725000000000001</v>
      </c>
      <c r="N33" s="39">
        <f>+N31/M31-1</f>
        <v>0.0960076045627376</v>
      </c>
      <c r="O33" s="39">
        <f>+O31/N31-1</f>
        <v>0.09617519514310513</v>
      </c>
      <c r="P33" s="39">
        <f>+P31/O31-1</f>
        <v>0.09633631091313344</v>
      </c>
      <c r="Q33" s="39">
        <f>+Q31/P31-1</f>
        <v>0.09649115558527277</v>
      </c>
      <c r="R33" s="39">
        <f>+R31/Q31-1</f>
        <v>0.09663993036633589</v>
      </c>
      <c r="S33" s="39">
        <f>+S31/R31-1</f>
        <v>0.0967828336196288</v>
      </c>
      <c r="T33" s="39">
        <f>+T31/S31-1</f>
        <v>0.09692006056637337</v>
      </c>
      <c r="U33" s="39">
        <f>+U31/T31-1</f>
        <v>0.09705180302415273</v>
      </c>
      <c r="V33" s="39">
        <f>+V31/U31-1</f>
        <v>0.09717824918011497</v>
      </c>
    </row>
    <row r="34" ht="14.25" customHeight="1" spans="1:22" x14ac:dyDescent="0.25">
      <c r="A34" t="s">
        <v>0</v>
      </c>
      <c r="B34" t="s">
        <v>0</v>
      </c>
      <c r="C34" s="18" t="s">
        <v>51</v>
      </c>
      <c r="D34" s="15" t="s">
        <v>0</v>
      </c>
      <c r="E34" s="15" t="s">
        <v>0</v>
      </c>
      <c r="F34" s="23">
        <v>-0.5</v>
      </c>
      <c r="G34" s="23">
        <v>-0.5</v>
      </c>
      <c r="H34" s="23">
        <v>-0.5</v>
      </c>
      <c r="I34" s="23">
        <v>-0.5</v>
      </c>
      <c r="J34" s="23">
        <v>-0.5</v>
      </c>
      <c r="K34" s="23">
        <v>-0.5</v>
      </c>
      <c r="L34" s="29" t="s">
        <v>0</v>
      </c>
      <c r="M34" s="17">
        <f>+M35*M48</f>
        <v>-0.9862500000000001</v>
      </c>
      <c r="N34" s="17">
        <f>+N35*N48</f>
        <v>-1.0809375</v>
      </c>
      <c r="O34" s="17">
        <f>+O35*O48</f>
        <v>-1.1848968750000004</v>
      </c>
      <c r="P34" s="17">
        <f>+P35*P48</f>
        <v>-1.2990454687500006</v>
      </c>
      <c r="Q34" s="17">
        <f>+Q35*Q48</f>
        <v>-1.4243918671875004</v>
      </c>
      <c r="R34" s="17">
        <f>+R35*R48</f>
        <v>-1.5620449980468756</v>
      </c>
      <c r="S34" s="17">
        <f>+S35*S48</f>
        <v>-1.7132241391992196</v>
      </c>
      <c r="T34" s="17">
        <f>+T35*T48</f>
        <v>-1.879269926534181</v>
      </c>
      <c r="U34" s="17">
        <f>+U35*U48</f>
        <v>-2.0616564612733903</v>
      </c>
      <c r="V34" s="17">
        <f>+V35*V48</f>
        <v>-2.26200462659081</v>
      </c>
    </row>
    <row r="35" ht="14.25" customHeight="1" spans="1:22" x14ac:dyDescent="0.25">
      <c r="A35" t="s">
        <v>0</v>
      </c>
      <c r="B35" t="s">
        <v>0</v>
      </c>
      <c r="C35" s="30" t="s">
        <v>52</v>
      </c>
      <c r="D35" s="15" t="s">
        <v>0</v>
      </c>
      <c r="E35" s="15" t="s">
        <v>0</v>
      </c>
      <c r="F35" s="38" t="str">
        <f>+F34/F48</f>
        <v>#DIV/0!</v>
      </c>
      <c r="G35" s="38" t="str">
        <f>+G34/G48</f>
        <v>#DIV/0!</v>
      </c>
      <c r="H35" s="38" t="str">
        <f>+H34/H48</f>
        <v>#DIV/0!</v>
      </c>
      <c r="I35" s="38" t="str">
        <f>+I34/I48</f>
        <v>#DIV/0!</v>
      </c>
      <c r="J35" s="38" t="str">
        <f>+J34/J48</f>
        <v>#DIV/0!</v>
      </c>
      <c r="K35" s="38">
        <f>+K34/K48</f>
        <v>0.6944444444444444</v>
      </c>
      <c r="L35" s="29" t="s">
        <v>0</v>
      </c>
      <c r="M35" s="34">
        <f>+'Operational Assumptions'!M65</f>
        <v>0.5</v>
      </c>
      <c r="N35" s="34">
        <f>+'Operational Assumptions'!N65</f>
        <v>0.5</v>
      </c>
      <c r="O35" s="34">
        <f>+'Operational Assumptions'!O65</f>
        <v>0.5</v>
      </c>
      <c r="P35" s="34">
        <f>+'Operational Assumptions'!P65</f>
        <v>0.5</v>
      </c>
      <c r="Q35" s="34">
        <f>+'Operational Assumptions'!Q65</f>
        <v>0.5</v>
      </c>
      <c r="R35" s="34">
        <f>+'Operational Assumptions'!R65</f>
        <v>0.5</v>
      </c>
      <c r="S35" s="34">
        <f>+'Operational Assumptions'!S65</f>
        <v>0.5</v>
      </c>
      <c r="T35" s="34">
        <f>+'Operational Assumptions'!T65</f>
        <v>0.5</v>
      </c>
      <c r="U35" s="34">
        <f>+'Operational Assumptions'!U65</f>
        <v>0.5</v>
      </c>
      <c r="V35" s="34">
        <f>+'Operational Assumptions'!V65</f>
        <v>0.5</v>
      </c>
    </row>
    <row r="36" ht="14.25" customHeight="1" spans="1:22" x14ac:dyDescent="0.25">
      <c r="A36" t="s">
        <v>0</v>
      </c>
      <c r="B36" t="s">
        <v>0</v>
      </c>
      <c r="C36" s="35" t="s">
        <v>53</v>
      </c>
      <c r="D36" s="35" t="s">
        <v>0</v>
      </c>
      <c r="E36" s="35" t="s">
        <v>0</v>
      </c>
      <c r="F36" s="36">
        <f>+F31+F34</f>
        <v>0.30000000000000004</v>
      </c>
      <c r="G36" s="36">
        <f>+G31+G34</f>
        <v>0.5</v>
      </c>
      <c r="H36" s="36">
        <f>+H31+H34</f>
        <v>1</v>
      </c>
      <c r="I36" s="36">
        <f>+I31+I34</f>
        <v>1.5</v>
      </c>
      <c r="J36" s="36">
        <f>+J31+J34</f>
        <v>3</v>
      </c>
      <c r="K36" s="36">
        <f>+K31+K34</f>
        <v>4.5</v>
      </c>
      <c r="L36" s="35" t="s">
        <v>0</v>
      </c>
      <c r="M36" s="37">
        <f>+M31+M34</f>
        <v>8.87625</v>
      </c>
      <c r="N36" s="37">
        <f>+N31+N34</f>
        <v>9.728437500000002</v>
      </c>
      <c r="O36" s="37">
        <f>+O31+O34</f>
        <v>10.664071875000003</v>
      </c>
      <c r="P36" s="37">
        <f>+P31+P34</f>
        <v>11.691409218750005</v>
      </c>
      <c r="Q36" s="37">
        <f>+Q31+Q34</f>
        <v>12.819526804687504</v>
      </c>
      <c r="R36" s="37">
        <f>+R31+R34</f>
        <v>14.05840498242188</v>
      </c>
      <c r="S36" s="37">
        <f>+S31+S34</f>
        <v>15.419017252792976</v>
      </c>
      <c r="T36" s="37">
        <f>+T31+T34</f>
        <v>16.913429338807628</v>
      </c>
      <c r="U36" s="37">
        <f>+U31+U34</f>
        <v>18.554908151460513</v>
      </c>
      <c r="V36" s="37">
        <f>+V31+V34</f>
        <v>20.35804163931729</v>
      </c>
    </row>
    <row r="37" ht="14.25" customHeight="1" spans="1:22" x14ac:dyDescent="0.25">
      <c r="A37" t="s">
        <v>0</v>
      </c>
      <c r="B37" t="s">
        <v>0</v>
      </c>
      <c r="C37" s="30" t="s">
        <v>47</v>
      </c>
      <c r="D37" s="15" t="s">
        <v>0</v>
      </c>
      <c r="E37" s="15" t="s">
        <v>0</v>
      </c>
      <c r="F37" s="32">
        <f>+F36/F19</f>
        <v>0.01153846153846154</v>
      </c>
      <c r="G37" s="32">
        <f>+G36/G19</f>
        <v>0.019230769230769232</v>
      </c>
      <c r="H37" s="32">
        <f>+H36/H19</f>
        <v>0.038461538461538464</v>
      </c>
      <c r="I37" s="32">
        <f>+I36/I19</f>
        <v>0.057692307692307696</v>
      </c>
      <c r="J37" s="32">
        <f>+J36/J19</f>
        <v>0.11538461538461539</v>
      </c>
      <c r="K37" s="32">
        <f>+K36/K19</f>
        <v>0.125</v>
      </c>
      <c r="L37" s="40" t="s">
        <v>0</v>
      </c>
      <c r="M37" s="32">
        <f>+M36/M19</f>
        <v>0.225</v>
      </c>
      <c r="N37" s="32">
        <f>+N36/N19</f>
        <v>0.22500000000000003</v>
      </c>
      <c r="O37" s="32">
        <f>+O36/O19</f>
        <v>0.225</v>
      </c>
      <c r="P37" s="32">
        <f>+P36/P19</f>
        <v>0.225</v>
      </c>
      <c r="Q37" s="32">
        <f>+Q36/Q19</f>
        <v>0.225</v>
      </c>
      <c r="R37" s="32">
        <f>+R36/R19</f>
        <v>0.225</v>
      </c>
      <c r="S37" s="32">
        <f>+S36/S19</f>
        <v>0.225</v>
      </c>
      <c r="T37" s="32">
        <f>+T36/T19</f>
        <v>0.22499999999999998</v>
      </c>
      <c r="U37" s="32">
        <f>+U36/U19</f>
        <v>0.225</v>
      </c>
      <c r="V37" s="32">
        <f>+V36/V19</f>
        <v>0.225</v>
      </c>
    </row>
    <row r="38" ht="14.25" customHeight="1" spans="1:22" x14ac:dyDescent="0.25">
      <c r="A38" t="s">
        <v>0</v>
      </c>
      <c r="B38" t="s">
        <v>0</v>
      </c>
      <c r="C38" s="18" t="s">
        <v>54</v>
      </c>
      <c r="D38" s="15" t="s">
        <v>0</v>
      </c>
      <c r="E38" s="15" t="s">
        <v>0</v>
      </c>
      <c r="F38" s="17">
        <f>+F62</f>
        <v>0</v>
      </c>
      <c r="G38" s="17">
        <f>+G62</f>
        <v>0</v>
      </c>
      <c r="H38" s="17">
        <f>+H62</f>
        <v>0</v>
      </c>
      <c r="I38" s="17">
        <f>+I62</f>
        <v>0</v>
      </c>
      <c r="J38" s="17">
        <f>+J62</f>
        <v>0</v>
      </c>
      <c r="K38" s="17">
        <f>+K62</f>
        <v>0</v>
      </c>
      <c r="L38" s="41" t="s">
        <v>0</v>
      </c>
      <c r="M38" s="17">
        <f>+M62</f>
        <v>-1.25</v>
      </c>
      <c r="N38" s="17">
        <f>+N62</f>
        <v>-1.25</v>
      </c>
      <c r="O38" s="17">
        <f>+O62</f>
        <v>-1.25</v>
      </c>
      <c r="P38" s="17">
        <f>+P62</f>
        <v>-1.25</v>
      </c>
      <c r="Q38" s="17">
        <f>+Q62</f>
        <v>-1.25</v>
      </c>
      <c r="R38" s="17">
        <f>+R62</f>
        <v>-1.25</v>
      </c>
      <c r="S38" s="17">
        <f>+S62</f>
        <v>-1.25</v>
      </c>
      <c r="T38" s="17">
        <f>+T62</f>
        <v>-1.25</v>
      </c>
      <c r="U38" s="17">
        <f>+U62</f>
        <v>-1.25</v>
      </c>
      <c r="V38" s="17">
        <f>+V62</f>
        <v>-1.25</v>
      </c>
    </row>
    <row r="39" ht="14.25" customHeight="1" spans="1:22" x14ac:dyDescent="0.25">
      <c r="A39" t="s">
        <v>0</v>
      </c>
      <c r="B39" t="s">
        <v>0</v>
      </c>
      <c r="C39" s="35" t="s">
        <v>55</v>
      </c>
      <c r="D39" s="35" t="s">
        <v>0</v>
      </c>
      <c r="E39" s="35" t="s">
        <v>0</v>
      </c>
      <c r="F39" s="36">
        <f>+F38+F36</f>
        <v>0.30000000000000004</v>
      </c>
      <c r="G39" s="36">
        <f>+G38+G36</f>
        <v>0.5</v>
      </c>
      <c r="H39" s="36">
        <f>+H38+H36</f>
        <v>1</v>
      </c>
      <c r="I39" s="36">
        <f>+I38+I36</f>
        <v>1.5</v>
      </c>
      <c r="J39" s="36">
        <f>+J38+J36</f>
        <v>3</v>
      </c>
      <c r="K39" s="36">
        <f>+K38+K36</f>
        <v>4.5</v>
      </c>
      <c r="L39" s="35" t="s">
        <v>0</v>
      </c>
      <c r="M39" s="37">
        <f>+M38+M36</f>
        <v>7.626250000000001</v>
      </c>
      <c r="N39" s="37">
        <f>+N38+N36</f>
        <v>8.478437500000002</v>
      </c>
      <c r="O39" s="37">
        <f>+O38+O36</f>
        <v>9.414071875000003</v>
      </c>
      <c r="P39" s="37">
        <f>+P38+P36</f>
        <v>10.441409218750005</v>
      </c>
      <c r="Q39" s="37">
        <f>+Q38+Q36</f>
        <v>11.569526804687504</v>
      </c>
      <c r="R39" s="37">
        <f>+R38+R36</f>
        <v>12.80840498242188</v>
      </c>
      <c r="S39" s="37">
        <f>+S38+S36</f>
        <v>14.169017252792976</v>
      </c>
      <c r="T39" s="37">
        <f>+T38+T36</f>
        <v>15.663429338807628</v>
      </c>
      <c r="U39" s="37">
        <f>+U38+U36</f>
        <v>17.304908151460513</v>
      </c>
      <c r="V39" s="37">
        <f>+V38+V36</f>
        <v>19.10804163931729</v>
      </c>
    </row>
    <row r="40" ht="14.25" customHeight="1" spans="1:22" x14ac:dyDescent="0.25">
      <c r="A40" t="s">
        <v>0</v>
      </c>
      <c r="B40" t="s">
        <v>0</v>
      </c>
      <c r="C40" s="30" t="s">
        <v>47</v>
      </c>
      <c r="D40" s="15" t="s">
        <v>0</v>
      </c>
      <c r="E40" s="15" t="s">
        <v>0</v>
      </c>
      <c r="F40" s="32">
        <f>+F39/F19</f>
        <v>0.01153846153846154</v>
      </c>
      <c r="G40" s="32">
        <f>+G39/G19</f>
        <v>0.019230769230769232</v>
      </c>
      <c r="H40" s="32">
        <f>+H39/H19</f>
        <v>0.038461538461538464</v>
      </c>
      <c r="I40" s="32">
        <f>+I39/I19</f>
        <v>0.057692307692307696</v>
      </c>
      <c r="J40" s="32">
        <f>+J39/J19</f>
        <v>0.11538461538461539</v>
      </c>
      <c r="K40" s="32">
        <f>+K39/K19</f>
        <v>0.125</v>
      </c>
      <c r="L40" s="33" t="s">
        <v>0</v>
      </c>
      <c r="M40" s="32">
        <f>+M39/M19</f>
        <v>0.19331432192648923</v>
      </c>
      <c r="N40" s="32">
        <f>+N39/N19</f>
        <v>0.1960899103787222</v>
      </c>
      <c r="O40" s="32">
        <f>+O39/O19</f>
        <v>0.19862639681195887</v>
      </c>
      <c r="P40" s="32">
        <f>+P39/P19</f>
        <v>0.2009438751362028</v>
      </c>
      <c r="Q40" s="32">
        <f>+Q39/Q19</f>
        <v>0.20306081267389994</v>
      </c>
      <c r="R40" s="32">
        <f>+R39/R19</f>
        <v>0.20499417427854263</v>
      </c>
      <c r="S40" s="32">
        <f>+S39/S19</f>
        <v>0.20675953788824933</v>
      </c>
      <c r="T40" s="32">
        <f>+T39/T19</f>
        <v>0.20837120199777132</v>
      </c>
      <c r="U40" s="32">
        <f>+U39/U19</f>
        <v>0.20984228551797698</v>
      </c>
      <c r="V40" s="32">
        <f>+V39/V19</f>
        <v>0.21118482047620807</v>
      </c>
    </row>
    <row r="41" ht="14.25" customHeight="1" spans="1:22" x14ac:dyDescent="0.25">
      <c r="A41" t="s">
        <v>0</v>
      </c>
      <c r="B41" t="s">
        <v>0</v>
      </c>
      <c r="C41" s="18" t="s">
        <v>34</v>
      </c>
      <c r="D41" s="15" t="s">
        <v>0</v>
      </c>
      <c r="E41" s="15" t="s">
        <v>0</v>
      </c>
      <c r="F41" s="17">
        <f>+F39*F42*-1</f>
        <v>0</v>
      </c>
      <c r="G41" s="17">
        <f>+G39*G42*-1</f>
        <v>0</v>
      </c>
      <c r="H41" s="17">
        <f>+H39*H42*-1</f>
        <v>0</v>
      </c>
      <c r="I41" s="17">
        <f>+I39*I42*-1</f>
        <v>0</v>
      </c>
      <c r="J41" s="17">
        <f>+J39*J42*-1</f>
        <v>0</v>
      </c>
      <c r="K41" s="17">
        <f>+K39*K42*-1</f>
        <v>-0.9</v>
      </c>
      <c r="L41" s="29" t="s">
        <v>0</v>
      </c>
      <c r="M41" s="17">
        <f>+M39*M42*-1</f>
        <v>-1.5252500000000002</v>
      </c>
      <c r="N41" s="17">
        <f>+N39*N42*-1</f>
        <v>-1.6956875000000005</v>
      </c>
      <c r="O41" s="17">
        <f>+O39*O42*-1</f>
        <v>-1.8828143750000006</v>
      </c>
      <c r="P41" s="17">
        <f>+P39*P42*-1</f>
        <v>-2.0882818437500013</v>
      </c>
      <c r="Q41" s="17">
        <f>+Q39*Q42*-1</f>
        <v>-2.313905360937501</v>
      </c>
      <c r="R41" s="17">
        <f>+R39*R42*-1</f>
        <v>-2.5616809964843763</v>
      </c>
      <c r="S41" s="17">
        <f>+S39*S42*-1</f>
        <v>-2.8338034505585954</v>
      </c>
      <c r="T41" s="17">
        <f>+T39*T42*-1</f>
        <v>-3.1326858677615257</v>
      </c>
      <c r="U41" s="17">
        <f>+U39*U42*-1</f>
        <v>-3.460981630292103</v>
      </c>
      <c r="V41" s="17">
        <f>+V39*V42*-1</f>
        <v>-3.821608327863458</v>
      </c>
    </row>
    <row r="42" ht="14.25" customHeight="1" spans="1:22" x14ac:dyDescent="0.25">
      <c r="A42" t="s">
        <v>0</v>
      </c>
      <c r="B42" t="s">
        <v>0</v>
      </c>
      <c r="C42" s="30" t="s">
        <v>56</v>
      </c>
      <c r="D42" s="15" t="s">
        <v>0</v>
      </c>
      <c r="E42" s="15" t="s">
        <v>0</v>
      </c>
      <c r="F42" s="15" t="s">
        <v>0</v>
      </c>
      <c r="G42" s="15" t="s">
        <v>0</v>
      </c>
      <c r="H42" s="15" t="s">
        <v>0</v>
      </c>
      <c r="I42" s="15" t="s">
        <v>0</v>
      </c>
      <c r="J42" s="15" t="s">
        <v>0</v>
      </c>
      <c r="K42" s="32">
        <f>+'Operational Assumptions'!K71</f>
        <v>0.2</v>
      </c>
      <c r="L42" s="40" t="s">
        <v>0</v>
      </c>
      <c r="M42" s="32">
        <f>+'Operational Assumptions'!M71</f>
        <v>0.2</v>
      </c>
      <c r="N42" s="32">
        <f>+'Operational Assumptions'!N71</f>
        <v>0.2</v>
      </c>
      <c r="O42" s="32">
        <f>+'Operational Assumptions'!O71</f>
        <v>0.2</v>
      </c>
      <c r="P42" s="32">
        <f>+'Operational Assumptions'!P71</f>
        <v>0.2</v>
      </c>
      <c r="Q42" s="32">
        <f>+'Operational Assumptions'!Q71</f>
        <v>0.2</v>
      </c>
      <c r="R42" s="32">
        <f>+'Operational Assumptions'!R71</f>
        <v>0.2</v>
      </c>
      <c r="S42" s="32">
        <f>+'Operational Assumptions'!S71</f>
        <v>0.2</v>
      </c>
      <c r="T42" s="32">
        <f>+'Operational Assumptions'!T71</f>
        <v>0.2</v>
      </c>
      <c r="U42" s="32">
        <f>+'Operational Assumptions'!U71</f>
        <v>0.2</v>
      </c>
      <c r="V42" s="32">
        <f>+'Operational Assumptions'!V71</f>
        <v>0.2</v>
      </c>
    </row>
    <row r="43" ht="14.25" customHeight="1" spans="1:22" x14ac:dyDescent="0.25">
      <c r="A43" t="s">
        <v>0</v>
      </c>
      <c r="B43" t="s">
        <v>0</v>
      </c>
      <c r="C43" s="35" t="s">
        <v>57</v>
      </c>
      <c r="D43" s="35" t="s">
        <v>0</v>
      </c>
      <c r="E43" s="35" t="s">
        <v>0</v>
      </c>
      <c r="F43" s="36">
        <f>+F41+F39</f>
        <v>0.30000000000000004</v>
      </c>
      <c r="G43" s="36">
        <f>+G41+G39</f>
        <v>0.5</v>
      </c>
      <c r="H43" s="36">
        <f>+H41+H39</f>
        <v>1</v>
      </c>
      <c r="I43" s="36">
        <f>+I41+I39</f>
        <v>1.5</v>
      </c>
      <c r="J43" s="36">
        <f>+J41+J39</f>
        <v>3</v>
      </c>
      <c r="K43" s="36">
        <f>+K41+K39</f>
        <v>3.6</v>
      </c>
      <c r="L43" s="35" t="s">
        <v>0</v>
      </c>
      <c r="M43" s="37">
        <f>+M41+M39</f>
        <v>6.101000000000001</v>
      </c>
      <c r="N43" s="37">
        <f>+N41+N39</f>
        <v>6.782750000000002</v>
      </c>
      <c r="O43" s="37">
        <f>+O41+O39</f>
        <v>7.531257500000002</v>
      </c>
      <c r="P43" s="37">
        <f>+P41+P39</f>
        <v>8.353127375000003</v>
      </c>
      <c r="Q43" s="37">
        <f>+Q41+Q39</f>
        <v>9.255621443750004</v>
      </c>
      <c r="R43" s="37">
        <f>+R41+R39</f>
        <v>10.246723985937503</v>
      </c>
      <c r="S43" s="37">
        <f>+S41+S39</f>
        <v>11.335213802234382</v>
      </c>
      <c r="T43" s="37">
        <f>+T41+T39</f>
        <v>12.530743471046103</v>
      </c>
      <c r="U43" s="37">
        <f>+U41+U39</f>
        <v>13.84392652116841</v>
      </c>
      <c r="V43" s="37">
        <f>+V41+V39</f>
        <v>15.28643331145383</v>
      </c>
    </row>
    <row r="44" ht="14.25" customHeight="1" x14ac:dyDescent="0.25"/>
    <row r="45" ht="14.25" customHeight="1" spans="1:22" x14ac:dyDescent="0.25">
      <c r="A45" t="s">
        <v>0</v>
      </c>
      <c r="B45" t="s">
        <v>0</v>
      </c>
      <c r="C45" s="12" t="s">
        <v>58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</row>
    <row r="46" ht="14.25" customHeight="1" x14ac:dyDescent="0.25"/>
    <row r="47" ht="14.25" customHeight="1" spans="1:22" x14ac:dyDescent="0.25">
      <c r="A47" t="s">
        <v>0</v>
      </c>
      <c r="B47" t="s">
        <v>0</v>
      </c>
      <c r="C47" s="15" t="s">
        <v>29</v>
      </c>
      <c r="D47" s="15" t="s">
        <v>0</v>
      </c>
      <c r="E47" s="15" t="s">
        <v>0</v>
      </c>
      <c r="F47" s="17">
        <f>+F31</f>
        <v>0.8</v>
      </c>
      <c r="G47" s="17">
        <f>+G31</f>
        <v>1</v>
      </c>
      <c r="H47" s="17">
        <f>+H31</f>
        <v>1.5</v>
      </c>
      <c r="I47" s="17">
        <f>+I31</f>
        <v>2</v>
      </c>
      <c r="J47" s="17">
        <f>+J31</f>
        <v>3.5</v>
      </c>
      <c r="K47" s="17">
        <f>+K31</f>
        <v>5</v>
      </c>
      <c r="L47" s="41" t="s">
        <v>0</v>
      </c>
      <c r="M47" s="17">
        <f>+M31</f>
        <v>9.8625</v>
      </c>
      <c r="N47" s="17">
        <f>+N31</f>
        <v>10.809375000000001</v>
      </c>
      <c r="O47" s="17">
        <f>+O31</f>
        <v>11.848968750000003</v>
      </c>
      <c r="P47" s="17">
        <f>+P31</f>
        <v>12.990454687500005</v>
      </c>
      <c r="Q47" s="17">
        <f>+Q31</f>
        <v>14.243918671875004</v>
      </c>
      <c r="R47" s="17">
        <f>+R31</f>
        <v>15.620449980468756</v>
      </c>
      <c r="S47" s="17">
        <f>+S31</f>
        <v>17.132241391992196</v>
      </c>
      <c r="T47" s="17">
        <f>+T31</f>
        <v>18.79269926534181</v>
      </c>
      <c r="U47" s="17">
        <f>+U31</f>
        <v>20.616564612733903</v>
      </c>
      <c r="V47" s="17">
        <f>+V31</f>
        <v>22.620046265908098</v>
      </c>
    </row>
    <row r="48" ht="14.25" customHeight="1" spans="1:22" x14ac:dyDescent="0.25">
      <c r="A48" t="s">
        <v>0</v>
      </c>
      <c r="B48" t="s">
        <v>0</v>
      </c>
      <c r="C48" s="15" t="s">
        <v>59</v>
      </c>
      <c r="D48" s="15" t="s">
        <v>0</v>
      </c>
      <c r="E48" s="15" t="s">
        <v>0</v>
      </c>
      <c r="F48" s="17">
        <f>+'Operational Assumptions'!F60*F19*-1</f>
        <v>0</v>
      </c>
      <c r="G48" s="17">
        <f>+'Operational Assumptions'!G60*G19*-1</f>
        <v>0</v>
      </c>
      <c r="H48" s="17">
        <f>+'Operational Assumptions'!H60*H19*-1</f>
        <v>0</v>
      </c>
      <c r="I48" s="17">
        <f>+'Operational Assumptions'!I60*I19*-1</f>
        <v>0</v>
      </c>
      <c r="J48" s="17">
        <f>+'Operational Assumptions'!J60*J19*-1</f>
        <v>0</v>
      </c>
      <c r="K48" s="17">
        <f>+'Operational Assumptions'!K60*K19*-1</f>
        <v>-0.72</v>
      </c>
      <c r="L48" s="41" t="s">
        <v>0</v>
      </c>
      <c r="M48" s="17">
        <f>+'Operational Assumptions'!M60*M19*-1</f>
        <v>-1.9725000000000001</v>
      </c>
      <c r="N48" s="17">
        <f>+'Operational Assumptions'!N60*N19*-1</f>
        <v>-2.161875</v>
      </c>
      <c r="O48" s="17">
        <f>+'Operational Assumptions'!O60*O19*-1</f>
        <v>-2.369793750000001</v>
      </c>
      <c r="P48" s="17">
        <f>+'Operational Assumptions'!P60*P19*-1</f>
        <v>-2.598090937500001</v>
      </c>
      <c r="Q48" s="17">
        <f>+'Operational Assumptions'!Q60*Q19*-1</f>
        <v>-2.848783734375001</v>
      </c>
      <c r="R48" s="17">
        <f>+'Operational Assumptions'!R60*R19*-1</f>
        <v>-3.124089996093751</v>
      </c>
      <c r="S48" s="17">
        <f>+'Operational Assumptions'!S60*S19*-1</f>
        <v>-3.426448278398439</v>
      </c>
      <c r="T48" s="17">
        <f>+'Operational Assumptions'!T60*T19*-1</f>
        <v>-3.758539853068362</v>
      </c>
      <c r="U48" s="17">
        <f>+'Operational Assumptions'!U60*U19*-1</f>
        <v>-4.123312922546781</v>
      </c>
      <c r="V48" s="17">
        <f>+'Operational Assumptions'!V60*V19*-1</f>
        <v>-4.52400925318162</v>
      </c>
    </row>
    <row r="49" ht="14.25" customHeight="1" spans="1:22" x14ac:dyDescent="0.25">
      <c r="A49" t="s">
        <v>0</v>
      </c>
      <c r="B49" t="s">
        <v>0</v>
      </c>
      <c r="C49" s="15" t="s">
        <v>54</v>
      </c>
      <c r="D49" s="15" t="s">
        <v>0</v>
      </c>
      <c r="E49" s="15" t="s">
        <v>0</v>
      </c>
      <c r="F49" s="17">
        <f>+F38</f>
        <v>0</v>
      </c>
      <c r="G49" s="17">
        <f>+G38</f>
        <v>0</v>
      </c>
      <c r="H49" s="17">
        <f>+H38</f>
        <v>0</v>
      </c>
      <c r="I49" s="17">
        <f>+I38</f>
        <v>0</v>
      </c>
      <c r="J49" s="17">
        <f>+J38</f>
        <v>0</v>
      </c>
      <c r="K49" s="17">
        <f>+K38</f>
        <v>0</v>
      </c>
      <c r="L49" s="41" t="s">
        <v>0</v>
      </c>
      <c r="M49" s="17">
        <f>+M38</f>
        <v>-1.25</v>
      </c>
      <c r="N49" s="17">
        <f>+N38</f>
        <v>-1.25</v>
      </c>
      <c r="O49" s="17">
        <f>+O38</f>
        <v>-1.25</v>
      </c>
      <c r="P49" s="17">
        <f>+P38</f>
        <v>-1.25</v>
      </c>
      <c r="Q49" s="17">
        <f>+Q38</f>
        <v>-1.25</v>
      </c>
      <c r="R49" s="17">
        <f>+R38</f>
        <v>-1.25</v>
      </c>
      <c r="S49" s="17">
        <f>+S38</f>
        <v>-1.25</v>
      </c>
      <c r="T49" s="17">
        <f>+T38</f>
        <v>-1.25</v>
      </c>
      <c r="U49" s="17">
        <f>+U38</f>
        <v>-1.25</v>
      </c>
      <c r="V49" s="17">
        <f>+V38</f>
        <v>-1.25</v>
      </c>
    </row>
    <row r="50" ht="14.25" customHeight="1" spans="1:22" x14ac:dyDescent="0.25">
      <c r="A50" t="s">
        <v>0</v>
      </c>
      <c r="B50" t="s">
        <v>0</v>
      </c>
      <c r="C50" s="15" t="s">
        <v>34</v>
      </c>
      <c r="D50" s="15" t="s">
        <v>0</v>
      </c>
      <c r="E50" s="15" t="s">
        <v>0</v>
      </c>
      <c r="F50" s="17">
        <f>+F41</f>
        <v>0</v>
      </c>
      <c r="G50" s="17">
        <f>+G41</f>
        <v>0</v>
      </c>
      <c r="H50" s="17">
        <f>+H41</f>
        <v>0</v>
      </c>
      <c r="I50" s="17">
        <f>+I41</f>
        <v>0</v>
      </c>
      <c r="J50" s="17">
        <f>+J41</f>
        <v>0</v>
      </c>
      <c r="K50" s="17">
        <f>+K41</f>
        <v>-0.9</v>
      </c>
      <c r="L50" s="41" t="s">
        <v>0</v>
      </c>
      <c r="M50" s="17">
        <f>+M41</f>
        <v>-1.5252500000000002</v>
      </c>
      <c r="N50" s="17">
        <f>+N41</f>
        <v>-1.6956875000000005</v>
      </c>
      <c r="O50" s="17">
        <f>+O41</f>
        <v>-1.8828143750000006</v>
      </c>
      <c r="P50" s="17">
        <f>+P41</f>
        <v>-2.0882818437500013</v>
      </c>
      <c r="Q50" s="17">
        <f>+Q41</f>
        <v>-2.313905360937501</v>
      </c>
      <c r="R50" s="17">
        <f>+R41</f>
        <v>-2.5616809964843763</v>
      </c>
      <c r="S50" s="17">
        <f>+S41</f>
        <v>-2.8338034505585954</v>
      </c>
      <c r="T50" s="17">
        <f>+T41</f>
        <v>-3.1326858677615257</v>
      </c>
      <c r="U50" s="17">
        <f>+U41</f>
        <v>-3.460981630292103</v>
      </c>
      <c r="V50" s="17">
        <f>+V41</f>
        <v>-3.821608327863458</v>
      </c>
    </row>
    <row r="51" ht="14.25" customHeight="1" spans="1:22" x14ac:dyDescent="0.25">
      <c r="A51" t="s">
        <v>0</v>
      </c>
      <c r="B51" t="s">
        <v>0</v>
      </c>
      <c r="C51" s="15" t="s">
        <v>37</v>
      </c>
      <c r="D51" s="15" t="s">
        <v>0</v>
      </c>
      <c r="E51" s="15" t="s">
        <v>0</v>
      </c>
      <c r="F51" s="17" t="s">
        <v>0</v>
      </c>
      <c r="G51" s="17" t="s">
        <v>0</v>
      </c>
      <c r="H51" s="17" t="s">
        <v>0</v>
      </c>
      <c r="I51" s="17" t="s">
        <v>0</v>
      </c>
      <c r="J51" s="17" t="s">
        <v>0</v>
      </c>
      <c r="K51" s="17" t="s">
        <v>0</v>
      </c>
      <c r="L51" s="41" t="s">
        <v>0</v>
      </c>
      <c r="M51" s="17">
        <f>+'Operational Assumptions'!M74</f>
        <v>0</v>
      </c>
      <c r="N51" s="17">
        <f>+'Operational Assumptions'!N74</f>
        <v>0</v>
      </c>
      <c r="O51" s="17">
        <f>+'Operational Assumptions'!O74</f>
        <v>0</v>
      </c>
      <c r="P51" s="17">
        <f>+'Operational Assumptions'!P74</f>
        <v>0</v>
      </c>
      <c r="Q51" s="17">
        <f>+'Operational Assumptions'!Q74</f>
        <v>0</v>
      </c>
      <c r="R51" s="17">
        <f>+'Operational Assumptions'!R74</f>
        <v>0</v>
      </c>
      <c r="S51" s="17">
        <f>+'Operational Assumptions'!S74</f>
        <v>0</v>
      </c>
      <c r="T51" s="17">
        <f>+'Operational Assumptions'!T74</f>
        <v>0</v>
      </c>
      <c r="U51" s="17">
        <f>+'Operational Assumptions'!U74</f>
        <v>0</v>
      </c>
      <c r="V51" s="17">
        <f>+'Operational Assumptions'!V74</f>
        <v>0</v>
      </c>
    </row>
    <row r="52" ht="14.25" customHeight="1" spans="1:22" x14ac:dyDescent="0.25">
      <c r="A52" t="s">
        <v>0</v>
      </c>
      <c r="B52" t="s">
        <v>0</v>
      </c>
      <c r="C52" s="35" t="s">
        <v>60</v>
      </c>
      <c r="D52" s="35" t="s">
        <v>0</v>
      </c>
      <c r="E52" s="35" t="s">
        <v>0</v>
      </c>
      <c r="F52" s="37">
        <f>SUM(F47:F51)</f>
        <v>0.8</v>
      </c>
      <c r="G52" s="37">
        <f>SUM(G47:G51)</f>
        <v>1</v>
      </c>
      <c r="H52" s="37">
        <f>SUM(H47:H51)</f>
        <v>1.5</v>
      </c>
      <c r="I52" s="37">
        <f>SUM(I47:I51)</f>
        <v>2</v>
      </c>
      <c r="J52" s="37">
        <f>SUM(J47:J51)</f>
        <v>3.5</v>
      </c>
      <c r="K52" s="37">
        <f>SUM(K47:K51)</f>
        <v>3.3800000000000003</v>
      </c>
      <c r="L52" s="35" t="s">
        <v>0</v>
      </c>
      <c r="M52" s="37">
        <f>SUM(M47:M51)</f>
        <v>5.114750000000001</v>
      </c>
      <c r="N52" s="37">
        <f>SUM(N47:N51)</f>
        <v>5.701812500000001</v>
      </c>
      <c r="O52" s="37">
        <f>SUM(O47:O51)</f>
        <v>6.346360625000001</v>
      </c>
      <c r="P52" s="37">
        <f>SUM(P47:P51)</f>
        <v>7.054081906250003</v>
      </c>
      <c r="Q52" s="37">
        <f>SUM(Q47:Q51)</f>
        <v>7.831229576562503</v>
      </c>
      <c r="R52" s="37">
        <f>SUM(R47:R51)</f>
        <v>8.684678987890628</v>
      </c>
      <c r="S52" s="37">
        <f>SUM(S47:S51)</f>
        <v>9.621989663035162</v>
      </c>
      <c r="T52" s="37">
        <f>SUM(T47:T51)</f>
        <v>10.651473544511923</v>
      </c>
      <c r="U52" s="37">
        <f>SUM(U47:U51)</f>
        <v>11.78227005989502</v>
      </c>
      <c r="V52" s="37">
        <f>SUM(V47:V51)</f>
        <v>13.024428684863018</v>
      </c>
    </row>
    <row r="53" ht="10.5" customHeight="1" spans="1:22" x14ac:dyDescent="0.25">
      <c r="A53" t="s">
        <v>0</v>
      </c>
      <c r="B53" t="s">
        <v>0</v>
      </c>
      <c r="C53" s="15" t="s">
        <v>0</v>
      </c>
      <c r="D53" s="15" t="s">
        <v>0</v>
      </c>
      <c r="E53" s="15" t="s">
        <v>0</v>
      </c>
      <c r="F53" s="15" t="s">
        <v>0</v>
      </c>
      <c r="G53" s="15" t="s">
        <v>0</v>
      </c>
      <c r="H53" s="15" t="s">
        <v>0</v>
      </c>
      <c r="I53" s="15" t="s">
        <v>0</v>
      </c>
      <c r="J53" s="15" t="s">
        <v>0</v>
      </c>
      <c r="K53" s="15" t="s">
        <v>0</v>
      </c>
      <c r="L53" s="29" t="s">
        <v>0</v>
      </c>
      <c r="M53" s="15" t="s">
        <v>0</v>
      </c>
      <c r="N53" s="15" t="s">
        <v>0</v>
      </c>
      <c r="O53" s="15" t="s">
        <v>0</v>
      </c>
      <c r="P53" s="15" t="s">
        <v>0</v>
      </c>
      <c r="Q53" s="15" t="s">
        <v>0</v>
      </c>
      <c r="R53" s="15" t="s">
        <v>0</v>
      </c>
      <c r="S53" s="15" t="s">
        <v>0</v>
      </c>
      <c r="T53" s="15" t="s">
        <v>0</v>
      </c>
      <c r="U53" s="15" t="s">
        <v>0</v>
      </c>
      <c r="V53" s="15" t="s">
        <v>0</v>
      </c>
    </row>
    <row r="54" ht="14.25" customHeight="1" spans="1:22" x14ac:dyDescent="0.25">
      <c r="A54" t="s">
        <v>0</v>
      </c>
      <c r="B54" t="s">
        <v>0</v>
      </c>
      <c r="C54" s="35" t="s">
        <v>61</v>
      </c>
      <c r="D54" s="35" t="s">
        <v>0</v>
      </c>
      <c r="E54" s="35" t="s">
        <v>0</v>
      </c>
      <c r="F54" s="37">
        <f>+F47+F48+F51</f>
        <v>0.8</v>
      </c>
      <c r="G54" s="37">
        <f>+G47+G48+G51</f>
        <v>1</v>
      </c>
      <c r="H54" s="37">
        <f>+H47+H48+H51</f>
        <v>1.5</v>
      </c>
      <c r="I54" s="37">
        <f>+I47+I48+I51</f>
        <v>2</v>
      </c>
      <c r="J54" s="37">
        <f>+J47+J48+J51</f>
        <v>3.5</v>
      </c>
      <c r="K54" s="37">
        <f>+K47+K48+K51</f>
        <v>4.28</v>
      </c>
      <c r="L54" s="35" t="s">
        <v>0</v>
      </c>
      <c r="M54" s="37">
        <f>+M47+M48+M51</f>
        <v>7.890000000000001</v>
      </c>
      <c r="N54" s="37">
        <f>+N47+N48+N51</f>
        <v>8.6475</v>
      </c>
      <c r="O54" s="37">
        <f>+O47+O48+O51</f>
        <v>9.479175000000001</v>
      </c>
      <c r="P54" s="37">
        <f>+P47+P48+P51</f>
        <v>10.392363750000005</v>
      </c>
      <c r="Q54" s="37">
        <f>+Q47+Q48+Q51</f>
        <v>11.395134937500004</v>
      </c>
      <c r="R54" s="37">
        <f>+R47+R48+R51</f>
        <v>12.496359984375005</v>
      </c>
      <c r="S54" s="37">
        <f>+S47+S48+S51</f>
        <v>13.705793113593757</v>
      </c>
      <c r="T54" s="37">
        <f>+T47+T48+T51</f>
        <v>15.034159412273448</v>
      </c>
      <c r="U54" s="37">
        <f>+U47+U48+U51</f>
        <v>16.493251690187122</v>
      </c>
      <c r="V54" s="37">
        <f>+V47+V48+V51</f>
        <v>18.096037012726477</v>
      </c>
    </row>
    <row r="55" ht="14.25" customHeight="1" spans="1:22" x14ac:dyDescent="0.25">
      <c r="A55" t="s">
        <v>0</v>
      </c>
      <c r="B55" t="s">
        <v>0</v>
      </c>
      <c r="C55" s="30" t="s">
        <v>47</v>
      </c>
      <c r="D55" s="31" t="s">
        <v>0</v>
      </c>
      <c r="E55" s="31" t="s">
        <v>0</v>
      </c>
      <c r="F55" s="32">
        <f>+F54/F19</f>
        <v>0.03076923076923077</v>
      </c>
      <c r="G55" s="32">
        <f>+G54/G19</f>
        <v>0.038461538461538464</v>
      </c>
      <c r="H55" s="32">
        <f>+H54/H19</f>
        <v>0.057692307692307696</v>
      </c>
      <c r="I55" s="32">
        <f>+I54/I19</f>
        <v>0.07692307692307693</v>
      </c>
      <c r="J55" s="32">
        <f>+J54/J19</f>
        <v>0.1346153846153846</v>
      </c>
      <c r="K55" s="32">
        <f>+K54/K19</f>
        <v>0.11888888888888889</v>
      </c>
      <c r="L55" s="33" t="s">
        <v>0</v>
      </c>
      <c r="M55" s="32">
        <f>+M54/M19</f>
        <v>0.2</v>
      </c>
      <c r="N55" s="32">
        <f>+N54/N19</f>
        <v>0.2</v>
      </c>
      <c r="O55" s="32">
        <f>+O54/O19</f>
        <v>0.19999999999999998</v>
      </c>
      <c r="P55" s="32">
        <f>+P54/P19</f>
        <v>0.2</v>
      </c>
      <c r="Q55" s="32">
        <f>+Q54/Q19</f>
        <v>0.2</v>
      </c>
      <c r="R55" s="32">
        <f>+R54/R19</f>
        <v>0.2</v>
      </c>
      <c r="S55" s="32">
        <f>+S54/S19</f>
        <v>0.2</v>
      </c>
      <c r="T55" s="32">
        <f>+T54/T19</f>
        <v>0.2</v>
      </c>
      <c r="U55" s="32">
        <f>+U54/U19</f>
        <v>0.2</v>
      </c>
      <c r="V55" s="32">
        <f>+V54/V19</f>
        <v>0.19999999999999998</v>
      </c>
    </row>
    <row r="56" ht="14.25" customHeight="1" x14ac:dyDescent="0.25"/>
    <row r="57" ht="14.25" customHeight="1" spans="1:22" x14ac:dyDescent="0.25">
      <c r="A57" t="s">
        <v>0</v>
      </c>
      <c r="B57" t="s">
        <v>0</v>
      </c>
      <c r="C57" s="12" t="s">
        <v>62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</row>
    <row r="58" ht="14.25" customHeight="1" x14ac:dyDescent="0.25"/>
    <row r="59" ht="14.25" customHeight="1" spans="1:22" x14ac:dyDescent="0.25">
      <c r="A59" t="s">
        <v>0</v>
      </c>
      <c r="B59" t="s">
        <v>0</v>
      </c>
      <c r="C59" s="15" t="s">
        <v>63</v>
      </c>
      <c r="D59" s="42">
        <f>+'Operational Assumptions'!K80</f>
        <v>5</v>
      </c>
      <c r="E59" s="15" t="s">
        <v>0</v>
      </c>
      <c r="F59" s="15" t="s">
        <v>0</v>
      </c>
      <c r="G59" s="15" t="s">
        <v>0</v>
      </c>
      <c r="H59" s="15" t="s">
        <v>0</v>
      </c>
      <c r="I59" s="15" t="s">
        <v>0</v>
      </c>
      <c r="J59" s="15" t="s">
        <v>0</v>
      </c>
      <c r="K59" s="15">
        <f>+D59*K31</f>
        <v>25</v>
      </c>
      <c r="L59" s="29" t="s">
        <v>0</v>
      </c>
      <c r="M59" s="15">
        <f>+K60</f>
        <v>25</v>
      </c>
      <c r="N59" s="15">
        <f>+M60</f>
        <v>25</v>
      </c>
      <c r="O59" s="15">
        <f>+N60</f>
        <v>25</v>
      </c>
      <c r="P59" s="15">
        <f>+O60</f>
        <v>25</v>
      </c>
      <c r="Q59" s="15">
        <f>+P60</f>
        <v>25</v>
      </c>
      <c r="R59" s="15">
        <f>+Q60</f>
        <v>25</v>
      </c>
      <c r="S59" s="15">
        <f>+R60</f>
        <v>25</v>
      </c>
      <c r="T59" s="15">
        <f>+S60</f>
        <v>25</v>
      </c>
      <c r="U59" s="15">
        <f>+T60</f>
        <v>25</v>
      </c>
      <c r="V59" s="15">
        <f>+U60</f>
        <v>25</v>
      </c>
    </row>
    <row r="60" ht="14.25" customHeight="1" spans="1:22" x14ac:dyDescent="0.25">
      <c r="A60" t="s">
        <v>0</v>
      </c>
      <c r="B60" t="s">
        <v>0</v>
      </c>
      <c r="C60" s="15" t="s">
        <v>64</v>
      </c>
      <c r="D60" s="15" t="s">
        <v>0</v>
      </c>
      <c r="E60" s="15" t="s">
        <v>0</v>
      </c>
      <c r="F60" s="15" t="s">
        <v>0</v>
      </c>
      <c r="G60" s="15" t="s">
        <v>0</v>
      </c>
      <c r="H60" s="15" t="s">
        <v>0</v>
      </c>
      <c r="I60" s="15" t="s">
        <v>0</v>
      </c>
      <c r="J60" s="15" t="s">
        <v>0</v>
      </c>
      <c r="K60" s="15">
        <f>+K59</f>
        <v>25</v>
      </c>
      <c r="L60" s="29" t="s">
        <v>0</v>
      </c>
      <c r="M60" s="15">
        <f>+M59</f>
        <v>25</v>
      </c>
      <c r="N60" s="15">
        <f>+N59</f>
        <v>25</v>
      </c>
      <c r="O60" s="15">
        <f>+O59</f>
        <v>25</v>
      </c>
      <c r="P60" s="15">
        <f>+P59</f>
        <v>25</v>
      </c>
      <c r="Q60" s="15">
        <f>+Q59</f>
        <v>25</v>
      </c>
      <c r="R60" s="15">
        <f>+R59</f>
        <v>25</v>
      </c>
      <c r="S60" s="15">
        <f>+S59</f>
        <v>25</v>
      </c>
      <c r="T60" s="15">
        <f>+T59</f>
        <v>25</v>
      </c>
      <c r="U60" s="15">
        <f>+U59</f>
        <v>25</v>
      </c>
      <c r="V60" s="15">
        <f>+V59</f>
        <v>25</v>
      </c>
    </row>
    <row r="61" ht="10.5" customHeight="1" spans="1:22" x14ac:dyDescent="0.25">
      <c r="A61" t="s">
        <v>0</v>
      </c>
      <c r="B61" t="s">
        <v>0</v>
      </c>
      <c r="C61" s="15" t="s">
        <v>0</v>
      </c>
      <c r="D61" s="15" t="s">
        <v>0</v>
      </c>
      <c r="E61" s="15" t="s">
        <v>0</v>
      </c>
      <c r="F61" s="15" t="s">
        <v>0</v>
      </c>
      <c r="G61" s="15" t="s">
        <v>0</v>
      </c>
      <c r="H61" s="15" t="s">
        <v>0</v>
      </c>
      <c r="I61" s="15" t="s">
        <v>0</v>
      </c>
      <c r="J61" s="15" t="s">
        <v>0</v>
      </c>
      <c r="K61" s="15" t="s">
        <v>0</v>
      </c>
      <c r="L61" s="29" t="s">
        <v>0</v>
      </c>
      <c r="M61" s="15" t="s">
        <v>0</v>
      </c>
      <c r="N61" s="15" t="s">
        <v>0</v>
      </c>
      <c r="O61" s="15" t="s">
        <v>0</v>
      </c>
      <c r="P61" s="15" t="s">
        <v>0</v>
      </c>
      <c r="Q61" s="15" t="s">
        <v>0</v>
      </c>
      <c r="R61" s="15" t="s">
        <v>0</v>
      </c>
      <c r="S61" s="15" t="s">
        <v>0</v>
      </c>
      <c r="T61" s="15" t="s">
        <v>0</v>
      </c>
      <c r="U61" s="15" t="s">
        <v>0</v>
      </c>
      <c r="V61" s="15" t="s">
        <v>0</v>
      </c>
    </row>
    <row r="62" ht="14.25" customHeight="1" spans="1:22" x14ac:dyDescent="0.25">
      <c r="A62" t="s">
        <v>0</v>
      </c>
      <c r="B62" t="s">
        <v>0</v>
      </c>
      <c r="C62" s="35" t="s">
        <v>54</v>
      </c>
      <c r="D62" s="35" t="s">
        <v>0</v>
      </c>
      <c r="E62" s="35" t="s">
        <v>0</v>
      </c>
      <c r="F62" s="35" t="s">
        <v>0</v>
      </c>
      <c r="G62" s="35" t="s">
        <v>0</v>
      </c>
      <c r="H62" s="35" t="s">
        <v>0</v>
      </c>
      <c r="I62" s="35" t="s">
        <v>0</v>
      </c>
      <c r="J62" s="35" t="s">
        <v>0</v>
      </c>
      <c r="K62" s="37">
        <f>+AVERAGE(K59:K60)*K63*-1</f>
        <v>0</v>
      </c>
      <c r="L62" s="35" t="s">
        <v>0</v>
      </c>
      <c r="M62" s="37">
        <f>+AVERAGE(M59:M60)*M63*-1</f>
        <v>-1.25</v>
      </c>
      <c r="N62" s="37">
        <f>+AVERAGE(N59:N60)*N63*-1</f>
        <v>-1.25</v>
      </c>
      <c r="O62" s="37">
        <f>+AVERAGE(O59:O60)*O63*-1</f>
        <v>-1.25</v>
      </c>
      <c r="P62" s="37">
        <f>+AVERAGE(P59:P60)*P63*-1</f>
        <v>-1.25</v>
      </c>
      <c r="Q62" s="37">
        <f>+AVERAGE(Q59:Q60)*Q63*-1</f>
        <v>-1.25</v>
      </c>
      <c r="R62" s="37">
        <f>+AVERAGE(R59:R60)*R63*-1</f>
        <v>-1.25</v>
      </c>
      <c r="S62" s="37">
        <f>+AVERAGE(S59:S60)*S63*-1</f>
        <v>-1.25</v>
      </c>
      <c r="T62" s="37">
        <f>+AVERAGE(T59:T60)*T63*-1</f>
        <v>-1.25</v>
      </c>
      <c r="U62" s="37">
        <f>+AVERAGE(U59:U60)*U63*-1</f>
        <v>-1.25</v>
      </c>
      <c r="V62" s="37">
        <f>+AVERAGE(V59:V60)*V63*-1</f>
        <v>-1.25</v>
      </c>
    </row>
    <row r="63" ht="14.25" customHeight="1" spans="1:22" x14ac:dyDescent="0.25">
      <c r="A63" t="s">
        <v>0</v>
      </c>
      <c r="B63" t="s">
        <v>0</v>
      </c>
      <c r="C63" s="30" t="s">
        <v>65</v>
      </c>
      <c r="D63" s="31" t="s">
        <v>0</v>
      </c>
      <c r="E63" s="31" t="s">
        <v>0</v>
      </c>
      <c r="F63" s="31" t="s">
        <v>0</v>
      </c>
      <c r="G63" s="31" t="s">
        <v>0</v>
      </c>
      <c r="H63" s="31" t="s">
        <v>0</v>
      </c>
      <c r="I63" s="31" t="s">
        <v>0</v>
      </c>
      <c r="J63" s="31" t="s">
        <v>0</v>
      </c>
      <c r="K63" s="32">
        <f>+'Operational Assumptions'!K86</f>
        <v>0</v>
      </c>
      <c r="L63" s="33" t="s">
        <v>0</v>
      </c>
      <c r="M63" s="34">
        <f>+'Operational Assumptions'!M86</f>
        <v>0.05</v>
      </c>
      <c r="N63" s="34">
        <f>+'Operational Assumptions'!N86</f>
        <v>0.05</v>
      </c>
      <c r="O63" s="34">
        <f>+'Operational Assumptions'!O86</f>
        <v>0.05</v>
      </c>
      <c r="P63" s="34">
        <f>+'Operational Assumptions'!P86</f>
        <v>0.05</v>
      </c>
      <c r="Q63" s="34">
        <f>+'Operational Assumptions'!Q86</f>
        <v>0.05</v>
      </c>
      <c r="R63" s="34">
        <f>+'Operational Assumptions'!R86</f>
        <v>0.05</v>
      </c>
      <c r="S63" s="34">
        <f>+'Operational Assumptions'!S86</f>
        <v>0.05</v>
      </c>
      <c r="T63" s="34">
        <f>+'Operational Assumptions'!T86</f>
        <v>0.05</v>
      </c>
      <c r="U63" s="34">
        <f>+'Operational Assumptions'!U86</f>
        <v>0.05</v>
      </c>
      <c r="V63" s="34">
        <f>+'Operational Assumptions'!V86</f>
        <v>0.05</v>
      </c>
    </row>
    <row r="64" ht="14.25" customHeight="1" x14ac:dyDescent="0.25"/>
    <row r="65" ht="14.25" customHeight="1" spans="1:22" x14ac:dyDescent="0.25">
      <c r="A65" t="s">
        <v>0</v>
      </c>
      <c r="B65" t="s">
        <v>0</v>
      </c>
      <c r="C65" s="15" t="s">
        <v>66</v>
      </c>
      <c r="D65" s="15" t="s">
        <v>0</v>
      </c>
      <c r="E65" s="15" t="s">
        <v>0</v>
      </c>
      <c r="F65" s="15" t="s">
        <v>0</v>
      </c>
      <c r="G65" s="15" t="s">
        <v>0</v>
      </c>
      <c r="H65" s="15" t="s">
        <v>0</v>
      </c>
      <c r="I65" s="15" t="s">
        <v>0</v>
      </c>
      <c r="J65" s="15" t="s">
        <v>0</v>
      </c>
      <c r="K65" s="15" t="s">
        <v>0</v>
      </c>
      <c r="L65" s="29" t="s">
        <v>0</v>
      </c>
      <c r="M65" s="15" t="s">
        <v>0</v>
      </c>
      <c r="N65" s="15" t="s">
        <v>0</v>
      </c>
      <c r="O65" s="15" t="s">
        <v>0</v>
      </c>
      <c r="P65" s="15" t="s">
        <v>0</v>
      </c>
      <c r="Q65" s="15" t="s">
        <v>0</v>
      </c>
      <c r="R65" s="15" t="s">
        <v>0</v>
      </c>
      <c r="S65" s="15" t="s">
        <v>0</v>
      </c>
      <c r="T65" s="15" t="s">
        <v>0</v>
      </c>
      <c r="U65" s="15" t="s">
        <v>0</v>
      </c>
      <c r="V65" s="15" t="s">
        <v>0</v>
      </c>
    </row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4.25" outlineLevelRow="0" outlineLevelCol="0" x14ac:dyDescent="55" defaultColWidth="9.2" customHeight="1"/>
  <cols>
    <col min="1" max="20" width="9.2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 showGridLines="0"/>
  </sheetViews>
  <sheetFormatPr defaultRowHeight="14.25" outlineLevelRow="0" outlineLevelCol="0" x14ac:dyDescent="55" defaultColWidth="9.2" customHeight="1"/>
  <cols>
    <col min="1" max="2" width="1.6" customWidth="1"/>
    <col min="3" max="3" width="9.2" customWidth="1"/>
    <col min="4" max="4" width="12" customWidth="1"/>
    <col min="5" max="20" width="9.2" customWidth="1"/>
  </cols>
  <sheetData>
    <row r="1" ht="9.75" customHeight="1" x14ac:dyDescent="0.25"/>
    <row r="2" ht="9.75" customHeight="1" x14ac:dyDescent="0.25"/>
    <row r="3" ht="14.25" customHeight="1" spans="1:13" x14ac:dyDescent="0.25">
      <c r="A3" t="s">
        <v>0</v>
      </c>
      <c r="B3" t="s">
        <v>0</v>
      </c>
      <c r="C3" s="43" t="s">
        <v>0</v>
      </c>
      <c r="D3" s="43" t="s">
        <v>0</v>
      </c>
      <c r="E3" s="43" t="s">
        <v>0</v>
      </c>
      <c r="F3" s="43" t="s">
        <v>0</v>
      </c>
      <c r="G3" s="43" t="s">
        <v>0</v>
      </c>
      <c r="H3" s="43" t="s">
        <v>0</v>
      </c>
      <c r="I3" s="43" t="s">
        <v>0</v>
      </c>
      <c r="J3" s="43" t="s">
        <v>0</v>
      </c>
      <c r="K3" s="43" t="s">
        <v>0</v>
      </c>
      <c r="L3" s="43" t="s">
        <v>0</v>
      </c>
      <c r="M3" s="43" t="s">
        <v>0</v>
      </c>
    </row>
    <row r="4" ht="14.25" customHeight="1" spans="1:13" x14ac:dyDescent="0.25">
      <c r="A4" t="s">
        <v>0</v>
      </c>
      <c r="B4" t="s">
        <v>0</v>
      </c>
      <c r="C4" s="44" t="s">
        <v>67</v>
      </c>
      <c r="D4" s="43" t="s">
        <v>0</v>
      </c>
      <c r="E4" s="43" t="s">
        <v>0</v>
      </c>
      <c r="F4" s="43" t="s">
        <v>0</v>
      </c>
      <c r="G4" s="43" t="s">
        <v>0</v>
      </c>
      <c r="H4" s="43" t="s">
        <v>0</v>
      </c>
      <c r="I4" s="43" t="s">
        <v>0</v>
      </c>
      <c r="J4" s="43" t="s">
        <v>0</v>
      </c>
      <c r="K4" s="43" t="s">
        <v>0</v>
      </c>
      <c r="L4" s="43" t="s">
        <v>0</v>
      </c>
      <c r="M4" s="43" t="s">
        <v>0</v>
      </c>
    </row>
    <row r="5" ht="14.25" customHeight="1" spans="1:13" x14ac:dyDescent="0.25">
      <c r="A5" t="s">
        <v>0</v>
      </c>
      <c r="B5" t="s">
        <v>0</v>
      </c>
      <c r="C5" s="44" t="str">
        <f>'+Model'!C5</f>
        <v>$ MM, unless otherwise stated</v>
      </c>
      <c r="D5" s="43" t="s">
        <v>0</v>
      </c>
      <c r="E5" s="43" t="s">
        <v>0</v>
      </c>
      <c r="F5" s="43" t="s">
        <v>0</v>
      </c>
      <c r="G5" s="43" t="s">
        <v>0</v>
      </c>
      <c r="H5" s="43" t="s">
        <v>0</v>
      </c>
      <c r="I5" s="43" t="s">
        <v>0</v>
      </c>
      <c r="J5" s="43" t="s">
        <v>0</v>
      </c>
      <c r="K5" s="43" t="s">
        <v>0</v>
      </c>
      <c r="L5" s="43" t="s">
        <v>0</v>
      </c>
      <c r="M5" s="43" t="s">
        <v>0</v>
      </c>
    </row>
    <row r="6" ht="14.25" customHeight="1" x14ac:dyDescent="0.25"/>
    <row r="7" ht="14.25" customHeight="1" spans="1:13" x14ac:dyDescent="0.25">
      <c r="A7" t="s">
        <v>0</v>
      </c>
      <c r="B7" t="s">
        <v>0</v>
      </c>
      <c r="C7" s="45" t="s">
        <v>68</v>
      </c>
      <c r="D7" s="46" t="s">
        <v>0</v>
      </c>
      <c r="E7" s="46" t="s">
        <v>0</v>
      </c>
      <c r="F7" s="46" t="s">
        <v>0</v>
      </c>
      <c r="G7" s="46" t="s">
        <v>0</v>
      </c>
      <c r="H7" s="46" t="s">
        <v>0</v>
      </c>
      <c r="I7" s="46" t="s">
        <v>0</v>
      </c>
      <c r="J7" s="46" t="s">
        <v>0</v>
      </c>
      <c r="K7" s="47" t="s">
        <v>0</v>
      </c>
      <c r="L7" s="47" t="s">
        <v>0</v>
      </c>
      <c r="M7" s="47" t="s">
        <v>0</v>
      </c>
    </row>
    <row r="8" ht="14.25" customHeight="1" x14ac:dyDescent="0.25"/>
    <row r="9" ht="14.25" customHeight="1" spans="1:13" x14ac:dyDescent="0.25">
      <c r="A9" t="s">
        <v>0</v>
      </c>
      <c r="B9" t="s">
        <v>0</v>
      </c>
      <c r="C9" s="48" t="s">
        <v>69</v>
      </c>
      <c r="D9" s="4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</row>
    <row r="10" ht="14.25" customHeight="1" spans="1:13" x14ac:dyDescent="0.25">
      <c r="A10" t="s">
        <v>0</v>
      </c>
      <c r="B10" t="s">
        <v>0</v>
      </c>
      <c r="C10" t="s">
        <v>70</v>
      </c>
      <c r="D10" s="50">
        <v>44561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</row>
    <row r="11" ht="14.25" customHeight="1" spans="1:13" x14ac:dyDescent="0.25">
      <c r="A11" t="s">
        <v>0</v>
      </c>
      <c r="B11" t="s">
        <v>0</v>
      </c>
      <c r="C11" t="s">
        <v>71</v>
      </c>
      <c r="D11" s="50">
        <v>46022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</row>
    <row r="12" ht="14.25" customHeight="1" spans="1:13" x14ac:dyDescent="0.25">
      <c r="A12" t="s">
        <v>0</v>
      </c>
      <c r="B12" t="s">
        <v>0</v>
      </c>
      <c r="C12" s="51" t="s">
        <v>72</v>
      </c>
      <c r="D12" s="52">
        <f>+YEARFRAC(D10,D11)</f>
        <v>4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</row>
    <row r="13" ht="14.25" customHeight="1" x14ac:dyDescent="0.25"/>
    <row r="14" ht="14.25" customHeight="1" spans="1:13" x14ac:dyDescent="0.25">
      <c r="A14" t="s">
        <v>0</v>
      </c>
      <c r="B14" t="s">
        <v>0</v>
      </c>
      <c r="C14" s="48" t="s">
        <v>73</v>
      </c>
      <c r="D14" s="49" t="s">
        <v>0</v>
      </c>
      <c r="E14" s="49" t="s">
        <v>0</v>
      </c>
      <c r="F14" t="s">
        <v>0</v>
      </c>
      <c r="G14" s="48" t="s">
        <v>74</v>
      </c>
      <c r="H14" s="49" t="s">
        <v>0</v>
      </c>
      <c r="I14" s="49" t="s">
        <v>0</v>
      </c>
      <c r="J14" t="s">
        <v>0</v>
      </c>
      <c r="K14" s="48" t="s">
        <v>75</v>
      </c>
      <c r="L14" s="49" t="s">
        <v>0</v>
      </c>
      <c r="M14" s="49" t="s">
        <v>0</v>
      </c>
    </row>
    <row r="15" ht="14.25" customHeight="1" spans="1:13" x14ac:dyDescent="0.25">
      <c r="A15" t="s">
        <v>0</v>
      </c>
      <c r="B15" t="s">
        <v>0</v>
      </c>
      <c r="C15" t="s">
        <v>76</v>
      </c>
      <c r="D15" t="s">
        <v>0</v>
      </c>
      <c r="E15" s="53">
        <v>0.12</v>
      </c>
      <c r="F15" t="s">
        <v>0</v>
      </c>
      <c r="G15" t="s">
        <v>76</v>
      </c>
      <c r="H15" t="s">
        <v>0</v>
      </c>
      <c r="I15" s="54">
        <v>10</v>
      </c>
      <c r="J15" t="s">
        <v>0</v>
      </c>
      <c r="K15" t="s">
        <v>76</v>
      </c>
      <c r="L15" t="s">
        <v>0</v>
      </c>
      <c r="M15" s="53">
        <v>0.02</v>
      </c>
    </row>
    <row r="16" ht="14.25" customHeight="1" spans="1:13" x14ac:dyDescent="0.25">
      <c r="A16" t="s">
        <v>0</v>
      </c>
      <c r="B16" t="s">
        <v>0</v>
      </c>
      <c r="C16" s="55" t="s">
        <v>77</v>
      </c>
      <c r="D16" s="55" t="s">
        <v>0</v>
      </c>
      <c r="E16" s="56">
        <v>0.02</v>
      </c>
      <c r="F16" t="s">
        <v>0</v>
      </c>
      <c r="G16" s="55" t="s">
        <v>77</v>
      </c>
      <c r="H16" s="55" t="s">
        <v>0</v>
      </c>
      <c r="I16" s="57">
        <v>1</v>
      </c>
      <c r="J16" t="s">
        <v>0</v>
      </c>
      <c r="K16" s="55" t="s">
        <v>77</v>
      </c>
      <c r="L16" s="55" t="s">
        <v>0</v>
      </c>
      <c r="M16" s="56">
        <v>0.005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"/>
  <sheetViews>
    <sheetView workbookViewId="0" showGridLines="0">
      <pane ySplit="6" topLeftCell="A7" activePane="bottomLeft" state="frozen"/>
      <selection pane="bottomLeft"/>
    </sheetView>
  </sheetViews>
  <sheetFormatPr defaultRowHeight="14.25" outlineLevelRow="0" outlineLevelCol="0" x14ac:dyDescent="55" defaultColWidth="9.2" customHeight="1"/>
  <cols>
    <col min="1" max="2" width="1.6" customWidth="1"/>
    <col min="3" max="3" width="30.4" customWidth="1"/>
    <col min="4" max="6" width="9.2" customWidth="1"/>
    <col min="7" max="7" width="9.866666666666667" customWidth="1"/>
    <col min="8" max="13" width="13.333333333333334" customWidth="1"/>
    <col min="14" max="14" width="13.866666666666667" customWidth="1"/>
    <col min="15" max="15" width="1.6" customWidth="1"/>
    <col min="16" max="16" width="9.2" customWidth="1"/>
    <col min="17" max="17" width="1.6" customWidth="1"/>
    <col min="18" max="18" width="49.06666666666667" customWidth="1"/>
    <col min="19" max="28" width="9.2" customWidth="1"/>
  </cols>
  <sheetData>
    <row r="1" ht="9.75" customHeight="1" x14ac:dyDescent="0.25"/>
    <row r="2" ht="9.75" customHeight="1" x14ac:dyDescent="0.25"/>
    <row r="3" ht="14.25" customHeight="1" spans="1:28" x14ac:dyDescent="0.25">
      <c r="A3" t="s">
        <v>0</v>
      </c>
      <c r="B3" t="s">
        <v>0</v>
      </c>
      <c r="C3" s="43" t="s">
        <v>0</v>
      </c>
      <c r="D3" s="43" t="s">
        <v>0</v>
      </c>
      <c r="E3" s="43" t="s">
        <v>0</v>
      </c>
      <c r="F3" s="43" t="s">
        <v>0</v>
      </c>
      <c r="G3" s="43" t="s">
        <v>0</v>
      </c>
      <c r="H3" s="43" t="s">
        <v>0</v>
      </c>
      <c r="I3" s="43" t="s">
        <v>0</v>
      </c>
      <c r="J3" s="43" t="s">
        <v>0</v>
      </c>
      <c r="K3" s="43" t="s">
        <v>0</v>
      </c>
      <c r="L3" s="43" t="s">
        <v>0</v>
      </c>
      <c r="M3" s="43" t="s">
        <v>0</v>
      </c>
      <c r="N3" s="4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</row>
    <row r="4" ht="14.25" customHeight="1" spans="1:28" x14ac:dyDescent="0.25">
      <c r="A4" t="s">
        <v>0</v>
      </c>
      <c r="B4" t="s">
        <v>0</v>
      </c>
      <c r="C4" s="44" t="s">
        <v>67</v>
      </c>
      <c r="D4" s="43" t="s">
        <v>0</v>
      </c>
      <c r="E4" s="43" t="s">
        <v>0</v>
      </c>
      <c r="F4" s="43" t="s">
        <v>0</v>
      </c>
      <c r="G4" s="43" t="s">
        <v>0</v>
      </c>
      <c r="H4" s="43" t="s">
        <v>0</v>
      </c>
      <c r="I4" s="43" t="s">
        <v>0</v>
      </c>
      <c r="J4" s="43" t="s">
        <v>0</v>
      </c>
      <c r="K4" s="43" t="s">
        <v>0</v>
      </c>
      <c r="L4" s="43" t="s">
        <v>0</v>
      </c>
      <c r="M4" s="43" t="s">
        <v>0</v>
      </c>
      <c r="N4" s="43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</row>
    <row r="5" ht="17.25" customHeight="1" spans="1:28" x14ac:dyDescent="0.25">
      <c r="A5" t="s">
        <v>0</v>
      </c>
      <c r="B5" t="s">
        <v>0</v>
      </c>
      <c r="C5" s="44" t="str">
        <f>'+Model'!C5</f>
        <v>$ MM, unless otherwise stated</v>
      </c>
      <c r="D5" s="43" t="s">
        <v>0</v>
      </c>
      <c r="E5" s="58" t="s">
        <v>78</v>
      </c>
      <c r="F5" s="59" t="s">
        <v>0</v>
      </c>
      <c r="G5" s="59" t="s">
        <v>0</v>
      </c>
      <c r="H5" s="58" t="s">
        <v>79</v>
      </c>
      <c r="I5" s="59" t="s">
        <v>0</v>
      </c>
      <c r="J5" s="59" t="s">
        <v>0</v>
      </c>
      <c r="K5" s="59" t="s">
        <v>0</v>
      </c>
      <c r="L5" s="59" t="s">
        <v>0</v>
      </c>
      <c r="M5" s="59" t="s">
        <v>0</v>
      </c>
      <c r="N5" s="60" t="s">
        <v>80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</row>
    <row r="6" ht="14.25" customHeight="1" spans="1:28" x14ac:dyDescent="0.25">
      <c r="A6" t="s">
        <v>0</v>
      </c>
      <c r="B6" t="s">
        <v>0</v>
      </c>
      <c r="C6" s="61" t="s">
        <v>81</v>
      </c>
      <c r="D6" s="43" t="s">
        <v>0</v>
      </c>
      <c r="E6" s="62">
        <f>+F6-1</f>
        <v>2018</v>
      </c>
      <c r="F6" s="62">
        <f>+G6-1</f>
        <v>2019</v>
      </c>
      <c r="G6" s="62">
        <f>+H6-1</f>
        <v>2020</v>
      </c>
      <c r="H6" s="63">
        <f>'+YEAR(Control'!D10)</f>
        <v>2021</v>
      </c>
      <c r="I6" s="63">
        <f>+H6+1</f>
        <v>2022</v>
      </c>
      <c r="J6" s="63">
        <f>+I6+1</f>
        <v>2023</v>
      </c>
      <c r="K6" s="63">
        <f>+J6+1</f>
        <v>2024</v>
      </c>
      <c r="L6" s="63">
        <f>+K6+1</f>
        <v>2025</v>
      </c>
      <c r="M6" s="63">
        <f>+L6+1</f>
        <v>2026</v>
      </c>
      <c r="N6" s="64" t="str">
        <f>+H6&amp;"E"&amp;" - "&amp;M6&amp;"E"</f>
        <v>2021E - 2026E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</row>
    <row r="7" ht="14.25" customHeight="1" spans="1:28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82</v>
      </c>
      <c r="N7" s="2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</row>
    <row r="8" ht="14.25" customHeight="1" spans="1:28" x14ac:dyDescent="0.25">
      <c r="A8" t="s">
        <v>0</v>
      </c>
      <c r="B8" t="s">
        <v>0</v>
      </c>
      <c r="C8" s="65" t="s">
        <v>60</v>
      </c>
      <c r="D8" s="66" t="s">
        <v>0</v>
      </c>
      <c r="E8" s="66" t="s">
        <v>0</v>
      </c>
      <c r="F8" s="66" t="s">
        <v>0</v>
      </c>
      <c r="G8" s="67">
        <f>+G34</f>
        <v>44196</v>
      </c>
      <c r="H8" s="67">
        <f>+H34</f>
        <v>44561</v>
      </c>
      <c r="I8" s="67">
        <f>+I34</f>
        <v>44926</v>
      </c>
      <c r="J8" s="67">
        <f>+J34</f>
        <v>45291</v>
      </c>
      <c r="K8" s="67">
        <f>+K34</f>
        <v>45657</v>
      </c>
      <c r="L8" s="67">
        <f>+L34</f>
        <v>46022</v>
      </c>
      <c r="M8" s="67">
        <f>+M34</f>
        <v>46387</v>
      </c>
      <c r="N8" s="66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</row>
    <row r="9" ht="14.25" customHeight="1" spans="1:28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s="2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</row>
    <row r="10" ht="14.25" customHeight="1" spans="1:28" x14ac:dyDescent="0.25">
      <c r="A10" t="s">
        <v>0</v>
      </c>
      <c r="B10" t="s">
        <v>0</v>
      </c>
      <c r="C10" s="6" t="s">
        <v>19</v>
      </c>
      <c r="D10" s="6" t="s">
        <v>0</v>
      </c>
      <c r="E10" s="68">
        <f>'+Model'!I19</f>
        <v>26</v>
      </c>
      <c r="F10" s="68">
        <f>'+Model'!J19</f>
        <v>26</v>
      </c>
      <c r="G10" s="68">
        <f>'+Model'!K19</f>
        <v>36</v>
      </c>
      <c r="H10" s="68">
        <f>'+Model'!M19</f>
        <v>39.45</v>
      </c>
      <c r="I10" s="68">
        <f>'+Model'!N19</f>
        <v>43.237500000000004</v>
      </c>
      <c r="J10" s="68">
        <f>'+Model'!O19</f>
        <v>47.39587500000001</v>
      </c>
      <c r="K10" s="68">
        <f>'+Model'!P19</f>
        <v>51.96181875000002</v>
      </c>
      <c r="L10" s="68">
        <f>'+Model'!Q19</f>
        <v>56.97567468750002</v>
      </c>
      <c r="M10" s="68">
        <f>'+Model'!R19</f>
        <v>62.48179992187502</v>
      </c>
      <c r="N10" s="69">
        <f>+((M10/H10)^(1/(M$6-H$6))-1)</f>
        <v>0.09633001651321438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</row>
    <row r="11" ht="14.25" customHeight="1" spans="1:28" x14ac:dyDescent="0.25">
      <c r="A11" t="s">
        <v>0</v>
      </c>
      <c r="B11" t="s">
        <v>0</v>
      </c>
      <c r="C11" s="70" t="s">
        <v>83</v>
      </c>
      <c r="D11" t="s">
        <v>0</v>
      </c>
      <c r="E11" s="71" t="s">
        <v>0</v>
      </c>
      <c r="F11" s="71">
        <f>+F10/E10-1</f>
        <v>0</v>
      </c>
      <c r="G11" s="71">
        <f>+G10/F10-1</f>
        <v>0.3846153846153846</v>
      </c>
      <c r="H11" s="71">
        <f>+H10/G10-1</f>
        <v>0.09583333333333344</v>
      </c>
      <c r="I11" s="71">
        <f>+I10/H10-1</f>
        <v>0.0960076045627376</v>
      </c>
      <c r="J11" s="71">
        <f>+J10/I10-1</f>
        <v>0.09617519514310513</v>
      </c>
      <c r="K11" s="71">
        <f>+K10/J10-1</f>
        <v>0.09633631091313344</v>
      </c>
      <c r="L11" s="71">
        <f>+L10/K10-1</f>
        <v>0.09649115558527277</v>
      </c>
      <c r="M11" s="71">
        <f>+M10/L10-1</f>
        <v>0.09663993036633589</v>
      </c>
      <c r="N11" s="72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</row>
    <row r="12" ht="14.25" customHeight="1" spans="1:28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s="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</row>
    <row r="13" ht="14.25" customHeight="1" spans="1:28" x14ac:dyDescent="0.25">
      <c r="A13" t="s">
        <v>0</v>
      </c>
      <c r="B13" t="s">
        <v>0</v>
      </c>
      <c r="C13" s="6" t="s">
        <v>84</v>
      </c>
      <c r="D13" s="6" t="s">
        <v>0</v>
      </c>
      <c r="E13" s="68">
        <f>'+Model'!I31</f>
        <v>2</v>
      </c>
      <c r="F13" s="68">
        <f>'+Model'!J31</f>
        <v>3.5</v>
      </c>
      <c r="G13" s="68">
        <f>'+Model'!K31</f>
        <v>5</v>
      </c>
      <c r="H13" s="68">
        <f>'+Model'!M31</f>
        <v>9.8625</v>
      </c>
      <c r="I13" s="68">
        <f>'+Model'!N31</f>
        <v>10.809375000000001</v>
      </c>
      <c r="J13" s="68">
        <f>'+Model'!O31</f>
        <v>11.848968750000003</v>
      </c>
      <c r="K13" s="68">
        <f>'+Model'!P31</f>
        <v>12.990454687500005</v>
      </c>
      <c r="L13" s="68">
        <f>'+Model'!Q31</f>
        <v>14.243918671875004</v>
      </c>
      <c r="M13" s="68">
        <f>'+Model'!R31</f>
        <v>15.620449980468756</v>
      </c>
      <c r="N13" s="69">
        <f>+((M13/H13)^(1/(M$6-H$6))-1)</f>
        <v>0.09633001651321438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</row>
    <row r="14" ht="14.25" customHeight="1" spans="1:28" x14ac:dyDescent="0.25">
      <c r="A14" t="s">
        <v>0</v>
      </c>
      <c r="B14" t="s">
        <v>0</v>
      </c>
      <c r="C14" s="70" t="s">
        <v>85</v>
      </c>
      <c r="D14" t="s">
        <v>0</v>
      </c>
      <c r="E14" s="71" t="s">
        <v>0</v>
      </c>
      <c r="F14" s="71" t="s">
        <v>0</v>
      </c>
      <c r="G14" s="71" t="s">
        <v>0</v>
      </c>
      <c r="H14" s="71">
        <f>+H13/H10</f>
        <v>0.25</v>
      </c>
      <c r="I14" s="71">
        <f>+I13/I10</f>
        <v>0.25</v>
      </c>
      <c r="J14" s="71">
        <f>+J13/J10</f>
        <v>0.25</v>
      </c>
      <c r="K14" s="71">
        <f>+K13/K10</f>
        <v>0.25</v>
      </c>
      <c r="L14" s="71">
        <f>+L13/L10</f>
        <v>0.25</v>
      </c>
      <c r="M14" s="71">
        <f>+M13/M10</f>
        <v>0.25</v>
      </c>
      <c r="N14" s="72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</row>
    <row r="15" ht="14.25" customHeight="1" spans="1:28" x14ac:dyDescent="0.25">
      <c r="A15" t="s">
        <v>0</v>
      </c>
      <c r="B15" t="s">
        <v>0</v>
      </c>
      <c r="C15" t="s">
        <v>51</v>
      </c>
      <c r="D15" t="s">
        <v>0</v>
      </c>
      <c r="E15" s="73">
        <f>'+Model'!I34</f>
        <v>-0.5</v>
      </c>
      <c r="F15" s="73">
        <f>'+Model'!J34</f>
        <v>-0.5</v>
      </c>
      <c r="G15" s="73">
        <f>'+Model'!K34</f>
        <v>-0.5</v>
      </c>
      <c r="H15" s="73">
        <f>'+Model'!M34</f>
        <v>-0.9862500000000001</v>
      </c>
      <c r="I15" s="73">
        <f>'+Model'!N34</f>
        <v>-1.0809375</v>
      </c>
      <c r="J15" s="73">
        <f>'+Model'!O34</f>
        <v>-1.1848968750000004</v>
      </c>
      <c r="K15" s="73">
        <f>'+Model'!P34</f>
        <v>-1.2990454687500006</v>
      </c>
      <c r="L15" s="73">
        <f>'+Model'!Q34</f>
        <v>-1.4243918671875004</v>
      </c>
      <c r="M15" s="73">
        <f>'+Model'!R34</f>
        <v>-1.5620449980468756</v>
      </c>
      <c r="N15" s="2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</row>
    <row r="16" ht="14.25" customHeight="1" spans="1:28" x14ac:dyDescent="0.25">
      <c r="A16" t="s">
        <v>0</v>
      </c>
      <c r="B16" t="s">
        <v>0</v>
      </c>
      <c r="C16" s="70" t="s">
        <v>86</v>
      </c>
      <c r="D16" t="s">
        <v>0</v>
      </c>
      <c r="E16" s="71">
        <f>+E15/E10</f>
        <v>-0.019230769230769232</v>
      </c>
      <c r="F16" s="71">
        <f>+F15/F10</f>
        <v>-0.019230769230769232</v>
      </c>
      <c r="G16" s="71">
        <f>+G15/G10</f>
        <v>-0.013888888888888888</v>
      </c>
      <c r="H16" s="71">
        <f>+H15/H10</f>
        <v>-0.025</v>
      </c>
      <c r="I16" s="71">
        <f>+I15/I10</f>
        <v>-0.025</v>
      </c>
      <c r="J16" s="71">
        <f>+J15/J10</f>
        <v>-0.025</v>
      </c>
      <c r="K16" s="71">
        <f>+K15/K10</f>
        <v>-0.025</v>
      </c>
      <c r="L16" s="71">
        <f>+L15/L10</f>
        <v>-0.025</v>
      </c>
      <c r="M16" s="71">
        <f>+M15/M10</f>
        <v>-0.025</v>
      </c>
      <c r="N16" s="72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</row>
    <row r="17" ht="14.25" customHeight="1" spans="1:28" x14ac:dyDescent="0.25">
      <c r="A17" t="s">
        <v>0</v>
      </c>
      <c r="B17" t="s">
        <v>0</v>
      </c>
      <c r="C17" s="74" t="s">
        <v>53</v>
      </c>
      <c r="D17" s="74" t="s">
        <v>0</v>
      </c>
      <c r="E17" s="74" t="s">
        <v>0</v>
      </c>
      <c r="F17" s="74" t="s">
        <v>0</v>
      </c>
      <c r="G17" s="74" t="s">
        <v>0</v>
      </c>
      <c r="H17" s="75">
        <f>+H13+H15</f>
        <v>8.87625</v>
      </c>
      <c r="I17" s="75">
        <f>+I13+I15</f>
        <v>9.728437500000002</v>
      </c>
      <c r="J17" s="75">
        <f>+J13+J15</f>
        <v>10.664071875000003</v>
      </c>
      <c r="K17" s="75">
        <f>+K13+K15</f>
        <v>11.691409218750005</v>
      </c>
      <c r="L17" s="75">
        <f>+L13+L15</f>
        <v>12.819526804687504</v>
      </c>
      <c r="M17" s="75">
        <f>+M13+M15</f>
        <v>14.05840498242188</v>
      </c>
      <c r="N17" s="76">
        <f>+((M17/H17)^(1/(M$6-H$6))-1)</f>
        <v>0.09633001651321438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</row>
    <row r="18" ht="14.25" customHeight="1" spans="1:28" x14ac:dyDescent="0.25">
      <c r="A18" t="s">
        <v>0</v>
      </c>
      <c r="B18" t="s">
        <v>0</v>
      </c>
      <c r="C18" s="70" t="s">
        <v>47</v>
      </c>
      <c r="D18" t="s">
        <v>0</v>
      </c>
      <c r="E18" s="71" t="s">
        <v>0</v>
      </c>
      <c r="F18" s="71" t="s">
        <v>0</v>
      </c>
      <c r="G18" s="71" t="s">
        <v>0</v>
      </c>
      <c r="H18" s="71">
        <f>+H17/H10</f>
        <v>0.225</v>
      </c>
      <c r="I18" s="71">
        <f>+I17/I10</f>
        <v>0.22500000000000003</v>
      </c>
      <c r="J18" s="71">
        <f>+J17/J10</f>
        <v>0.225</v>
      </c>
      <c r="K18" s="71">
        <f>+K17/K10</f>
        <v>0.225</v>
      </c>
      <c r="L18" s="71">
        <f>+L17/L10</f>
        <v>0.225</v>
      </c>
      <c r="M18" s="71">
        <f>+M17/M10</f>
        <v>0.225</v>
      </c>
      <c r="N18" s="72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</row>
    <row r="19" ht="14.25" customHeight="1" spans="1:28" x14ac:dyDescent="0.25">
      <c r="A19" t="s">
        <v>0</v>
      </c>
      <c r="B19" t="s">
        <v>0</v>
      </c>
      <c r="C19" t="s">
        <v>87</v>
      </c>
      <c r="D19" t="s">
        <v>0</v>
      </c>
      <c r="E19" t="s">
        <v>0</v>
      </c>
      <c r="F19" t="s">
        <v>0</v>
      </c>
      <c r="G19" t="s">
        <v>0</v>
      </c>
      <c r="H19" s="77">
        <f>+H17*H20</f>
        <v>-1.7752500000000002</v>
      </c>
      <c r="I19" s="77">
        <f>+I17*I20</f>
        <v>-1.9456875000000005</v>
      </c>
      <c r="J19" s="77">
        <f>+J17*J20</f>
        <v>-2.1328143750000006</v>
      </c>
      <c r="K19" s="77">
        <f>+K17*K20</f>
        <v>-2.3382818437500013</v>
      </c>
      <c r="L19" s="77">
        <f>+L17*L20</f>
        <v>-2.563905360937501</v>
      </c>
      <c r="M19" s="77">
        <f>+M17*M20</f>
        <v>-2.8116809964843763</v>
      </c>
      <c r="N19" s="2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</row>
    <row r="20" ht="14.25" customHeight="1" spans="1:28" x14ac:dyDescent="0.25">
      <c r="A20" t="s">
        <v>0</v>
      </c>
      <c r="B20" t="s">
        <v>0</v>
      </c>
      <c r="C20" s="70" t="s">
        <v>88</v>
      </c>
      <c r="D20" t="s">
        <v>0</v>
      </c>
      <c r="E20" s="71" t="s">
        <v>0</v>
      </c>
      <c r="F20" s="71" t="s">
        <v>0</v>
      </c>
      <c r="G20" s="71" t="s">
        <v>0</v>
      </c>
      <c r="H20" s="78">
        <f>'+Model'!M42*-1</f>
        <v>-0.2</v>
      </c>
      <c r="I20" s="78">
        <f>'+Model'!N42*-1</f>
        <v>-0.2</v>
      </c>
      <c r="J20" s="78">
        <f>'+Model'!O42*-1</f>
        <v>-0.2</v>
      </c>
      <c r="K20" s="78">
        <f>'+Model'!P42*-1</f>
        <v>-0.2</v>
      </c>
      <c r="L20" s="78">
        <f>'+Model'!Q42*-1</f>
        <v>-0.2</v>
      </c>
      <c r="M20" s="78">
        <f>'+Model'!R42*-1</f>
        <v>-0.2</v>
      </c>
      <c r="N20" s="72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</row>
    <row r="21" ht="14.25" customHeight="1" spans="1:28" x14ac:dyDescent="0.25">
      <c r="A21" t="s">
        <v>0</v>
      </c>
      <c r="B21" t="s">
        <v>0</v>
      </c>
      <c r="C21" s="74" t="s">
        <v>89</v>
      </c>
      <c r="D21" s="74" t="s">
        <v>0</v>
      </c>
      <c r="E21" s="74" t="s">
        <v>0</v>
      </c>
      <c r="F21" s="74" t="s">
        <v>0</v>
      </c>
      <c r="G21" s="74" t="s">
        <v>0</v>
      </c>
      <c r="H21" s="75">
        <f>+H17+H19</f>
        <v>7.101000000000001</v>
      </c>
      <c r="I21" s="75">
        <f>+I17+I19</f>
        <v>7.782750000000002</v>
      </c>
      <c r="J21" s="75">
        <f>+J17+J19</f>
        <v>8.531257500000002</v>
      </c>
      <c r="K21" s="75">
        <f>+K17+K19</f>
        <v>9.353127375000003</v>
      </c>
      <c r="L21" s="75">
        <f>+L17+L19</f>
        <v>10.255621443750004</v>
      </c>
      <c r="M21" s="75">
        <f>+M17+M19</f>
        <v>11.246723985937503</v>
      </c>
      <c r="N21" s="76">
        <f>+((M21/H21)^(1/(M$6-H$6))-1)</f>
        <v>0.09633001651321438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</row>
    <row r="22" ht="14.25" customHeight="1" spans="1:28" x14ac:dyDescent="0.25">
      <c r="A22" t="s">
        <v>0</v>
      </c>
      <c r="B22" t="s">
        <v>0</v>
      </c>
      <c r="C22" s="70" t="s">
        <v>86</v>
      </c>
      <c r="D22" t="s">
        <v>0</v>
      </c>
      <c r="E22" s="71" t="s">
        <v>0</v>
      </c>
      <c r="F22" s="71" t="s">
        <v>0</v>
      </c>
      <c r="G22" s="71" t="s">
        <v>0</v>
      </c>
      <c r="H22" s="71">
        <f>+H21/H10</f>
        <v>0.18000000000000002</v>
      </c>
      <c r="I22" s="71">
        <f>+I21/I10</f>
        <v>0.18000000000000002</v>
      </c>
      <c r="J22" s="71">
        <f>+J21/J10</f>
        <v>0.18000000000000002</v>
      </c>
      <c r="K22" s="71">
        <f>+K21/K10</f>
        <v>0.18</v>
      </c>
      <c r="L22" s="71">
        <f>+L21/L10</f>
        <v>0.18</v>
      </c>
      <c r="M22" s="71">
        <f>+M21/M10</f>
        <v>0.18</v>
      </c>
      <c r="N22" s="7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</row>
    <row r="23" ht="14.25" customHeight="1" spans="1:28" x14ac:dyDescent="0.25">
      <c r="A23" t="s">
        <v>0</v>
      </c>
      <c r="B23" t="s">
        <v>0</v>
      </c>
      <c r="C23" t="s">
        <v>51</v>
      </c>
      <c r="D23" t="s">
        <v>0</v>
      </c>
      <c r="E23" t="s">
        <v>0</v>
      </c>
      <c r="F23" t="s">
        <v>0</v>
      </c>
      <c r="G23" t="s">
        <v>0</v>
      </c>
      <c r="H23" s="79">
        <f>+H15*-1</f>
        <v>0.9862500000000001</v>
      </c>
      <c r="I23" s="79">
        <f>+I15*-1</f>
        <v>1.0809375</v>
      </c>
      <c r="J23" s="79">
        <f>+J15*-1</f>
        <v>1.1848968750000004</v>
      </c>
      <c r="K23" s="79">
        <f>+K15*-1</f>
        <v>1.2990454687500006</v>
      </c>
      <c r="L23" s="79">
        <f>+L15*-1</f>
        <v>1.4243918671875004</v>
      </c>
      <c r="M23" s="79">
        <f>+M15*-1</f>
        <v>1.5620449980468756</v>
      </c>
      <c r="N23" s="2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</row>
    <row r="24" ht="14.25" customHeight="1" spans="1:28" x14ac:dyDescent="0.25">
      <c r="A24" t="s">
        <v>0</v>
      </c>
      <c r="B24" t="s">
        <v>0</v>
      </c>
      <c r="C24" s="70" t="s">
        <v>86</v>
      </c>
      <c r="D24" t="s">
        <v>0</v>
      </c>
      <c r="E24" s="71" t="s">
        <v>0</v>
      </c>
      <c r="F24" s="71" t="s">
        <v>0</v>
      </c>
      <c r="G24" s="71" t="s">
        <v>0</v>
      </c>
      <c r="H24" s="71">
        <f>+H23/H10</f>
        <v>0.025</v>
      </c>
      <c r="I24" s="71">
        <f>+I23/I10</f>
        <v>0.025</v>
      </c>
      <c r="J24" s="71">
        <f>+J23/J10</f>
        <v>0.025</v>
      </c>
      <c r="K24" s="71">
        <f>+K23/K10</f>
        <v>0.025</v>
      </c>
      <c r="L24" s="71">
        <f>+L23/L10</f>
        <v>0.025</v>
      </c>
      <c r="M24" s="71">
        <f>+M23/M10</f>
        <v>0.025</v>
      </c>
      <c r="N24" s="72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</row>
    <row r="25" ht="14.25" customHeight="1" spans="1:28" x14ac:dyDescent="0.25">
      <c r="A25" t="s">
        <v>0</v>
      </c>
      <c r="B25" t="s">
        <v>0</v>
      </c>
      <c r="C25" t="s">
        <v>37</v>
      </c>
      <c r="D25" t="s">
        <v>0</v>
      </c>
      <c r="E25" t="s">
        <v>0</v>
      </c>
      <c r="F25" t="s">
        <v>0</v>
      </c>
      <c r="G25" t="s">
        <v>0</v>
      </c>
      <c r="H25" s="79">
        <f>'+Model'!M51</f>
        <v>0</v>
      </c>
      <c r="I25" s="79">
        <f>'+Model'!N51</f>
        <v>0</v>
      </c>
      <c r="J25" s="79">
        <f>'+Model'!O51</f>
        <v>0</v>
      </c>
      <c r="K25" s="79">
        <f>'+Model'!P51</f>
        <v>0</v>
      </c>
      <c r="L25" s="79">
        <f>'+Model'!Q51</f>
        <v>0</v>
      </c>
      <c r="M25" s="79">
        <f>'+Model'!R51</f>
        <v>0</v>
      </c>
      <c r="N25" s="2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</row>
    <row r="26" ht="14.25" customHeight="1" spans="1:28" x14ac:dyDescent="0.25">
      <c r="A26" t="s">
        <v>0</v>
      </c>
      <c r="B26" t="s">
        <v>0</v>
      </c>
      <c r="C26" s="70" t="s">
        <v>86</v>
      </c>
      <c r="D26" t="s">
        <v>0</v>
      </c>
      <c r="E26" s="71" t="s">
        <v>0</v>
      </c>
      <c r="F26" s="71" t="s">
        <v>0</v>
      </c>
      <c r="G26" s="71" t="s">
        <v>0</v>
      </c>
      <c r="H26" s="71">
        <f>+H25/H10</f>
        <v>0</v>
      </c>
      <c r="I26" s="71">
        <f>+I25/I10</f>
        <v>0</v>
      </c>
      <c r="J26" s="71">
        <f>+J25/J10</f>
        <v>0</v>
      </c>
      <c r="K26" s="71">
        <f>+K25/K10</f>
        <v>0</v>
      </c>
      <c r="L26" s="71">
        <f>+L25/L10</f>
        <v>0</v>
      </c>
      <c r="M26" s="71">
        <f>+M25/M10</f>
        <v>0</v>
      </c>
      <c r="N26" s="72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</row>
    <row r="27" ht="14.25" customHeight="1" spans="1:28" x14ac:dyDescent="0.25">
      <c r="A27" t="s">
        <v>0</v>
      </c>
      <c r="B27" t="s">
        <v>0</v>
      </c>
      <c r="C27" t="s">
        <v>59</v>
      </c>
      <c r="D27" t="s">
        <v>0</v>
      </c>
      <c r="E27" t="s">
        <v>0</v>
      </c>
      <c r="F27" t="s">
        <v>0</v>
      </c>
      <c r="G27" t="s">
        <v>0</v>
      </c>
      <c r="H27" s="73">
        <f>'+Model'!M48</f>
        <v>-1.9725000000000001</v>
      </c>
      <c r="I27" s="73">
        <f>'+Model'!N48</f>
        <v>-2.161875</v>
      </c>
      <c r="J27" s="73">
        <f>'+Model'!O48</f>
        <v>-2.369793750000001</v>
      </c>
      <c r="K27" s="73">
        <f>'+Model'!P48</f>
        <v>-2.598090937500001</v>
      </c>
      <c r="L27" s="73">
        <f>'+Model'!Q48</f>
        <v>-2.848783734375001</v>
      </c>
      <c r="M27" s="73">
        <f>'+Model'!R48</f>
        <v>-3.124089996093751</v>
      </c>
      <c r="N27" s="2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</row>
    <row r="28" ht="14.25" customHeight="1" spans="1:28" x14ac:dyDescent="0.25">
      <c r="A28" t="s">
        <v>0</v>
      </c>
      <c r="B28" t="s">
        <v>0</v>
      </c>
      <c r="C28" s="70" t="s">
        <v>86</v>
      </c>
      <c r="D28" t="s">
        <v>0</v>
      </c>
      <c r="E28" s="71" t="s">
        <v>0</v>
      </c>
      <c r="F28" s="71" t="s">
        <v>0</v>
      </c>
      <c r="G28" s="71" t="s">
        <v>0</v>
      </c>
      <c r="H28" s="71">
        <f>+H27/H10</f>
        <v>-0.05</v>
      </c>
      <c r="I28" s="71">
        <f>+I27/I10</f>
        <v>-0.05</v>
      </c>
      <c r="J28" s="71">
        <f>+J27/J10</f>
        <v>-0.05</v>
      </c>
      <c r="K28" s="71">
        <f>+K27/K10</f>
        <v>-0.05</v>
      </c>
      <c r="L28" s="71">
        <f>+L27/L10</f>
        <v>-0.05</v>
      </c>
      <c r="M28" s="71">
        <f>+M27/M10</f>
        <v>-0.05</v>
      </c>
      <c r="N28" s="72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</row>
    <row r="29" ht="14.25" customHeight="1" spans="1:28" x14ac:dyDescent="0.25">
      <c r="A29" t="s">
        <v>0</v>
      </c>
      <c r="B29" t="s">
        <v>0</v>
      </c>
      <c r="C29" s="74" t="s">
        <v>90</v>
      </c>
      <c r="D29" s="74" t="s">
        <v>0</v>
      </c>
      <c r="E29" s="74" t="s">
        <v>0</v>
      </c>
      <c r="F29" s="74" t="s">
        <v>0</v>
      </c>
      <c r="G29" s="74" t="s">
        <v>0</v>
      </c>
      <c r="H29" s="75">
        <f>+H21+H23+H25+H27</f>
        <v>6.114750000000001</v>
      </c>
      <c r="I29" s="75">
        <f>+I21+I23+I25+I27</f>
        <v>6.701812500000001</v>
      </c>
      <c r="J29" s="75">
        <f>+J21+J23+J25+J27</f>
        <v>7.346360625000001</v>
      </c>
      <c r="K29" s="75">
        <f>+K21+K23+K25+K27</f>
        <v>8.054081906250001</v>
      </c>
      <c r="L29" s="75">
        <f>+L21+L23+L25+L27</f>
        <v>8.831229576562503</v>
      </c>
      <c r="M29" s="75">
        <f>+M21+M23+M25+M27</f>
        <v>9.684678987890628</v>
      </c>
      <c r="N29" s="76">
        <f>+((M29/H29)^(1/(M$6-H$6))-1)</f>
        <v>0.09633001651321438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</row>
    <row r="30" ht="14.25" customHeight="1" spans="1:28" x14ac:dyDescent="0.25">
      <c r="A30" t="s">
        <v>0</v>
      </c>
      <c r="B30" t="s">
        <v>0</v>
      </c>
      <c r="C30" s="70" t="s">
        <v>85</v>
      </c>
      <c r="D30" t="s">
        <v>0</v>
      </c>
      <c r="E30" s="71" t="s">
        <v>0</v>
      </c>
      <c r="F30" s="71" t="s">
        <v>0</v>
      </c>
      <c r="G30" s="71" t="s">
        <v>0</v>
      </c>
      <c r="H30" s="71">
        <f>+H29/H10</f>
        <v>0.155</v>
      </c>
      <c r="I30" s="71">
        <f>+I29/I10</f>
        <v>0.155</v>
      </c>
      <c r="J30" s="71">
        <f>+J29/J10</f>
        <v>0.15499999999999997</v>
      </c>
      <c r="K30" s="71">
        <f>+K29/K10</f>
        <v>0.15499999999999997</v>
      </c>
      <c r="L30" s="71">
        <f>+L29/L10</f>
        <v>0.155</v>
      </c>
      <c r="M30" s="71">
        <f>+M29/M10</f>
        <v>0.155</v>
      </c>
      <c r="N30" s="72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</row>
    <row r="31" ht="14.25" customHeight="1" spans="1:28" x14ac:dyDescent="0.25">
      <c r="A31" t="s">
        <v>0</v>
      </c>
      <c r="B31" t="s">
        <v>0</v>
      </c>
      <c r="C31" s="70" t="s">
        <v>91</v>
      </c>
      <c r="D31" t="s">
        <v>0</v>
      </c>
      <c r="E31" s="71" t="s">
        <v>0</v>
      </c>
      <c r="F31" s="71" t="s">
        <v>0</v>
      </c>
      <c r="G31" s="71" t="s">
        <v>0</v>
      </c>
      <c r="H31" s="71">
        <f>+H29/H13</f>
        <v>0.62</v>
      </c>
      <c r="I31" s="71">
        <f>+I29/I13</f>
        <v>0.62</v>
      </c>
      <c r="J31" s="71">
        <f>+J29/J13</f>
        <v>0.6199999999999999</v>
      </c>
      <c r="K31" s="71">
        <f>+K29/K13</f>
        <v>0.6199999999999999</v>
      </c>
      <c r="L31" s="71">
        <f>+L29/L13</f>
        <v>0.62</v>
      </c>
      <c r="M31" s="71">
        <f>+M29/M13</f>
        <v>0.62</v>
      </c>
      <c r="N31" s="72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</row>
    <row r="32" ht="14.25" customHeight="1" spans="1:28" x14ac:dyDescent="0.25">
      <c r="A32" t="s">
        <v>0</v>
      </c>
      <c r="B32" t="s">
        <v>0</v>
      </c>
      <c r="C32" s="74" t="s">
        <v>92</v>
      </c>
      <c r="D32" s="74" t="s">
        <v>0</v>
      </c>
      <c r="E32" s="74" t="s">
        <v>0</v>
      </c>
      <c r="F32" s="74" t="s">
        <v>0</v>
      </c>
      <c r="G32" s="74" t="s">
        <v>0</v>
      </c>
      <c r="H32" s="75">
        <f>+H21+H25</f>
        <v>7.101000000000001</v>
      </c>
      <c r="I32" s="75">
        <f>+I21+I25</f>
        <v>7.782750000000002</v>
      </c>
      <c r="J32" s="75">
        <f>+J21+J25</f>
        <v>8.531257500000002</v>
      </c>
      <c r="K32" s="75">
        <f>+K21+K25</f>
        <v>9.353127375000003</v>
      </c>
      <c r="L32" s="75">
        <f>+L21+L25</f>
        <v>10.255621443750004</v>
      </c>
      <c r="M32" s="75">
        <f>+M21+M25</f>
        <v>11.246723985937503</v>
      </c>
      <c r="N32" s="76">
        <f>+((M32/H32)^(1/(M$6-H$6))-1)</f>
        <v>0.09633001651321438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</row>
    <row r="33" ht="14.25" customHeight="1" spans="1:28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s="2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</row>
    <row r="34" ht="14.25" customHeight="1" spans="1:28" x14ac:dyDescent="0.25">
      <c r="A34" t="s">
        <v>0</v>
      </c>
      <c r="B34" t="s">
        <v>0</v>
      </c>
      <c r="C34" t="s">
        <v>93</v>
      </c>
      <c r="D34" t="s">
        <v>0</v>
      </c>
      <c r="E34" t="s">
        <v>0</v>
      </c>
      <c r="F34" t="s">
        <v>0</v>
      </c>
      <c r="G34" s="80">
        <f>'+EDATE(Control'!D10,-12)</f>
        <v>44196</v>
      </c>
      <c r="H34" s="81">
        <f>+EDATE(G34,12)</f>
        <v>44561</v>
      </c>
      <c r="I34" s="81">
        <f>+EDATE(H34,12)</f>
        <v>44926</v>
      </c>
      <c r="J34" s="81">
        <f>+EDATE(I34,12)</f>
        <v>45291</v>
      </c>
      <c r="K34" s="81">
        <f>+EDATE(J34,12)</f>
        <v>45657</v>
      </c>
      <c r="L34" s="81">
        <f>+EDATE(K34,12)</f>
        <v>46022</v>
      </c>
      <c r="M34" s="81">
        <f>+EDATE(L34,12)</f>
        <v>46387</v>
      </c>
      <c r="N34" s="2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</row>
    <row r="35" ht="14.25" customHeight="1" spans="1:28" x14ac:dyDescent="0.25">
      <c r="A35" t="s">
        <v>0</v>
      </c>
      <c r="B35" t="s">
        <v>0</v>
      </c>
      <c r="C35" t="s">
        <v>94</v>
      </c>
      <c r="D35" t="s">
        <v>0</v>
      </c>
      <c r="E35" t="s">
        <v>0</v>
      </c>
      <c r="F35" t="s">
        <v>0</v>
      </c>
      <c r="G35" t="s">
        <v>0</v>
      </c>
      <c r="H35" s="53">
        <v>1</v>
      </c>
      <c r="I35" s="53">
        <v>1</v>
      </c>
      <c r="J35" s="53">
        <v>1</v>
      </c>
      <c r="K35" s="53">
        <v>1</v>
      </c>
      <c r="L35" s="53">
        <v>1</v>
      </c>
      <c r="M35" s="53">
        <v>1</v>
      </c>
      <c r="N35" s="2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</row>
    <row r="36" ht="14.25" customHeight="1" spans="1:28" x14ac:dyDescent="0.25">
      <c r="A36" t="s">
        <v>0</v>
      </c>
      <c r="B36" t="s">
        <v>0</v>
      </c>
      <c r="C36" t="s">
        <v>95</v>
      </c>
      <c r="D36" t="s">
        <v>0</v>
      </c>
      <c r="E36" t="s">
        <v>0</v>
      </c>
      <c r="F36" t="s">
        <v>0</v>
      </c>
      <c r="G36" t="s">
        <v>0</v>
      </c>
      <c r="H36">
        <f>+YEARFRAC($G$34,H34)-0.5</f>
        <v>0.5</v>
      </c>
      <c r="I36">
        <f>+YEARFRAC($G$34,I34)-0.5</f>
        <v>1.5</v>
      </c>
      <c r="J36">
        <f>+YEARFRAC($G$34,J34)-0.5</f>
        <v>2.5</v>
      </c>
      <c r="K36">
        <f>+YEARFRAC($G$34,K34)-0.5</f>
        <v>3.5</v>
      </c>
      <c r="L36">
        <f>+YEARFRAC($G$34,L34)-0.5</f>
        <v>4.5</v>
      </c>
      <c r="M36">
        <f>+YEARFRAC($G$34,M34)-0.5</f>
        <v>5.5</v>
      </c>
      <c r="N36" s="2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</row>
    <row r="37" ht="14.25" customHeight="1" spans="1:28" x14ac:dyDescent="0.25">
      <c r="A37" t="s">
        <v>0</v>
      </c>
      <c r="B37" t="s">
        <v>0</v>
      </c>
      <c r="C37" t="s">
        <v>96</v>
      </c>
      <c r="D37" t="s">
        <v>0</v>
      </c>
      <c r="E37" t="s">
        <v>0</v>
      </c>
      <c r="F37" t="s">
        <v>0</v>
      </c>
      <c r="G37" t="s">
        <v>0</v>
      </c>
      <c r="H37">
        <f>'+IF(Control!$D$11=DCF!H34,DCF'!H36+0.5,0)</f>
        <v>0</v>
      </c>
      <c r="I37">
        <f>'+IF(Control!$D$11=DCF!I34,DCF'!I36+0.5,0)</f>
        <v>0</v>
      </c>
      <c r="J37">
        <f>'+IF(Control!$D$11=DCF!J34,DCF'!J36+0.5,0)</f>
        <v>0</v>
      </c>
      <c r="K37">
        <f>'+IF(Control!$D$11=DCF!K34,DCF'!K36+0.5,0)</f>
        <v>0</v>
      </c>
      <c r="L37">
        <f>'+IF(Control!$D$11=DCF!L34,DCF'!L36+0.5,0)</f>
        <v>5</v>
      </c>
      <c r="M37">
        <f>'+IF(Control!$D$11=DCF!M34,DCF'!M36+0.5,0)</f>
        <v>0</v>
      </c>
      <c r="N37" s="2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</row>
    <row r="38" ht="14.25" customHeight="1" spans="1:28" x14ac:dyDescent="0.25">
      <c r="A38" t="s">
        <v>0</v>
      </c>
      <c r="B38" t="s">
        <v>0</v>
      </c>
      <c r="C38" s="74" t="s">
        <v>97</v>
      </c>
      <c r="D38" s="74" t="s">
        <v>0</v>
      </c>
      <c r="E38" s="74" t="s">
        <v>0</v>
      </c>
      <c r="F38" s="74" t="s">
        <v>0</v>
      </c>
      <c r="G38" s="74" t="s">
        <v>0</v>
      </c>
      <c r="H38" s="75">
        <f>+H35*H29</f>
        <v>6.114750000000001</v>
      </c>
      <c r="I38" s="75">
        <f>+I35*I29</f>
        <v>6.701812500000001</v>
      </c>
      <c r="J38" s="75">
        <f>+J35*J29</f>
        <v>7.346360625000001</v>
      </c>
      <c r="K38" s="75">
        <f>+K35*K29</f>
        <v>8.054081906250001</v>
      </c>
      <c r="L38" s="75">
        <f>+L35*L29</f>
        <v>8.831229576562503</v>
      </c>
      <c r="M38" s="75">
        <f>+M35*M29</f>
        <v>9.684678987890628</v>
      </c>
      <c r="N38" s="76">
        <f>+((M38/H38)^(1/(M$6-H$6))-1)</f>
        <v>0.09633001651321438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</row>
    <row r="39" ht="14.25" customHeight="1" spans="1:28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s="2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</row>
    <row r="40" ht="14.25" customHeight="1" spans="1:28" x14ac:dyDescent="0.25">
      <c r="A40" t="s">
        <v>0</v>
      </c>
      <c r="B40" t="s">
        <v>0</v>
      </c>
      <c r="C40" s="65" t="s">
        <v>98</v>
      </c>
      <c r="D40" s="66" t="s">
        <v>0</v>
      </c>
      <c r="E40" s="66" t="s">
        <v>0</v>
      </c>
      <c r="F40" s="66" t="s">
        <v>0</v>
      </c>
      <c r="G40" s="66" t="s">
        <v>0</v>
      </c>
      <c r="H40" s="66" t="s">
        <v>0</v>
      </c>
      <c r="I40" s="66" t="s">
        <v>0</v>
      </c>
      <c r="J40" s="66" t="s">
        <v>0</v>
      </c>
      <c r="K40" s="66" t="s">
        <v>0</v>
      </c>
      <c r="L40" s="66" t="s">
        <v>0</v>
      </c>
      <c r="M40" s="66" t="s">
        <v>0</v>
      </c>
      <c r="N40" s="66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</row>
    <row r="41" ht="14.25" customHeight="1" spans="1:28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s="2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</row>
    <row r="42" ht="14.25" customHeight="1" spans="1:28" x14ac:dyDescent="0.25">
      <c r="A42" t="s">
        <v>0</v>
      </c>
      <c r="B42" t="s">
        <v>0</v>
      </c>
      <c r="C42" s="82" t="s">
        <v>73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s="83" t="s">
        <v>99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</row>
    <row r="43" ht="14.25" customHeight="1" spans="1:28" x14ac:dyDescent="0.25">
      <c r="A43" t="s">
        <v>0</v>
      </c>
      <c r="B43" t="s">
        <v>0</v>
      </c>
      <c r="C43" s="84">
        <f>'+Control'!E15</f>
        <v>0.12</v>
      </c>
      <c r="D43" s="51" t="s">
        <v>0</v>
      </c>
      <c r="E43" s="51" t="s">
        <v>0</v>
      </c>
      <c r="F43" s="51" t="s">
        <v>0</v>
      </c>
      <c r="G43" s="51" t="s">
        <v>0</v>
      </c>
      <c r="H43" s="85">
        <f>+H$38/(1+$C43)^(H36)</f>
        <v>5.777895653332931</v>
      </c>
      <c r="I43" s="85">
        <f>+I$38/(1+$C43)^(I36)</f>
        <v>5.654122834306142</v>
      </c>
      <c r="J43" s="85">
        <f>+J$38/(1+$C44)^(J36)</f>
        <v>5.533847501123768</v>
      </c>
      <c r="K43" s="85">
        <f>+K$38/(1+$C45)^(K36)</f>
        <v>5.416926745123118</v>
      </c>
      <c r="L43" s="85">
        <f>+L$38/(1+$C46)^(L36)</f>
        <v>5.303225237929303</v>
      </c>
      <c r="M43" s="85">
        <f>+M$38/(1+$C47)^(M36)</f>
        <v>5.192614781821237</v>
      </c>
      <c r="N43" s="86">
        <f>SUM(H43:M43)</f>
        <v>32.8786327536365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</row>
    <row r="44" ht="14.25" customHeight="1" spans="1:28" x14ac:dyDescent="0.25">
      <c r="A44" t="s">
        <v>0</v>
      </c>
      <c r="B44" t="s">
        <v>0</v>
      </c>
      <c r="C44" s="87">
        <f>'+C43+Control'!E16</f>
        <v>0.13999999999999999</v>
      </c>
      <c r="D44" t="s">
        <v>0</v>
      </c>
      <c r="E44" t="s">
        <v>0</v>
      </c>
      <c r="F44" t="s">
        <v>0</v>
      </c>
      <c r="G44" t="s">
        <v>0</v>
      </c>
      <c r="H44" s="79">
        <f>+H$38/(1+$C44)^(H36)</f>
        <v>5.726988091369164</v>
      </c>
      <c r="I44" s="79">
        <f>+I$38/(1+$C44)^(I36)</f>
        <v>5.505984648579687</v>
      </c>
      <c r="J44" s="79">
        <f>+J$38/(1+$C45)^(J36)</f>
        <v>5.294319119834894</v>
      </c>
      <c r="K44" s="79">
        <f>+K$38/(1+$C46)^(K36)</f>
        <v>5.091538853190048</v>
      </c>
      <c r="L44" s="79">
        <f>+L$38/(1+$C47)^(L36)</f>
        <v>4.89721694810673</v>
      </c>
      <c r="M44" s="79">
        <f>+M$38/(1+$C48)^(M36)</f>
        <v>4.710950572772459</v>
      </c>
      <c r="N44" s="88">
        <f>SUM(H44:M44)</f>
        <v>31.22699823385298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</row>
    <row r="45" ht="14.25" customHeight="1" spans="1:28" x14ac:dyDescent="0.25">
      <c r="A45" t="s">
        <v>0</v>
      </c>
      <c r="B45" t="s">
        <v>0</v>
      </c>
      <c r="C45" s="89">
        <f>'+C44+Control'!E16</f>
        <v>0.15999999999999998</v>
      </c>
      <c r="D45" s="55" t="s">
        <v>0</v>
      </c>
      <c r="E45" s="55" t="s">
        <v>0</v>
      </c>
      <c r="F45" s="55" t="s">
        <v>0</v>
      </c>
      <c r="G45" s="55" t="s">
        <v>0</v>
      </c>
      <c r="H45" s="90">
        <f>+H$38/(1+$C45)^(H36)</f>
        <v>5.67740284559064</v>
      </c>
      <c r="I45" s="90">
        <f>+I$38/(1+$C45)^(I36)</f>
        <v>5.364204045632301</v>
      </c>
      <c r="J45" s="90">
        <f>+J$38/(1+$C46)^(J36)</f>
        <v>5.069058117679672</v>
      </c>
      <c r="K45" s="90">
        <f>+K$38/(1+$C47)^(K36)</f>
        <v>4.790855583225176</v>
      </c>
      <c r="L45" s="90">
        <f>+L$38/(1+$C48)^(L36)</f>
        <v>4.528561012666148</v>
      </c>
      <c r="M45" s="90">
        <f>+M$38/(1+$C49)^(M36)</f>
        <v>4.281207615163713</v>
      </c>
      <c r="N45" s="91">
        <f>SUM(H45:M45)</f>
        <v>29.711289219957653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</row>
    <row r="46" ht="14.25" customHeight="1" spans="1:28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s="2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</row>
    <row r="47" ht="14.25" customHeight="1" spans="1:28" x14ac:dyDescent="0.25">
      <c r="A47" t="s">
        <v>0</v>
      </c>
      <c r="B47" t="s">
        <v>0</v>
      </c>
      <c r="C47" s="92" t="str">
        <f>+YEAR(Control!$D$11)&amp;"E"&amp;" EBITDA"</f>
        <v>2025E EBITDA</v>
      </c>
      <c r="D47" t="s">
        <v>0</v>
      </c>
      <c r="E47" t="s">
        <v>0</v>
      </c>
      <c r="F47" t="s">
        <v>0</v>
      </c>
      <c r="G47" t="s">
        <v>0</v>
      </c>
      <c r="H47" s="93" t="s">
        <v>100</v>
      </c>
      <c r="I47" s="93" t="s">
        <v>0</v>
      </c>
      <c r="J47" s="93" t="s">
        <v>0</v>
      </c>
      <c r="K47" s="93" t="s">
        <v>0</v>
      </c>
      <c r="L47" s="93" t="s">
        <v>0</v>
      </c>
      <c r="M47" t="s">
        <v>0</v>
      </c>
      <c r="N47" s="2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</row>
    <row r="48" ht="14.25" customHeight="1" spans="1:28" x14ac:dyDescent="0.25">
      <c r="A48" t="s">
        <v>0</v>
      </c>
      <c r="B48" t="s">
        <v>0</v>
      </c>
      <c r="C48" s="94">
        <f>'+HLOOKUP(Control!D11,DCF'!C8:M13,6)</f>
        <v>14.243918671875004</v>
      </c>
      <c r="D48" t="s">
        <v>0</v>
      </c>
      <c r="E48" t="s">
        <v>0</v>
      </c>
      <c r="F48" t="s">
        <v>0</v>
      </c>
      <c r="G48" t="s">
        <v>0</v>
      </c>
      <c r="H48" s="95" t="s">
        <v>0</v>
      </c>
      <c r="I48" s="96" t="s">
        <v>101</v>
      </c>
      <c r="J48" s="96" t="s">
        <v>102</v>
      </c>
      <c r="K48" s="96" t="s">
        <v>103</v>
      </c>
      <c r="L48" s="97" t="s">
        <v>104</v>
      </c>
      <c r="M48" t="s">
        <v>0</v>
      </c>
      <c r="N48" s="2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</row>
    <row r="49" ht="14.25" customHeight="1" spans="1:28" x14ac:dyDescent="0.25">
      <c r="A49" t="s">
        <v>0</v>
      </c>
      <c r="B49" t="s">
        <v>0</v>
      </c>
      <c r="C49" s="92" t="s">
        <v>105</v>
      </c>
      <c r="D49" t="s">
        <v>0</v>
      </c>
      <c r="E49" t="s">
        <v>0</v>
      </c>
      <c r="F49" t="s">
        <v>0</v>
      </c>
      <c r="G49" t="s">
        <v>0</v>
      </c>
      <c r="H49" s="98" t="s">
        <v>73</v>
      </c>
      <c r="I49" s="99" t="s">
        <v>106</v>
      </c>
      <c r="J49" s="99" t="s">
        <v>107</v>
      </c>
      <c r="K49" s="99" t="s">
        <v>108</v>
      </c>
      <c r="L49" s="100" t="s">
        <v>109</v>
      </c>
      <c r="M49" t="s">
        <v>0</v>
      </c>
      <c r="N49" s="2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</row>
    <row r="50" ht="14.25" customHeight="1" spans="1:28" x14ac:dyDescent="0.25">
      <c r="A50" t="s">
        <v>0</v>
      </c>
      <c r="B50" t="s">
        <v>0</v>
      </c>
      <c r="C50" s="94">
        <f>+HLOOKUP(Control!$D$11,DCF!$H$34:$M$37,4)</f>
        <v>5</v>
      </c>
      <c r="D50" t="s">
        <v>0</v>
      </c>
      <c r="E50" t="s">
        <v>0</v>
      </c>
      <c r="F50" t="s">
        <v>0</v>
      </c>
      <c r="G50" t="s">
        <v>0</v>
      </c>
      <c r="H50" s="101">
        <f>+C43</f>
        <v>0.12</v>
      </c>
      <c r="I50" s="102">
        <f>'+Control'!I15</f>
        <v>10</v>
      </c>
      <c r="J50" s="103">
        <f>+$C$48*I50</f>
        <v>142.43918671875005</v>
      </c>
      <c r="K50" s="103">
        <f>+(J50)/(1+H50)^$C$50</f>
        <v>80.8238198509348</v>
      </c>
      <c r="L50" s="104">
        <f>+((J50*(1+H50)^0.5)*H50-$C$54)/($C$54+(J50/(1+H50)^0.5))</f>
        <v>0.05408148113254992</v>
      </c>
      <c r="M50" t="s">
        <v>0</v>
      </c>
      <c r="N50" s="2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</row>
    <row r="51" ht="14.25" customHeight="1" spans="1:28" x14ac:dyDescent="0.25">
      <c r="A51" t="s">
        <v>0</v>
      </c>
      <c r="B51" t="s">
        <v>0</v>
      </c>
      <c r="C51" s="92" t="s">
        <v>110</v>
      </c>
      <c r="D51" t="s">
        <v>0</v>
      </c>
      <c r="E51" t="s">
        <v>0</v>
      </c>
      <c r="F51" t="s">
        <v>0</v>
      </c>
      <c r="G51" t="s">
        <v>0</v>
      </c>
      <c r="H51" s="105">
        <f>+C44</f>
        <v>0.13999999999999999</v>
      </c>
      <c r="I51" s="106">
        <f>+I50</f>
        <v>10</v>
      </c>
      <c r="J51" s="107">
        <f>+$C$48*I51</f>
        <v>142.43918671875005</v>
      </c>
      <c r="K51" s="107">
        <f>+(J51)/(1+H51)^$C$50</f>
        <v>73.97845015861562</v>
      </c>
      <c r="L51" s="108">
        <f>+((J51*(1+H51)^0.5)*H51-$C$54)/($C$54+(J51/(1+H51)^0.5))</f>
        <v>0.07681953745406488</v>
      </c>
      <c r="M51" t="s">
        <v>0</v>
      </c>
      <c r="N51" s="2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</row>
    <row r="52" ht="14.25" customHeight="1" spans="1:28" x14ac:dyDescent="0.25">
      <c r="A52" t="s">
        <v>0</v>
      </c>
      <c r="B52" t="s">
        <v>0</v>
      </c>
      <c r="C52" s="94">
        <f>+HLOOKUP(Control!$D$11,DCF!$H$34:$M$37,3)</f>
        <v>4.5</v>
      </c>
      <c r="D52" t="s">
        <v>0</v>
      </c>
      <c r="E52" t="s">
        <v>0</v>
      </c>
      <c r="F52" t="s">
        <v>0</v>
      </c>
      <c r="G52" t="s">
        <v>0</v>
      </c>
      <c r="H52" s="109">
        <f>+C45</f>
        <v>0.15999999999999998</v>
      </c>
      <c r="I52" s="110">
        <f>+I51</f>
        <v>10</v>
      </c>
      <c r="J52" s="111">
        <f>+$C$48*I52</f>
        <v>142.43918671875005</v>
      </c>
      <c r="K52" s="111">
        <f>+(J52)/(1+H52)^$C$50</f>
        <v>67.81715070181069</v>
      </c>
      <c r="L52" s="112">
        <f>+((J52*(1+H52)^0.5)*H52-$C$54)/($C$54+(J52/(1+H52)^0.5))</f>
        <v>0.10027747247118023</v>
      </c>
      <c r="M52" t="s">
        <v>0</v>
      </c>
      <c r="N52" s="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</row>
    <row r="53" ht="14.25" customHeight="1" spans="1:28" x14ac:dyDescent="0.25">
      <c r="A53" t="s">
        <v>0</v>
      </c>
      <c r="B53" t="s">
        <v>0</v>
      </c>
      <c r="C53" s="92" t="s">
        <v>111</v>
      </c>
      <c r="D53" t="s">
        <v>0</v>
      </c>
      <c r="E53" t="s">
        <v>0</v>
      </c>
      <c r="F53" t="s">
        <v>0</v>
      </c>
      <c r="G53" t="s">
        <v>0</v>
      </c>
      <c r="H53" s="101">
        <f>+H50</f>
        <v>0.12</v>
      </c>
      <c r="I53" s="102">
        <f>'+I52+Control'!I16</f>
        <v>11</v>
      </c>
      <c r="J53" s="103">
        <f>+$C$48*I53</f>
        <v>156.68310539062506</v>
      </c>
      <c r="K53" s="103">
        <f>+(J53)/(1+H53)^$C$50</f>
        <v>88.90620183602829</v>
      </c>
      <c r="L53" s="104">
        <f>+((J53*(1+H53)^0.5)*H53-$C$54)/($C$54+(J53/(1+H53)^0.5))</f>
        <v>0.060910139539014994</v>
      </c>
      <c r="M53" t="s">
        <v>0</v>
      </c>
      <c r="N53" s="2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</row>
    <row r="54" ht="14.25" customHeight="1" spans="1:28" x14ac:dyDescent="0.25">
      <c r="A54" t="s">
        <v>0</v>
      </c>
      <c r="B54" t="s">
        <v>0</v>
      </c>
      <c r="C54" s="94">
        <f>+HLOOKUP(Control!$D$11,DCF!$H$8:$M$32,25)</f>
        <v>10.255621443750004</v>
      </c>
      <c r="D54" t="s">
        <v>0</v>
      </c>
      <c r="E54" t="s">
        <v>0</v>
      </c>
      <c r="F54" t="s">
        <v>0</v>
      </c>
      <c r="G54" t="s">
        <v>0</v>
      </c>
      <c r="H54" s="105">
        <f>+H51</f>
        <v>0.13999999999999999</v>
      </c>
      <c r="I54" s="106">
        <f>+I53</f>
        <v>11</v>
      </c>
      <c r="J54" s="107">
        <f>+$C$48*I54</f>
        <v>156.68310539062506</v>
      </c>
      <c r="K54" s="107">
        <f>+(J54)/(1+H54)^$C$50</f>
        <v>81.37629517447718</v>
      </c>
      <c r="L54" s="108">
        <f>+((J54*(1+H54)^0.5)*H54-$C$54)/($C$54+(J54/(1+H54)^0.5))</f>
        <v>0.08385345907864875</v>
      </c>
      <c r="M54" t="s">
        <v>0</v>
      </c>
      <c r="N54" s="2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</row>
    <row r="55" ht="14.25" customHeight="1" spans="1:28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s="109">
        <f>+H52</f>
        <v>0.15999999999999998</v>
      </c>
      <c r="I55" s="110">
        <f>+I54</f>
        <v>11</v>
      </c>
      <c r="J55" s="111">
        <f>+$C$48*I55</f>
        <v>156.68310539062506</v>
      </c>
      <c r="K55" s="111">
        <f>+(J55)/(1+H55)^$C$50</f>
        <v>74.59886577199177</v>
      </c>
      <c r="L55" s="112">
        <f>+((J55*(1+H55)^0.5)*H55-$C$54)/($C$54+(J55/(1+H55)^0.5))</f>
        <v>0.10752326163660451</v>
      </c>
      <c r="M55" t="s">
        <v>0</v>
      </c>
      <c r="N55" s="2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</row>
    <row r="56" ht="14.25" customHeight="1" spans="1:28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s="101">
        <f>+H53</f>
        <v>0.12</v>
      </c>
      <c r="I56" s="102">
        <f>'+I53+Control'!I16</f>
        <v>12</v>
      </c>
      <c r="J56" s="103">
        <f>+$C$48*I56</f>
        <v>170.92702406250004</v>
      </c>
      <c r="K56" s="103">
        <f>+(J56)/(1+H56)^$C$50</f>
        <v>96.98858382112175</v>
      </c>
      <c r="L56" s="104">
        <f>+((J56*(1+H56)^0.5)*H56-$C$54)/($C$54+(J56/(1+H56)^0.5))</f>
        <v>0.06666864106625904</v>
      </c>
      <c r="M56" t="s">
        <v>0</v>
      </c>
      <c r="N56" s="2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</row>
    <row r="57" ht="14.25" customHeight="1" spans="1:28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s="105">
        <f>+H54</f>
        <v>0.13999999999999999</v>
      </c>
      <c r="I57" s="106">
        <f>+I56</f>
        <v>12</v>
      </c>
      <c r="J57" s="107">
        <f>+$C$48*I57</f>
        <v>170.92702406250004</v>
      </c>
      <c r="K57" s="107">
        <f>+(J57)/(1+H57)^$C$50</f>
        <v>88.77414019033871</v>
      </c>
      <c r="L57" s="108">
        <f>+((J57*(1+H57)^0.5)*H57-$C$54)/($C$54+(J57/(1+H57)^0.5))</f>
        <v>0.08978564062278281</v>
      </c>
      <c r="M57" t="s">
        <v>0</v>
      </c>
      <c r="N57" s="2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</row>
    <row r="58" ht="14.25" customHeight="1" spans="1:28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s="109">
        <f>+H55</f>
        <v>0.15999999999999998</v>
      </c>
      <c r="I58" s="110">
        <f>+I57</f>
        <v>12</v>
      </c>
      <c r="J58" s="111">
        <f>+$C$48*I58</f>
        <v>170.92702406250004</v>
      </c>
      <c r="K58" s="111">
        <f>+(J58)/(1+H58)^$C$50</f>
        <v>81.38058084217282</v>
      </c>
      <c r="L58" s="112">
        <f>+((J58*(1+H58)^0.5)*H58-$C$54)/($C$54+(J58/(1+H58)^0.5))</f>
        <v>0.11363472185439989</v>
      </c>
      <c r="M58" t="s">
        <v>0</v>
      </c>
      <c r="N58" s="2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</row>
    <row r="59" ht="14.25" customHeight="1" spans="1:28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s="2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</row>
    <row r="60" ht="14.25" customHeight="1" spans="1:28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s="93" t="s">
        <v>112</v>
      </c>
      <c r="I60" s="93" t="s">
        <v>0</v>
      </c>
      <c r="J60" s="93" t="s">
        <v>0</v>
      </c>
      <c r="K60" s="93" t="s">
        <v>0</v>
      </c>
      <c r="L60" s="93" t="s">
        <v>0</v>
      </c>
      <c r="M60" t="s">
        <v>0</v>
      </c>
      <c r="N60" s="2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</row>
    <row r="61" ht="14.25" customHeight="1" spans="1:28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s="95" t="s">
        <v>0</v>
      </c>
      <c r="I61" s="96" t="s">
        <v>0</v>
      </c>
      <c r="J61" s="96" t="s">
        <v>102</v>
      </c>
      <c r="K61" s="96" t="s">
        <v>103</v>
      </c>
      <c r="L61" s="97" t="s">
        <v>104</v>
      </c>
      <c r="M61" t="s">
        <v>0</v>
      </c>
      <c r="N61" s="2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</row>
    <row r="62" ht="14.25" customHeight="1" spans="1:28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s="98" t="s">
        <v>73</v>
      </c>
      <c r="I62" s="99" t="s">
        <v>113</v>
      </c>
      <c r="J62" s="99" t="s">
        <v>107</v>
      </c>
      <c r="K62" s="99" t="s">
        <v>108</v>
      </c>
      <c r="L62" s="100" t="s">
        <v>109</v>
      </c>
      <c r="M62" t="s">
        <v>0</v>
      </c>
      <c r="N62" s="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</row>
    <row r="63" ht="14.25" customHeight="1" spans="1:28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s="101">
        <f>+H50</f>
        <v>0.12</v>
      </c>
      <c r="I63" s="113">
        <f>'+Control'!M15</f>
        <v>0.02</v>
      </c>
      <c r="J63" s="103">
        <f>+($C$54*(1+I63))/(H63-I63)</f>
        <v>104.60733872625005</v>
      </c>
      <c r="K63" s="103">
        <f>+(J63)/(1+H63)^$C$52</f>
        <v>62.81755830218195</v>
      </c>
      <c r="L63" s="114">
        <f>+(J63*(1+$H63)^0.5/$C$48)</f>
        <v>7.772159051383343</v>
      </c>
      <c r="M63" t="s">
        <v>0</v>
      </c>
      <c r="N63" s="2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</row>
    <row r="64" ht="14.25" customHeight="1" spans="1:28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s="105">
        <f>+H51</f>
        <v>0.13999999999999999</v>
      </c>
      <c r="I64" s="115">
        <f>+I63</f>
        <v>0.02</v>
      </c>
      <c r="J64" s="107">
        <f>+($C$54*(1+I64))/(H64-I64)</f>
        <v>87.17278227187505</v>
      </c>
      <c r="K64" s="107">
        <f>+(J64)/(1+H64)^$C$52</f>
        <v>48.34027052002128</v>
      </c>
      <c r="L64" s="116">
        <f>+(J64*(1+$H64)^0.5/$C$48)</f>
        <v>6.534371890243164</v>
      </c>
      <c r="M64" t="s">
        <v>0</v>
      </c>
      <c r="N64" s="2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</row>
    <row r="65" ht="14.25" customHeight="1" spans="1:28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s="109">
        <f>+H52</f>
        <v>0.15999999999999998</v>
      </c>
      <c r="I65" s="117">
        <f>+I64</f>
        <v>0.02</v>
      </c>
      <c r="J65" s="111">
        <f>+($C$54*(1+I65))/(H65-I65)</f>
        <v>74.71952766160719</v>
      </c>
      <c r="K65" s="111">
        <f>+(J65)/(1+H65)^$C$52</f>
        <v>38.31538257721221</v>
      </c>
      <c r="L65" s="118">
        <f>+(J65*(1+$H65)^0.5/$C$48)</f>
        <v>5.6498071919422586</v>
      </c>
      <c r="M65" t="s">
        <v>0</v>
      </c>
      <c r="N65" s="2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</row>
    <row r="66" ht="14.25" customHeight="1" spans="1:28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s="101">
        <f>+H53</f>
        <v>0.12</v>
      </c>
      <c r="I66" s="113">
        <f>'+I63+Control'!M16</f>
        <v>0.025</v>
      </c>
      <c r="J66" s="103">
        <f>+($C$54*(1+I66))/(H66-I66)</f>
        <v>110.6527576825658</v>
      </c>
      <c r="K66" s="103">
        <f>+(J66)/(1+H66)^$C$52</f>
        <v>66.44788158899533</v>
      </c>
      <c r="L66" s="114">
        <f>+(J66*(1+$H66)^0.5/$C$48)</f>
        <v>8.221324073960705</v>
      </c>
      <c r="M66" t="s">
        <v>0</v>
      </c>
      <c r="N66" s="2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</row>
    <row r="67" ht="14.25" customHeight="1" spans="1:28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s="105">
        <f>+H54</f>
        <v>0.13999999999999999</v>
      </c>
      <c r="I67" s="115">
        <f>+I66</f>
        <v>0.025</v>
      </c>
      <c r="J67" s="107">
        <f>+($C$54*(1+I67))/(H67-I67)</f>
        <v>91.40879982472829</v>
      </c>
      <c r="K67" s="107">
        <f>+(J67)/(1+H67)^$C$52</f>
        <v>50.689286223040206</v>
      </c>
      <c r="L67" s="116">
        <f>+(J67*(1+$H67)^0.5/$C$48)</f>
        <v>6.851898913042703</v>
      </c>
      <c r="M67" t="s">
        <v>0</v>
      </c>
      <c r="N67" s="2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</row>
    <row r="68" ht="14.25" customHeight="1" spans="1:28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s="109">
        <f>+H55</f>
        <v>0.15999999999999998</v>
      </c>
      <c r="I68" s="117">
        <f>+I67</f>
        <v>0.025</v>
      </c>
      <c r="J68" s="111">
        <f>+($C$54*(1+I68))/(H68-I68)</f>
        <v>77.86675540625002</v>
      </c>
      <c r="K68" s="111">
        <f>+(J68)/(1+H68)^$C$52</f>
        <v>39.929247638561726</v>
      </c>
      <c r="L68" s="118">
        <f>+(J68*(1+$H68)^0.5/$C$48)</f>
        <v>5.887780189133724</v>
      </c>
      <c r="M68" t="s">
        <v>0</v>
      </c>
      <c r="N68" s="2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</row>
    <row r="69" ht="14.25" customHeight="1" spans="1:28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s="101">
        <f>+H56</f>
        <v>0.12</v>
      </c>
      <c r="I69" s="113">
        <f>'+I66+Control'!M16</f>
        <v>0.030000000000000002</v>
      </c>
      <c r="J69" s="103">
        <f>+($C$54*(1+I69))/(H69-I69)</f>
        <v>117.36988985625004</v>
      </c>
      <c r="K69" s="103">
        <f>+(J69)/(1+H69)^$C$52</f>
        <v>70.48157412989913</v>
      </c>
      <c r="L69" s="114">
        <f>+(J69*(1+$H69)^0.5/$C$48)</f>
        <v>8.720396321268892</v>
      </c>
      <c r="M69" t="s">
        <v>0</v>
      </c>
      <c r="N69" s="2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</row>
    <row r="70" ht="14.25" customHeight="1" spans="1:28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s="105">
        <f>+H57</f>
        <v>0.13999999999999999</v>
      </c>
      <c r="I70" s="115">
        <f>+I69</f>
        <v>0.030000000000000002</v>
      </c>
      <c r="J70" s="107">
        <f>+($C$54*(1+I70))/(H70-I70)</f>
        <v>96.0299098823864</v>
      </c>
      <c r="K70" s="107">
        <f>+(J70)/(1+H70)^$C$52</f>
        <v>53.25184880815178</v>
      </c>
      <c r="L70" s="116">
        <f>+(J70*(1+$H70)^0.5/$C$48)</f>
        <v>7.19829202882402</v>
      </c>
      <c r="M70" t="s">
        <v>0</v>
      </c>
      <c r="N70" s="2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</row>
    <row r="71" ht="14.25" customHeight="1" spans="1:28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s="109">
        <f>+H58</f>
        <v>0.15999999999999998</v>
      </c>
      <c r="I71" s="117">
        <f>+I70</f>
        <v>0.030000000000000002</v>
      </c>
      <c r="J71" s="111">
        <f>+($C$54*(1+I71))/(H71-I71)</f>
        <v>81.2560775927885</v>
      </c>
      <c r="K71" s="111">
        <f>+(J71)/(1+H71)^$C$52</f>
        <v>41.667256166168926</v>
      </c>
      <c r="L71" s="118">
        <f>+(J71*(1+$H71)^0.5/$C$48)</f>
        <v>6.144058801493768</v>
      </c>
      <c r="M71" t="s">
        <v>0</v>
      </c>
      <c r="N71" s="2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</row>
    <row r="72" ht="14.25" customHeight="1" x14ac:dyDescent="0.25"/>
    <row r="73" ht="14.25" customHeight="1" x14ac:dyDescent="0.25"/>
    <row r="74" ht="14.25" customHeight="1" x14ac:dyDescent="0.25"/>
    <row r="75" ht="15" customHeight="1" spans="1:28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s="119" t="s">
        <v>98</v>
      </c>
      <c r="S75" s="119" t="s">
        <v>0</v>
      </c>
      <c r="T75" s="119" t="s">
        <v>0</v>
      </c>
      <c r="U75" s="119" t="s">
        <v>0</v>
      </c>
      <c r="V75" s="119" t="s">
        <v>0</v>
      </c>
      <c r="W75" s="119" t="s">
        <v>0</v>
      </c>
      <c r="X75" s="119" t="s">
        <v>0</v>
      </c>
      <c r="Y75" s="119" t="s">
        <v>0</v>
      </c>
      <c r="Z75" s="119" t="s">
        <v>0</v>
      </c>
      <c r="AA75" s="119" t="s">
        <v>0</v>
      </c>
      <c r="AB75" s="119" t="s">
        <v>0</v>
      </c>
    </row>
    <row r="76" ht="14.25" customHeight="1" spans="1:28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tr">
        <f>+C5</f>
        <v>$ MM, unless otherwise stated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</row>
    <row r="77" ht="14.25" customHeight="1" x14ac:dyDescent="0.25"/>
    <row r="78" ht="14.25" customHeight="1" spans="1:28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s="44" t="s">
        <v>114</v>
      </c>
      <c r="S78" s="120" t="s">
        <v>0</v>
      </c>
      <c r="T78" s="120" t="s">
        <v>0</v>
      </c>
      <c r="U78" s="120" t="s">
        <v>0</v>
      </c>
      <c r="V78" s="120" t="s">
        <v>0</v>
      </c>
      <c r="W78" s="120" t="s">
        <v>0</v>
      </c>
      <c r="X78" s="120" t="s">
        <v>0</v>
      </c>
      <c r="Y78" s="120" t="s">
        <v>0</v>
      </c>
      <c r="Z78" s="120" t="s">
        <v>0</v>
      </c>
      <c r="AA78" s="120" t="s">
        <v>0</v>
      </c>
      <c r="AB78" s="120" t="s">
        <v>0</v>
      </c>
    </row>
    <row r="79" ht="14.25" customHeight="1" x14ac:dyDescent="0.25"/>
    <row r="80" ht="14.25" customHeight="1" spans="1:28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s="121" t="s">
        <v>115</v>
      </c>
      <c r="S80" s="122" t="s">
        <v>0</v>
      </c>
      <c r="T80" s="123">
        <f>+I50</f>
        <v>10</v>
      </c>
      <c r="U80" s="124" t="s">
        <v>0</v>
      </c>
      <c r="V80" s="125" t="s">
        <v>0</v>
      </c>
      <c r="W80" s="123">
        <f>+I53</f>
        <v>11</v>
      </c>
      <c r="X80" s="124" t="s">
        <v>0</v>
      </c>
      <c r="Y80" s="125" t="s">
        <v>0</v>
      </c>
      <c r="Z80" s="123">
        <f>+I56</f>
        <v>12</v>
      </c>
      <c r="AA80" s="124" t="s">
        <v>0</v>
      </c>
      <c r="AB80" s="125" t="s">
        <v>0</v>
      </c>
    </row>
    <row r="81" ht="14.25" customHeight="1" spans="1:28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s="126" t="s">
        <v>116</v>
      </c>
      <c r="S81" s="127" t="s">
        <v>0</v>
      </c>
      <c r="T81" s="128">
        <f>'+Control'!E15</f>
        <v>0.12</v>
      </c>
      <c r="U81" s="128">
        <f>'+T81+Control'!E16</f>
        <v>0.13999999999999999</v>
      </c>
      <c r="V81" s="129">
        <f>'+U81+Control'!E16</f>
        <v>0.15999999999999998</v>
      </c>
      <c r="W81" s="130">
        <f>+T81</f>
        <v>0.12</v>
      </c>
      <c r="X81" s="130">
        <f>+U81</f>
        <v>0.13999999999999999</v>
      </c>
      <c r="Y81" s="131">
        <f>+V81</f>
        <v>0.15999999999999998</v>
      </c>
      <c r="Z81" s="130">
        <f>+W81</f>
        <v>0.12</v>
      </c>
      <c r="AA81" s="130">
        <f>+X81</f>
        <v>0.13999999999999999</v>
      </c>
      <c r="AB81" s="131">
        <f>+Y81</f>
        <v>0.15999999999999998</v>
      </c>
    </row>
    <row r="82" ht="14.25" customHeight="1" spans="1:28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s="132" t="s">
        <v>117</v>
      </c>
      <c r="S82" s="133" t="s">
        <v>0</v>
      </c>
      <c r="T82" t="s">
        <v>0</v>
      </c>
      <c r="U82" t="s">
        <v>0</v>
      </c>
      <c r="V82" s="133" t="s">
        <v>0</v>
      </c>
      <c r="W82" t="s">
        <v>0</v>
      </c>
      <c r="X82" t="s">
        <v>0</v>
      </c>
      <c r="Y82" s="133" t="s">
        <v>0</v>
      </c>
      <c r="Z82" t="s">
        <v>0</v>
      </c>
      <c r="AA82" t="s">
        <v>0</v>
      </c>
      <c r="AB82" s="133" t="s">
        <v>0</v>
      </c>
    </row>
    <row r="83" ht="14.25" customHeight="1" spans="1:28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s="134" t="s">
        <v>118</v>
      </c>
      <c r="S83" s="133" t="s">
        <v>0</v>
      </c>
      <c r="T83" s="107">
        <f t="shared" ref="T83:V83" si="0">+TRANSPOSE($N$43:$N$45)</f>
      </c>
      <c r="U83">
        <f t="shared" si="0"/>
      </c>
      <c r="V83">
        <f t="shared" si="0"/>
      </c>
      <c r="W83" s="107">
        <f t="shared" ref="W83:Y83" si="1">+TRANSPOSE($N$43:$N$45)</f>
      </c>
      <c r="X83">
        <f t="shared" si="1"/>
      </c>
      <c r="Y83">
        <f t="shared" si="1"/>
      </c>
      <c r="Z83" s="107">
        <f t="shared" ref="Z83:AB83" si="2">+TRANSPOSE($N$43:$N$45)</f>
      </c>
      <c r="AA83">
        <f t="shared" si="2"/>
      </c>
      <c r="AB83">
        <f t="shared" si="2"/>
      </c>
    </row>
    <row r="84" ht="14.25" customHeight="1" spans="1:28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s="134" t="s">
        <v>119</v>
      </c>
      <c r="S84" s="133" t="s">
        <v>0</v>
      </c>
      <c r="T84" s="107">
        <f t="shared" ref="T84:AB84" si="3">+TRANSPOSE(K50:K58)</f>
      </c>
      <c r="U84">
        <f t="shared" si="3"/>
      </c>
      <c r="V84">
        <f t="shared" si="3"/>
      </c>
      <c r="W84">
        <f t="shared" si="3"/>
      </c>
      <c r="X84">
        <f t="shared" si="3"/>
      </c>
      <c r="Y84">
        <f t="shared" si="3"/>
      </c>
      <c r="Z84">
        <f t="shared" si="3"/>
      </c>
      <c r="AA84">
        <f t="shared" si="3"/>
      </c>
      <c r="AB84">
        <f t="shared" si="3"/>
      </c>
    </row>
    <row r="85" ht="14.25" customHeight="1" spans="1:28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s="74" t="s">
        <v>120</v>
      </c>
      <c r="S85" s="135" t="s">
        <v>0</v>
      </c>
      <c r="T85" s="103">
        <f>SUM(T83:T84)</f>
        <v>113.7024526045713</v>
      </c>
      <c r="U85" s="103">
        <f>SUM(U83:U84)</f>
        <v>105.2054483924686</v>
      </c>
      <c r="V85" s="136">
        <f>SUM(V83:V84)</f>
        <v>97.52843992176834</v>
      </c>
      <c r="W85" s="103">
        <f>SUM(W83:W84)</f>
        <v>121.7848345896648</v>
      </c>
      <c r="X85" s="103">
        <f>SUM(X83:X84)</f>
        <v>112.60329340833016</v>
      </c>
      <c r="Y85" s="136">
        <f>SUM(Y83:Y84)</f>
        <v>104.31015499194942</v>
      </c>
      <c r="Z85" s="103">
        <f>SUM(Z83:Z84)</f>
        <v>129.86721657475826</v>
      </c>
      <c r="AA85" s="103">
        <f>SUM(AA83:AA84)</f>
        <v>120.0011384241917</v>
      </c>
      <c r="AB85" s="136">
        <f>SUM(AB83:AB84)</f>
        <v>111.09187006213047</v>
      </c>
    </row>
    <row r="86" ht="14.25" customHeight="1" spans="1:28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s="134" t="s">
        <v>121</v>
      </c>
      <c r="S86" s="133" t="s">
        <v>0</v>
      </c>
      <c r="T86" s="137">
        <v>25</v>
      </c>
      <c r="U86" s="138">
        <f>+T86</f>
        <v>25</v>
      </c>
      <c r="V86" s="139">
        <f>+U86</f>
        <v>25</v>
      </c>
      <c r="W86" s="138">
        <f>+V86</f>
        <v>25</v>
      </c>
      <c r="X86" s="138">
        <f>+W86</f>
        <v>25</v>
      </c>
      <c r="Y86" s="139">
        <f>+X86</f>
        <v>25</v>
      </c>
      <c r="Z86" s="138">
        <f>+Y86</f>
        <v>25</v>
      </c>
      <c r="AA86" s="138">
        <f>+Z86</f>
        <v>25</v>
      </c>
      <c r="AB86" s="139">
        <f>+AA86</f>
        <v>25</v>
      </c>
    </row>
    <row r="87" ht="14.25" customHeight="1" spans="1:28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s="74" t="s">
        <v>122</v>
      </c>
      <c r="S87" s="135" t="s">
        <v>0</v>
      </c>
      <c r="T87" s="103">
        <f>+T85-T86</f>
        <v>88.7024526045713</v>
      </c>
      <c r="U87" s="103">
        <f>+U85-U86</f>
        <v>80.2054483924686</v>
      </c>
      <c r="V87" s="136">
        <f>+V85-V86</f>
        <v>72.52843992176834</v>
      </c>
      <c r="W87" s="103">
        <f>+W85-W86</f>
        <v>96.7848345896648</v>
      </c>
      <c r="X87" s="103">
        <f>+X85-X86</f>
        <v>87.60329340833016</v>
      </c>
      <c r="Y87" s="136">
        <f>+Y85-Y86</f>
        <v>79.31015499194942</v>
      </c>
      <c r="Z87" s="103">
        <f>+Z85-Z86</f>
        <v>104.86721657475826</v>
      </c>
      <c r="AA87" s="103">
        <f>+AA85-AA86</f>
        <v>95.0011384241917</v>
      </c>
      <c r="AB87" s="136">
        <f>+AB85-AB86</f>
        <v>86.09187006213047</v>
      </c>
    </row>
    <row r="88" ht="14.25" customHeight="1" spans="1:28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s="133" t="s">
        <v>0</v>
      </c>
      <c r="T88" t="s">
        <v>0</v>
      </c>
      <c r="U88" t="s">
        <v>0</v>
      </c>
      <c r="V88" s="133" t="s">
        <v>0</v>
      </c>
      <c r="W88" t="s">
        <v>0</v>
      </c>
      <c r="X88" t="s">
        <v>0</v>
      </c>
      <c r="Y88" s="133" t="s">
        <v>0</v>
      </c>
      <c r="Z88" t="s">
        <v>0</v>
      </c>
      <c r="AA88" t="s">
        <v>0</v>
      </c>
      <c r="AB88" s="133" t="s">
        <v>0</v>
      </c>
    </row>
    <row r="89" ht="14.25" customHeight="1" spans="1:28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s="140" t="str">
        <f>+"AV / "&amp;H6&amp;"E Revenue"</f>
        <v>AV / 2021E Revenue</v>
      </c>
      <c r="S89" s="141" t="s">
        <v>0</v>
      </c>
      <c r="T89" s="142">
        <f>+T$85/$H$10</f>
        <v>2.88219144751765</v>
      </c>
      <c r="U89" s="142">
        <f>+U$85/$H$10</f>
        <v>2.666804775474489</v>
      </c>
      <c r="V89" s="143">
        <f>+V$85/$H$10</f>
        <v>2.47220380029831</v>
      </c>
      <c r="W89" s="142">
        <f>+W$85/$H$10</f>
        <v>3.0870680504351022</v>
      </c>
      <c r="X89" s="142">
        <f>+X$85/$H$10</f>
        <v>2.8543293639627416</v>
      </c>
      <c r="Y89" s="143">
        <f>+Y$85/$H$10</f>
        <v>2.6441103926983374</v>
      </c>
      <c r="Z89" s="142">
        <f>+Z$85/$H$10</f>
        <v>3.291944653352554</v>
      </c>
      <c r="AA89" s="142">
        <f>+AA$85/$H$10</f>
        <v>3.0418539524509933</v>
      </c>
      <c r="AB89" s="143">
        <f>+AB$85/$H$10</f>
        <v>2.816016985098364</v>
      </c>
    </row>
    <row r="90" ht="14.25" customHeight="1" spans="1:28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s="140" t="str">
        <f>+"AV / "&amp;I6&amp;"E Revenue"</f>
        <v>AV / 2022E Revenue</v>
      </c>
      <c r="S90" s="141" t="s">
        <v>0</v>
      </c>
      <c r="T90" s="142">
        <f>+T$85/$I$10</f>
        <v>2.6297184759658006</v>
      </c>
      <c r="U90" s="142">
        <f>+U$85/$I$10</f>
        <v>2.4331991533383888</v>
      </c>
      <c r="V90" s="143">
        <f>+V$85/$I$10</f>
        <v>2.255644751009386</v>
      </c>
      <c r="W90" s="142">
        <f>+W$85/$I$10</f>
        <v>2.8166483859997635</v>
      </c>
      <c r="X90" s="142">
        <f>+X$85/$I$10</f>
        <v>2.604297043268694</v>
      </c>
      <c r="Y90" s="143">
        <f>+Y$85/$I$10</f>
        <v>2.4124927433813106</v>
      </c>
      <c r="Z90" s="142">
        <f>+Z$85/$I$10</f>
        <v>3.0035782960337265</v>
      </c>
      <c r="AA90" s="142">
        <f>+AA$85/$I$10</f>
        <v>2.775394933198998</v>
      </c>
      <c r="AB90" s="143">
        <f>+AB$85/$I$10</f>
        <v>2.569340735753234</v>
      </c>
    </row>
    <row r="91" ht="14.25" customHeight="1" spans="1:28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s="133" t="s">
        <v>0</v>
      </c>
      <c r="T91" t="s">
        <v>0</v>
      </c>
      <c r="U91" t="s">
        <v>0</v>
      </c>
      <c r="V91" s="133" t="s">
        <v>0</v>
      </c>
      <c r="W91" t="s">
        <v>0</v>
      </c>
      <c r="X91" t="s">
        <v>0</v>
      </c>
      <c r="Y91" s="133" t="s">
        <v>0</v>
      </c>
      <c r="Z91" t="s">
        <v>0</v>
      </c>
      <c r="AA91" t="s">
        <v>0</v>
      </c>
      <c r="AB91" s="133" t="s">
        <v>0</v>
      </c>
    </row>
    <row r="92" ht="14.25" customHeight="1" spans="1:28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s="140" t="str">
        <f>+"AV / "&amp;H6&amp;"E EBITDA"</f>
        <v>AV / 2021E EBITDA</v>
      </c>
      <c r="S92" s="133" t="s">
        <v>0</v>
      </c>
      <c r="T92" s="142">
        <f>+T$85/$H$13</f>
        <v>11.5287657900706</v>
      </c>
      <c r="U92" s="142">
        <f>+U$85/$H$13</f>
        <v>10.667219101897956</v>
      </c>
      <c r="V92" s="143">
        <f>+V$85/$H$13</f>
        <v>9.88881520119324</v>
      </c>
      <c r="W92" s="142">
        <f>+W$85/$H$13</f>
        <v>12.348272201740409</v>
      </c>
      <c r="X92" s="142">
        <f>+X$85/$H$13</f>
        <v>11.417317455850966</v>
      </c>
      <c r="Y92" s="143">
        <f>+Y$85/$H$13</f>
        <v>10.57644157079335</v>
      </c>
      <c r="Z92" s="142">
        <f>+Z$85/$H$13</f>
        <v>13.167778613410215</v>
      </c>
      <c r="AA92" s="142">
        <f>+AA$85/$H$13</f>
        <v>12.167415809803973</v>
      </c>
      <c r="AB92" s="143">
        <f>+AB$85/$H$13</f>
        <v>11.264067940393456</v>
      </c>
    </row>
    <row r="93" ht="14.25" customHeight="1" spans="1:28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s="140" t="str">
        <f>+"AV / "&amp;I6&amp;"E EBITDA"</f>
        <v>AV / 2022E EBITDA</v>
      </c>
      <c r="S93" s="133" t="s">
        <v>0</v>
      </c>
      <c r="T93" s="142">
        <f>+T$85/$I$13</f>
        <v>10.518873903863202</v>
      </c>
      <c r="U93" s="142">
        <f>+U$85/$I$13</f>
        <v>9.732796613353555</v>
      </c>
      <c r="V93" s="143">
        <f>+V$85/$I$13</f>
        <v>9.022579004037544</v>
      </c>
      <c r="W93" s="142">
        <f>+W$85/$I$13</f>
        <v>11.266593543999054</v>
      </c>
      <c r="X93" s="142">
        <f>+X$85/$I$13</f>
        <v>10.417188173074775</v>
      </c>
      <c r="Y93" s="143">
        <f>+Y$85/$I$13</f>
        <v>9.649970973525242</v>
      </c>
      <c r="Z93" s="142">
        <f>+Z$85/$I$13</f>
        <v>12.014313184134906</v>
      </c>
      <c r="AA93" s="142">
        <f>+AA$85/$I$13</f>
        <v>11.101579732795992</v>
      </c>
      <c r="AB93" s="143">
        <f>+AB$85/$I$13</f>
        <v>10.277362943012935</v>
      </c>
    </row>
    <row r="94" ht="14.25" customHeight="1" spans="1:28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s="133" t="s">
        <v>0</v>
      </c>
      <c r="T94" t="s">
        <v>0</v>
      </c>
      <c r="U94" t="s">
        <v>0</v>
      </c>
      <c r="V94" s="133" t="s">
        <v>0</v>
      </c>
      <c r="W94" t="s">
        <v>0</v>
      </c>
      <c r="X94" t="s">
        <v>0</v>
      </c>
      <c r="Y94" s="133" t="s">
        <v>0</v>
      </c>
      <c r="Z94" t="s">
        <v>0</v>
      </c>
      <c r="AA94" t="s">
        <v>0</v>
      </c>
      <c r="AB94" s="133" t="s">
        <v>0</v>
      </c>
    </row>
    <row r="95" ht="14.25" customHeight="1" spans="1:28" x14ac:dyDescent="0.25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s="6" t="s">
        <v>123</v>
      </c>
      <c r="S95" s="133" t="s">
        <v>0</v>
      </c>
      <c r="T95" t="s">
        <v>0</v>
      </c>
      <c r="U95" t="s">
        <v>0</v>
      </c>
      <c r="V95" s="133" t="s">
        <v>0</v>
      </c>
      <c r="W95" t="s">
        <v>0</v>
      </c>
      <c r="X95" t="s">
        <v>0</v>
      </c>
      <c r="Y95" s="133" t="s">
        <v>0</v>
      </c>
      <c r="Z95" t="s">
        <v>0</v>
      </c>
      <c r="AA95" t="s">
        <v>0</v>
      </c>
      <c r="AB95" s="133" t="s">
        <v>0</v>
      </c>
    </row>
    <row r="96" ht="14.25" customHeight="1" spans="1:28" x14ac:dyDescent="0.25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s="70" t="s">
        <v>124</v>
      </c>
      <c r="S96" s="141" t="s">
        <v>0</v>
      </c>
      <c r="T96" s="144">
        <f>+T83/T$85</f>
        <v>0.28916379550738597</v>
      </c>
      <c r="U96" s="144">
        <f>+U83/U$85</f>
        <v>0.2968192114666986</v>
      </c>
      <c r="V96" s="145">
        <f>+V83/V$85</f>
        <v>0.3046423099127837</v>
      </c>
      <c r="W96" s="144">
        <f>+W83/W$85</f>
        <v>0.2699731281355021</v>
      </c>
      <c r="X96" s="144">
        <f>+X83/X$85</f>
        <v>0.2773186936958886</v>
      </c>
      <c r="Y96" s="145">
        <f>+Y83/Y$85</f>
        <v>0.28483601833638106</v>
      </c>
      <c r="Z96" s="144">
        <f>+Z83/Z$85</f>
        <v>0.2531711514330475</v>
      </c>
      <c r="AA96" s="144">
        <f>+AA83/AA$85</f>
        <v>0.260222516585374</v>
      </c>
      <c r="AB96" s="145">
        <f>+AB83/AB$85</f>
        <v>0.2674479167858187</v>
      </c>
    </row>
    <row r="97" ht="14.25" customHeight="1" spans="1:28" x14ac:dyDescent="0.25">
      <c r="A97" t="s">
        <v>0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s="70" t="s">
        <v>125</v>
      </c>
      <c r="S97" s="141" t="s">
        <v>0</v>
      </c>
      <c r="T97" s="144">
        <f>+T84/T$85</f>
        <v>0.710836204492614</v>
      </c>
      <c r="U97" s="144">
        <f>+U84/U$85</f>
        <v>0.7031807885333015</v>
      </c>
      <c r="V97" s="145">
        <f>+V84/V$85</f>
        <v>0.6953576900872164</v>
      </c>
      <c r="W97" s="144">
        <f>+W84/W$85</f>
        <v>0.7300268718644979</v>
      </c>
      <c r="X97" s="144">
        <f>+X84/X$85</f>
        <v>0.7226813063041114</v>
      </c>
      <c r="Y97" s="145">
        <f>+Y84/Y$85</f>
        <v>0.7151639816636189</v>
      </c>
      <c r="Z97" s="144">
        <f>+Z84/Z$85</f>
        <v>0.7468288485669524</v>
      </c>
      <c r="AA97" s="144">
        <f>+AA84/AA$85</f>
        <v>0.739777483414626</v>
      </c>
      <c r="AB97" s="145">
        <f>+AB84/AB$85</f>
        <v>0.7325520832141813</v>
      </c>
    </row>
    <row r="98" ht="14.25" customHeight="1" spans="1:28" x14ac:dyDescent="0.25">
      <c r="A98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s="133" t="s">
        <v>0</v>
      </c>
      <c r="T98" t="s">
        <v>0</v>
      </c>
      <c r="U98" t="s">
        <v>0</v>
      </c>
      <c r="V98" s="133" t="s">
        <v>0</v>
      </c>
      <c r="W98" t="s">
        <v>0</v>
      </c>
      <c r="X98" t="s">
        <v>0</v>
      </c>
      <c r="Y98" s="133" t="s">
        <v>0</v>
      </c>
      <c r="Z98" t="s">
        <v>0</v>
      </c>
      <c r="AA98" t="s">
        <v>0</v>
      </c>
      <c r="AB98" s="133" t="s">
        <v>0</v>
      </c>
    </row>
    <row r="99" ht="14.25" customHeight="1" spans="1:28" x14ac:dyDescent="0.2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s="6" t="s">
        <v>126</v>
      </c>
      <c r="S99" s="133" t="s">
        <v>0</v>
      </c>
      <c r="T99" t="s">
        <v>0</v>
      </c>
      <c r="U99" t="s">
        <v>0</v>
      </c>
      <c r="V99" s="133" t="s">
        <v>0</v>
      </c>
      <c r="W99" t="s">
        <v>0</v>
      </c>
      <c r="X99" t="s">
        <v>0</v>
      </c>
      <c r="Y99" s="133" t="s">
        <v>0</v>
      </c>
      <c r="Z99" t="s">
        <v>0</v>
      </c>
      <c r="AA99" t="s">
        <v>0</v>
      </c>
      <c r="AB99" s="133" t="s">
        <v>0</v>
      </c>
    </row>
    <row r="100" ht="14.25" customHeight="1" spans="1:28" x14ac:dyDescent="0.25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s="146" t="s">
        <v>127</v>
      </c>
      <c r="S100" s="147" t="s">
        <v>0</v>
      </c>
      <c r="T100" s="148">
        <f t="shared" ref="T100:V100" si="4">+TRANSPOSE(L50:L52)</f>
      </c>
      <c r="U100">
        <f t="shared" si="4"/>
      </c>
      <c r="V100">
        <f t="shared" si="4"/>
      </c>
      <c r="W100" s="148">
        <f t="shared" ref="W100:Y100" si="5">+TRANSPOSE(L53:L55)</f>
      </c>
      <c r="X100">
        <f t="shared" si="5"/>
      </c>
      <c r="Y100">
        <f t="shared" si="5"/>
      </c>
      <c r="Z100" s="148">
        <f t="shared" ref="Z100:AB100" si="6">+TRANSPOSE(L56:L58)</f>
      </c>
      <c r="AA100">
        <f t="shared" si="6"/>
      </c>
      <c r="AB100">
        <f t="shared" si="6"/>
      </c>
    </row>
    <row r="101" ht="14.25" customHeight="1" x14ac:dyDescent="0.25"/>
    <row r="102" ht="14.25" customHeight="1" spans="1:28" x14ac:dyDescent="0.25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s="44" t="s">
        <v>128</v>
      </c>
      <c r="S102" s="120" t="s">
        <v>0</v>
      </c>
      <c r="T102" s="120" t="s">
        <v>0</v>
      </c>
      <c r="U102" s="120" t="s">
        <v>0</v>
      </c>
      <c r="V102" s="120" t="s">
        <v>0</v>
      </c>
      <c r="W102" s="120" t="s">
        <v>0</v>
      </c>
      <c r="X102" s="120" t="s">
        <v>0</v>
      </c>
      <c r="Y102" s="120" t="s">
        <v>0</v>
      </c>
      <c r="Z102" s="120" t="s">
        <v>0</v>
      </c>
      <c r="AA102" s="120" t="s">
        <v>0</v>
      </c>
      <c r="AB102" s="120" t="s">
        <v>0</v>
      </c>
    </row>
    <row r="103" ht="14.25" customHeight="1" x14ac:dyDescent="0.25"/>
    <row r="104" ht="14.25" customHeight="1" spans="1:28" x14ac:dyDescent="0.25">
      <c r="A104" t="s">
        <v>0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s="149" t="s">
        <v>129</v>
      </c>
      <c r="S104" s="150" t="s">
        <v>0</v>
      </c>
      <c r="T104" s="151">
        <f>+I63</f>
        <v>0.02</v>
      </c>
      <c r="U104" s="152" t="s">
        <v>0</v>
      </c>
      <c r="V104" s="153" t="s">
        <v>0</v>
      </c>
      <c r="W104" s="151">
        <f>+I66</f>
        <v>0.025</v>
      </c>
      <c r="X104" s="152" t="s">
        <v>0</v>
      </c>
      <c r="Y104" s="153" t="s">
        <v>0</v>
      </c>
      <c r="Z104" s="151">
        <f>+I69</f>
        <v>0.030000000000000002</v>
      </c>
      <c r="AA104" s="152" t="s">
        <v>0</v>
      </c>
      <c r="AB104" s="153" t="s">
        <v>0</v>
      </c>
    </row>
    <row r="105" ht="14.25" customHeight="1" spans="1:28" x14ac:dyDescent="0.25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s="126" t="s">
        <v>116</v>
      </c>
      <c r="S105" s="127" t="s">
        <v>0</v>
      </c>
      <c r="T105" s="128">
        <f>+T81</f>
        <v>0.12</v>
      </c>
      <c r="U105" s="128">
        <f>'+T105+Control'!E16</f>
        <v>0.13999999999999999</v>
      </c>
      <c r="V105" s="129">
        <f>'+U105+Control'!E16</f>
        <v>0.15999999999999998</v>
      </c>
      <c r="W105" s="130">
        <f>+T105</f>
        <v>0.12</v>
      </c>
      <c r="X105" s="130">
        <f>+U105</f>
        <v>0.13999999999999999</v>
      </c>
      <c r="Y105" s="131">
        <f>+V105</f>
        <v>0.15999999999999998</v>
      </c>
      <c r="Z105" s="130">
        <f>+W105</f>
        <v>0.12</v>
      </c>
      <c r="AA105" s="130">
        <f>+X105</f>
        <v>0.13999999999999999</v>
      </c>
      <c r="AB105" s="131">
        <f>+Y105</f>
        <v>0.15999999999999998</v>
      </c>
    </row>
    <row r="106" ht="14.25" customHeight="1" spans="1:28" x14ac:dyDescent="0.25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s="132" t="s">
        <v>117</v>
      </c>
      <c r="S106" s="133" t="s">
        <v>0</v>
      </c>
      <c r="T106" t="s">
        <v>0</v>
      </c>
      <c r="U106" t="s">
        <v>0</v>
      </c>
      <c r="V106" s="133" t="s">
        <v>0</v>
      </c>
      <c r="W106" t="s">
        <v>0</v>
      </c>
      <c r="X106" t="s">
        <v>0</v>
      </c>
      <c r="Y106" s="133" t="s">
        <v>0</v>
      </c>
      <c r="Z106" t="s">
        <v>0</v>
      </c>
      <c r="AA106" t="s">
        <v>0</v>
      </c>
      <c r="AB106" s="133" t="s">
        <v>0</v>
      </c>
    </row>
    <row r="107" ht="14.25" customHeight="1" spans="1:28" x14ac:dyDescent="0.25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s="134" t="s">
        <v>118</v>
      </c>
      <c r="S107" s="133" t="s">
        <v>0</v>
      </c>
      <c r="T107" s="107">
        <f t="shared" ref="T107:V107" si="7">+TRANSPOSE(N43:N45)</f>
      </c>
      <c r="U107">
        <f t="shared" si="7"/>
      </c>
      <c r="V107">
        <f t="shared" si="7"/>
      </c>
      <c r="W107" s="107">
        <f t="shared" ref="W107:Y107" si="8">+TRANSPOSE($N$43:$N$45)</f>
      </c>
      <c r="X107">
        <f t="shared" si="8"/>
      </c>
      <c r="Y107">
        <f t="shared" si="8"/>
      </c>
      <c r="Z107" s="107">
        <f t="shared" ref="Z107:AB107" si="9">+TRANSPOSE($N$43:$N$45)</f>
      </c>
      <c r="AA107">
        <f t="shared" si="9"/>
      </c>
      <c r="AB107">
        <f t="shared" si="9"/>
      </c>
    </row>
    <row r="108" ht="14.25" customHeight="1" spans="1:28" x14ac:dyDescent="0.25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s="134" t="s">
        <v>119</v>
      </c>
      <c r="S108" s="133" t="s">
        <v>0</v>
      </c>
      <c r="T108" s="107">
        <f t="shared" ref="T108:V108" si="10">+TRANSPOSE(K63:K65)</f>
      </c>
      <c r="U108">
        <f t="shared" si="10"/>
      </c>
      <c r="V108">
        <f t="shared" si="10"/>
      </c>
      <c r="W108" s="107">
        <f t="shared" ref="W108:Y108" si="11">+TRANSPOSE(K66:K68)</f>
      </c>
      <c r="X108">
        <f t="shared" si="11"/>
      </c>
      <c r="Y108">
        <f t="shared" si="11"/>
      </c>
      <c r="Z108" s="107">
        <f t="shared" ref="Z108:AB108" si="12">+TRANSPOSE(K69:K71)</f>
      </c>
      <c r="AA108">
        <f t="shared" si="12"/>
      </c>
      <c r="AB108">
        <f t="shared" si="12"/>
      </c>
    </row>
    <row r="109" ht="14.25" customHeight="1" spans="1:28" x14ac:dyDescent="0.25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s="74" t="s">
        <v>120</v>
      </c>
      <c r="S109" s="135" t="s">
        <v>0</v>
      </c>
      <c r="T109" s="103">
        <f>SUM(T107:T108)</f>
        <v>95.69619105581845</v>
      </c>
      <c r="U109" s="103">
        <f>SUM(U107:U108)</f>
        <v>79.56726875387426</v>
      </c>
      <c r="V109" s="136">
        <f>SUM(V107:V108)</f>
        <v>68.02667179716987</v>
      </c>
      <c r="W109" s="103">
        <f>SUM(W107:W108)</f>
        <v>99.32651434263184</v>
      </c>
      <c r="X109" s="103">
        <f>SUM(X107:X108)</f>
        <v>81.91628445689318</v>
      </c>
      <c r="Y109" s="136">
        <f>SUM(Y107:Y108)</f>
        <v>69.64053685851938</v>
      </c>
      <c r="Z109" s="103">
        <f>SUM(Z107:Z108)</f>
        <v>103.36020688353562</v>
      </c>
      <c r="AA109" s="103">
        <f>SUM(AA107:AA108)</f>
        <v>84.47884704200476</v>
      </c>
      <c r="AB109" s="136">
        <f>SUM(AB107:AB108)</f>
        <v>71.37854538612658</v>
      </c>
    </row>
    <row r="110" ht="14.25" customHeight="1" spans="1:28" x14ac:dyDescent="0.25">
      <c r="A110" t="s">
        <v>0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s="134" t="s">
        <v>121</v>
      </c>
      <c r="S110" s="133" t="s">
        <v>0</v>
      </c>
      <c r="T110" s="137">
        <f>+T86</f>
        <v>25</v>
      </c>
      <c r="U110" s="138">
        <f>+T110</f>
        <v>25</v>
      </c>
      <c r="V110" s="139">
        <f>+U110</f>
        <v>25</v>
      </c>
      <c r="W110" s="138">
        <f>+V110</f>
        <v>25</v>
      </c>
      <c r="X110" s="138">
        <f>+W110</f>
        <v>25</v>
      </c>
      <c r="Y110" s="139">
        <f>+X110</f>
        <v>25</v>
      </c>
      <c r="Z110" s="138">
        <f>+Y110</f>
        <v>25</v>
      </c>
      <c r="AA110" s="138">
        <f>+Z110</f>
        <v>25</v>
      </c>
      <c r="AB110" s="139">
        <f>+AA110</f>
        <v>25</v>
      </c>
    </row>
    <row r="111" ht="14.25" customHeight="1" spans="1:28" x14ac:dyDescent="0.25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s="74" t="s">
        <v>122</v>
      </c>
      <c r="S111" s="135" t="s">
        <v>0</v>
      </c>
      <c r="T111" s="103">
        <f>+T109-T110</f>
        <v>70.69619105581845</v>
      </c>
      <c r="U111" s="103">
        <f>+U109-U110</f>
        <v>54.56726875387426</v>
      </c>
      <c r="V111" s="136">
        <f>+V109-V110</f>
        <v>43.02667179716987</v>
      </c>
      <c r="W111" s="103">
        <f>+W109-W110</f>
        <v>74.32651434263184</v>
      </c>
      <c r="X111" s="103">
        <f>+X109-X110</f>
        <v>56.91628445689318</v>
      </c>
      <c r="Y111" s="136">
        <f>+Y109-Y110</f>
        <v>44.64053685851938</v>
      </c>
      <c r="Z111" s="103">
        <f>+Z109-Z110</f>
        <v>78.36020688353562</v>
      </c>
      <c r="AA111" s="103">
        <f>+AA109-AA110</f>
        <v>59.47884704200476</v>
      </c>
      <c r="AB111" s="136">
        <f>+AB109-AB110</f>
        <v>46.378545386126575</v>
      </c>
    </row>
    <row r="112" ht="14.25" customHeight="1" spans="1:28" x14ac:dyDescent="0.25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s="133" t="s">
        <v>0</v>
      </c>
      <c r="T112" t="s">
        <v>0</v>
      </c>
      <c r="U112" t="s">
        <v>0</v>
      </c>
      <c r="V112" s="133" t="s">
        <v>0</v>
      </c>
      <c r="W112" t="s">
        <v>0</v>
      </c>
      <c r="X112" t="s">
        <v>0</v>
      </c>
      <c r="Y112" s="133" t="s">
        <v>0</v>
      </c>
      <c r="Z112" t="s">
        <v>0</v>
      </c>
      <c r="AA112" t="s">
        <v>0</v>
      </c>
      <c r="AB112" s="133" t="s">
        <v>0</v>
      </c>
    </row>
    <row r="113" ht="14.25" customHeight="1" spans="1:28" x14ac:dyDescent="0.25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s="140" t="str">
        <f>+"AV / "&amp;H6&amp;"E Revenue"</f>
        <v>AV / 2021E Revenue</v>
      </c>
      <c r="S113" s="141" t="s">
        <v>0</v>
      </c>
      <c r="T113" s="142">
        <f>+T$109/$H$10</f>
        <v>2.425758962124675</v>
      </c>
      <c r="U113" s="142">
        <f>+U$109/$H$10</f>
        <v>2.016914290339018</v>
      </c>
      <c r="V113" s="143">
        <f>+V$109/$H$10</f>
        <v>1.724376978381999</v>
      </c>
      <c r="W113" s="142">
        <f>+W$109/$H$10</f>
        <v>2.517782366099666</v>
      </c>
      <c r="X113" s="142">
        <f>+X$109/$H$10</f>
        <v>2.076458414623401</v>
      </c>
      <c r="Y113" s="143">
        <f>+Y$109/$H$10</f>
        <v>1.765286105412405</v>
      </c>
      <c r="Z113" s="142">
        <f>+Z$109/$H$10</f>
        <v>2.620030592738545</v>
      </c>
      <c r="AA113" s="142">
        <f>+AA$109/$H$10</f>
        <v>2.141415641115456</v>
      </c>
      <c r="AB113" s="143">
        <f>+AB$109/$H$10</f>
        <v>1.8093420883682274</v>
      </c>
    </row>
    <row r="114" ht="14.25" customHeight="1" spans="1:28" x14ac:dyDescent="0.25">
      <c r="A114" t="s">
        <v>0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s="140" t="str">
        <f>+"AV / "&amp;I6&amp;"E Revenue"</f>
        <v>AV / 2022E Revenue</v>
      </c>
      <c r="S114" s="141" t="s">
        <v>0</v>
      </c>
      <c r="T114" s="142">
        <f>+T$109/$I$10</f>
        <v>2.213268367870909</v>
      </c>
      <c r="U114" s="142">
        <f>+U$109/$I$10</f>
        <v>1.8402374964758428</v>
      </c>
      <c r="V114" s="143">
        <f>+V$109/$I$10</f>
        <v>1.5733257426347467</v>
      </c>
      <c r="W114" s="142">
        <f>+W$109/$I$10</f>
        <v>2.297230745131699</v>
      </c>
      <c r="X114" s="142">
        <f>+X$109/$I$10</f>
        <v>1.8945657000726954</v>
      </c>
      <c r="Y114" s="143">
        <f>+Y$109/$I$10</f>
        <v>1.6106513294829574</v>
      </c>
      <c r="Z114" s="142">
        <f>+Z$109/$I$10</f>
        <v>2.3905222754214654</v>
      </c>
      <c r="AA114" s="142">
        <f>+AA$109/$I$10</f>
        <v>1.9538328312692628</v>
      </c>
      <c r="AB114" s="143">
        <f>+AB$109/$I$10</f>
        <v>1.6508481153194927</v>
      </c>
    </row>
    <row r="115" ht="14.25" customHeight="1" spans="1:28" x14ac:dyDescent="0.25">
      <c r="A115" t="s">
        <v>0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s="133" t="s">
        <v>0</v>
      </c>
      <c r="T115" t="s">
        <v>0</v>
      </c>
      <c r="U115" t="s">
        <v>0</v>
      </c>
      <c r="V115" s="133" t="s">
        <v>0</v>
      </c>
      <c r="W115" t="s">
        <v>0</v>
      </c>
      <c r="X115" t="s">
        <v>0</v>
      </c>
      <c r="Y115" s="133" t="s">
        <v>0</v>
      </c>
      <c r="Z115" t="s">
        <v>0</v>
      </c>
      <c r="AA115" t="s">
        <v>0</v>
      </c>
      <c r="AB115" s="133" t="s">
        <v>0</v>
      </c>
    </row>
    <row r="116" ht="14.25" customHeight="1" spans="1:28" x14ac:dyDescent="0.25">
      <c r="A116" t="s">
        <v>0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s="140" t="str">
        <f>+"AV / "&amp;H6&amp;"E EBITDA"</f>
        <v>AV / 2021E EBITDA</v>
      </c>
      <c r="S116" s="133" t="s">
        <v>0</v>
      </c>
      <c r="T116" s="142">
        <f>+T$109/$H$13</f>
        <v>9.7030358484987</v>
      </c>
      <c r="U116" s="142">
        <f>+U$109/$H$13</f>
        <v>8.067657161356072</v>
      </c>
      <c r="V116" s="143">
        <f>+V$109/$H$13</f>
        <v>6.897507913527996</v>
      </c>
      <c r="W116" s="142">
        <f>+W$109/$H$13</f>
        <v>10.071129464398664</v>
      </c>
      <c r="X116" s="142">
        <f>+X$109/$H$13</f>
        <v>8.305833658493604</v>
      </c>
      <c r="Y116" s="143">
        <f>+Y$109/$H$13</f>
        <v>7.06114442164962</v>
      </c>
      <c r="Z116" s="142">
        <f>+Z$109/$H$13</f>
        <v>10.48012237095418</v>
      </c>
      <c r="AA116" s="142">
        <f>+AA$109/$H$13</f>
        <v>8.565662564461825</v>
      </c>
      <c r="AB116" s="143">
        <f>+AB$109/$H$13</f>
        <v>7.23736835347291</v>
      </c>
    </row>
    <row r="117" ht="14.25" customHeight="1" spans="1:28" x14ac:dyDescent="0.25">
      <c r="A117" t="s">
        <v>0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s="140" t="str">
        <f>+"AV / "&amp;I6&amp;"E EBITDA"</f>
        <v>AV / 2022E EBITDA</v>
      </c>
      <c r="S117" s="133" t="s">
        <v>0</v>
      </c>
      <c r="T117" s="142">
        <f>+T$109/$I$13</f>
        <v>8.853073471483636</v>
      </c>
      <c r="U117" s="142">
        <f>+U$109/$I$13</f>
        <v>7.360949985903371</v>
      </c>
      <c r="V117" s="143">
        <f>+V$109/$I$13</f>
        <v>6.293302970538987</v>
      </c>
      <c r="W117" s="142">
        <f>+W$109/$I$13</f>
        <v>9.188922980526796</v>
      </c>
      <c r="X117" s="142">
        <f>+X$109/$I$13</f>
        <v>7.578262800290782</v>
      </c>
      <c r="Y117" s="143">
        <f>+Y$109/$I$13</f>
        <v>6.44260531793183</v>
      </c>
      <c r="Z117" s="142">
        <f>+Z$109/$I$13</f>
        <v>9.562089101685862</v>
      </c>
      <c r="AA117" s="142">
        <f>+AA$109/$I$13</f>
        <v>7.815331325077051</v>
      </c>
      <c r="AB117" s="143">
        <f>+AB$109/$I$13</f>
        <v>6.603392461277971</v>
      </c>
    </row>
    <row r="118" ht="14.25" customHeight="1" spans="1:28" x14ac:dyDescent="0.25">
      <c r="A118" t="s">
        <v>0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s="133" t="s">
        <v>0</v>
      </c>
      <c r="T118" t="s">
        <v>0</v>
      </c>
      <c r="U118" t="s">
        <v>0</v>
      </c>
      <c r="V118" s="133" t="s">
        <v>0</v>
      </c>
      <c r="W118" t="s">
        <v>0</v>
      </c>
      <c r="X118" t="s">
        <v>0</v>
      </c>
      <c r="Y118" s="133" t="s">
        <v>0</v>
      </c>
      <c r="Z118" t="s">
        <v>0</v>
      </c>
      <c r="AA118" t="s">
        <v>0</v>
      </c>
      <c r="AB118" s="133" t="s">
        <v>0</v>
      </c>
    </row>
    <row r="119" ht="14.25" customHeight="1" spans="1:28" x14ac:dyDescent="0.25">
      <c r="A119" t="s">
        <v>0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s="6" t="s">
        <v>123</v>
      </c>
      <c r="S119" s="133" t="s">
        <v>0</v>
      </c>
      <c r="T119" t="s">
        <v>0</v>
      </c>
      <c r="U119" t="s">
        <v>0</v>
      </c>
      <c r="V119" s="133" t="s">
        <v>0</v>
      </c>
      <c r="W119" t="s">
        <v>0</v>
      </c>
      <c r="X119" t="s">
        <v>0</v>
      </c>
      <c r="Y119" s="133" t="s">
        <v>0</v>
      </c>
      <c r="Z119" t="s">
        <v>0</v>
      </c>
      <c r="AA119" t="s">
        <v>0</v>
      </c>
      <c r="AB119" s="133" t="s">
        <v>0</v>
      </c>
    </row>
    <row r="120" ht="14.25" customHeight="1" spans="1:28" x14ac:dyDescent="0.25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s="70" t="s">
        <v>124</v>
      </c>
      <c r="S120" s="141" t="s">
        <v>0</v>
      </c>
      <c r="T120" s="144">
        <f>+T107/T$109</f>
        <v>0.3435730554255685</v>
      </c>
      <c r="U120" s="144">
        <f>+U107/U$109</f>
        <v>0.3924603511331723</v>
      </c>
      <c r="V120" s="145">
        <f>+V107/V$109</f>
        <v>0.43675941266898405</v>
      </c>
      <c r="W120" s="144">
        <f>+W107/W$109</f>
        <v>0.3310156706015072</v>
      </c>
      <c r="X120" s="144">
        <f>+X107/X$109</f>
        <v>0.3812062331792596</v>
      </c>
      <c r="Y120" s="145">
        <f>+Y107/Y$109</f>
        <v>0.42663785433358503</v>
      </c>
      <c r="Z120" s="144">
        <f>+Z107/Z$109</f>
        <v>0.31809759040714325</v>
      </c>
      <c r="AA120" s="144">
        <f>+AA107/AA$109</f>
        <v>0.36964280796027227</v>
      </c>
      <c r="AB120" s="145">
        <f>+AB107/AB$109</f>
        <v>0.4162495755444809</v>
      </c>
    </row>
    <row r="121" ht="14.25" customHeight="1" spans="1:28" x14ac:dyDescent="0.25">
      <c r="A121" t="s">
        <v>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s="70" t="s">
        <v>125</v>
      </c>
      <c r="S121" s="141" t="s">
        <v>0</v>
      </c>
      <c r="T121" s="144">
        <f>+T108/T$109</f>
        <v>0.6564269445744316</v>
      </c>
      <c r="U121" s="144">
        <f>+U108/U$109</f>
        <v>0.6075396488668277</v>
      </c>
      <c r="V121" s="145">
        <f>+V108/V$109</f>
        <v>0.5632405873310159</v>
      </c>
      <c r="W121" s="144">
        <f>+W108/W$109</f>
        <v>0.6689843293984927</v>
      </c>
      <c r="X121" s="144">
        <f>+X108/X$109</f>
        <v>0.6187937668207405</v>
      </c>
      <c r="Y121" s="145">
        <f>+Y108/Y$109</f>
        <v>0.5733621456664149</v>
      </c>
      <c r="Z121" s="144">
        <f>+Z108/Z$109</f>
        <v>0.6819024095928569</v>
      </c>
      <c r="AA121" s="144">
        <f>+AA108/AA$109</f>
        <v>0.6303571920397277</v>
      </c>
      <c r="AB121" s="145">
        <f>+AB108/AB$109</f>
        <v>0.5837504244555192</v>
      </c>
    </row>
    <row r="122" ht="14.25" customHeight="1" spans="1:28" x14ac:dyDescent="0.25">
      <c r="A122" t="s">
        <v>0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s="133" t="s">
        <v>0</v>
      </c>
      <c r="T122" t="s">
        <v>0</v>
      </c>
      <c r="U122" t="s">
        <v>0</v>
      </c>
      <c r="V122" s="133" t="s">
        <v>0</v>
      </c>
      <c r="W122" t="s">
        <v>0</v>
      </c>
      <c r="X122" t="s">
        <v>0</v>
      </c>
      <c r="Y122" s="133" t="s">
        <v>0</v>
      </c>
      <c r="Z122" t="s">
        <v>0</v>
      </c>
      <c r="AA122" t="s">
        <v>0</v>
      </c>
      <c r="AB122" s="133" t="s">
        <v>0</v>
      </c>
    </row>
    <row r="123" ht="14.25" customHeight="1" spans="1:28" x14ac:dyDescent="0.25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s="6" t="s">
        <v>130</v>
      </c>
      <c r="S123" s="133" t="s">
        <v>0</v>
      </c>
      <c r="T123" t="s">
        <v>0</v>
      </c>
      <c r="U123" t="s">
        <v>0</v>
      </c>
      <c r="V123" s="133" t="s">
        <v>0</v>
      </c>
      <c r="W123" t="s">
        <v>0</v>
      </c>
      <c r="X123" t="s">
        <v>0</v>
      </c>
      <c r="Y123" s="133" t="s">
        <v>0</v>
      </c>
      <c r="Z123" t="s">
        <v>0</v>
      </c>
      <c r="AA123" t="s">
        <v>0</v>
      </c>
      <c r="AB123" s="133" t="s">
        <v>0</v>
      </c>
    </row>
    <row r="124" ht="14.25" customHeight="1" spans="1:28" x14ac:dyDescent="0.25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s="146" t="str">
        <f>+"Implied AV / "&amp;C47</f>
        <v>Implied AV / 2025E EBITDA</v>
      </c>
      <c r="S124" s="147" t="s">
        <v>0</v>
      </c>
      <c r="T124" s="154">
        <f t="shared" ref="T124:V124" si="13">+TRANSPOSE(L63:L65)</f>
      </c>
      <c r="U124">
        <f t="shared" si="13"/>
      </c>
      <c r="V124">
        <f t="shared" si="13"/>
      </c>
      <c r="W124" s="154">
        <f t="shared" ref="W124:Y124" si="14">+TRANSPOSE(L66:L68)</f>
      </c>
      <c r="X124">
        <f t="shared" si="14"/>
      </c>
      <c r="Y124">
        <f t="shared" si="14"/>
      </c>
      <c r="Z124" s="154">
        <f t="shared" ref="Z124:AB124" si="15">+TRANSPOSE(L69:L71)</f>
      </c>
      <c r="AA124">
        <f t="shared" si="15"/>
      </c>
      <c r="AB124">
        <f t="shared" si="15"/>
      </c>
    </row>
    <row r="125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 showGridLines="0"/>
  </sheetViews>
  <sheetFormatPr defaultRowHeight="14.25" outlineLevelRow="0" outlineLevelCol="0" x14ac:dyDescent="55" defaultColWidth="9.2" customHeight="1"/>
  <cols>
    <col min="1" max="2" width="1.6" customWidth="1"/>
    <col min="3" max="3" width="29.866666666666667" customWidth="1"/>
    <col min="4" max="9" width="9.2" customWidth="1"/>
    <col min="10" max="10" width="13.866666666666667" customWidth="1"/>
    <col min="11" max="11" width="1.6" customWidth="1"/>
    <col min="12" max="13" width="9.2" customWidth="1"/>
    <col min="14" max="14" width="25.333333333333332" customWidth="1"/>
    <col min="15" max="15" width="1.6" customWidth="1"/>
    <col min="16" max="18" width="9.2" customWidth="1"/>
    <col min="19" max="19" width="1.6" customWidth="1"/>
    <col min="20" max="22" width="9.2" customWidth="1"/>
    <col min="23" max="23" width="1.6" customWidth="1"/>
    <col min="24" max="26" width="9.2" customWidth="1"/>
  </cols>
  <sheetData>
    <row r="1" ht="14.25" customHeight="1" x14ac:dyDescent="0.25"/>
    <row r="2" ht="14.25" customHeight="1" x14ac:dyDescent="0.25"/>
    <row r="3" ht="15" customHeight="1" spans="1:26" x14ac:dyDescent="0.25">
      <c r="A3" t="s">
        <v>0</v>
      </c>
      <c r="B3" t="s">
        <v>0</v>
      </c>
      <c r="C3" s="119" t="s">
        <v>131</v>
      </c>
      <c r="D3" s="119" t="s">
        <v>0</v>
      </c>
      <c r="E3" s="119" t="s">
        <v>0</v>
      </c>
      <c r="F3" s="119" t="s">
        <v>0</v>
      </c>
      <c r="G3" s="119" t="s">
        <v>0</v>
      </c>
      <c r="H3" s="119" t="s">
        <v>0</v>
      </c>
      <c r="I3" s="119" t="s">
        <v>0</v>
      </c>
      <c r="J3" s="119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</row>
    <row r="4" ht="14.25" customHeight="1" x14ac:dyDescent="0.25"/>
    <row r="5" ht="14.25" customHeight="1" spans="1:26" x14ac:dyDescent="0.25">
      <c r="A5" t="s">
        <v>0</v>
      </c>
      <c r="B5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155" t="s">
        <v>80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</row>
    <row r="6" ht="14.25" customHeight="1" spans="1:26" x14ac:dyDescent="0.25">
      <c r="A6" t="s">
        <v>0</v>
      </c>
      <c r="B6" t="s">
        <v>0</v>
      </c>
      <c r="C6" s="156" t="str">
        <f>'+DCF'!C5</f>
        <v>$ MM, unless otherwise stated</v>
      </c>
      <c r="D6" s="157">
        <f>'+DCF'!H6</f>
        <v>2021</v>
      </c>
      <c r="E6" s="157">
        <f>'+DCF'!I6</f>
        <v>2022</v>
      </c>
      <c r="F6" s="157">
        <f>'+DCF'!J6</f>
        <v>2023</v>
      </c>
      <c r="G6" s="157">
        <f>'+DCF'!K6</f>
        <v>2024</v>
      </c>
      <c r="H6" s="157">
        <f>'+DCF'!L6</f>
        <v>2025</v>
      </c>
      <c r="I6" s="157">
        <f>'+DCF'!M6</f>
        <v>2026</v>
      </c>
      <c r="J6" s="158" t="str">
        <f>'+DCF'!N6</f>
        <v>2021E - 2026E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</row>
    <row r="7" ht="14.25" customHeight="1" spans="1:26" x14ac:dyDescent="0.25">
      <c r="A7" t="s">
        <v>0</v>
      </c>
      <c r="B7" t="s">
        <v>0</v>
      </c>
      <c r="C7" t="s">
        <v>19</v>
      </c>
      <c r="D7" s="79">
        <f>'+DCF'!H10</f>
        <v>39.45</v>
      </c>
      <c r="E7" s="79">
        <f>'+DCF'!I10</f>
        <v>43.237500000000004</v>
      </c>
      <c r="F7" s="79">
        <f>'+DCF'!J10</f>
        <v>47.39587500000001</v>
      </c>
      <c r="G7" s="79">
        <f>'+DCF'!K10</f>
        <v>51.96181875000002</v>
      </c>
      <c r="H7" s="79">
        <f>'+DCF'!L10</f>
        <v>56.97567468750002</v>
      </c>
      <c r="I7" s="79">
        <f>'+DCF'!M10</f>
        <v>62.48179992187502</v>
      </c>
      <c r="J7" s="159">
        <f>+((I7/D7)^(1/(I$6-D$6))-1)</f>
        <v>0.09633001651321438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</row>
    <row r="8" ht="14.25" customHeight="1" spans="1:26" x14ac:dyDescent="0.25">
      <c r="A8" t="s">
        <v>0</v>
      </c>
      <c r="B8" t="s">
        <v>0</v>
      </c>
      <c r="C8" s="70" t="s">
        <v>83</v>
      </c>
      <c r="D8" s="71">
        <f>'+DCF'!H11</f>
        <v>0.09583333333333344</v>
      </c>
      <c r="E8" s="71">
        <f>'+DCF'!I11</f>
        <v>0.0960076045627376</v>
      </c>
      <c r="F8" s="71">
        <f>'+DCF'!J11</f>
        <v>0.09617519514310513</v>
      </c>
      <c r="G8" s="71">
        <f>'+DCF'!K11</f>
        <v>0.09633631091313344</v>
      </c>
      <c r="H8" s="71">
        <f>'+DCF'!L11</f>
        <v>0.09649115558527277</v>
      </c>
      <c r="I8" s="71">
        <f>'+DCF'!M11</f>
        <v>0.09663993036633589</v>
      </c>
      <c r="J8" s="160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</row>
    <row r="9" ht="14.25" customHeight="1" spans="1:26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s="160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</row>
    <row r="10" ht="14.25" customHeight="1" spans="1:26" x14ac:dyDescent="0.25">
      <c r="A10" t="s">
        <v>0</v>
      </c>
      <c r="B10" t="s">
        <v>0</v>
      </c>
      <c r="C10" t="s">
        <v>132</v>
      </c>
      <c r="D10" s="79">
        <f>'+DCF'!H13</f>
        <v>9.8625</v>
      </c>
      <c r="E10" s="79">
        <f>'+DCF'!I13</f>
        <v>10.809375000000001</v>
      </c>
      <c r="F10" s="79">
        <f>'+DCF'!J13</f>
        <v>11.848968750000003</v>
      </c>
      <c r="G10" s="79">
        <f>'+DCF'!K13</f>
        <v>12.990454687500005</v>
      </c>
      <c r="H10" s="79">
        <f>'+DCF'!L13</f>
        <v>14.243918671875004</v>
      </c>
      <c r="I10" s="79">
        <f>'+DCF'!M13</f>
        <v>15.620449980468756</v>
      </c>
      <c r="J10" s="159">
        <f>+((I10/D10)^(1/(I$6-D$6))-1)</f>
        <v>0.09633001651321438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</row>
    <row r="11" ht="14.25" customHeight="1" spans="1:26" x14ac:dyDescent="0.25">
      <c r="A11" t="s">
        <v>0</v>
      </c>
      <c r="B11" t="s">
        <v>0</v>
      </c>
      <c r="C11" s="70" t="s">
        <v>85</v>
      </c>
      <c r="D11" s="71">
        <f>'+DCF'!H14</f>
        <v>0.25</v>
      </c>
      <c r="E11" s="71">
        <f>'+DCF'!I14</f>
        <v>0.25</v>
      </c>
      <c r="F11" s="71">
        <f>'+DCF'!J14</f>
        <v>0.25</v>
      </c>
      <c r="G11" s="71">
        <f>'+DCF'!K14</f>
        <v>0.25</v>
      </c>
      <c r="H11" s="71">
        <f>'+DCF'!L14</f>
        <v>0.25</v>
      </c>
      <c r="I11" s="71">
        <f>'+DCF'!M14</f>
        <v>0.25</v>
      </c>
      <c r="J11" s="160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</row>
    <row r="12" ht="14.25" customHeight="1" spans="1:26" x14ac:dyDescent="0.25">
      <c r="A12" t="s">
        <v>0</v>
      </c>
      <c r="B12" t="s">
        <v>0</v>
      </c>
      <c r="C12" s="134" t="s">
        <v>133</v>
      </c>
      <c r="D12" s="79">
        <f>'+DCF'!H15</f>
        <v>-0.9862500000000001</v>
      </c>
      <c r="E12" s="79">
        <f>'+DCF'!I15</f>
        <v>-1.0809375</v>
      </c>
      <c r="F12" s="79">
        <f>'+DCF'!J15</f>
        <v>-1.1848968750000004</v>
      </c>
      <c r="G12" s="79">
        <f>'+DCF'!K15</f>
        <v>-1.2990454687500006</v>
      </c>
      <c r="H12" s="79">
        <f>'+DCF'!L15</f>
        <v>-1.4243918671875004</v>
      </c>
      <c r="I12" s="79">
        <f>'+DCF'!M15</f>
        <v>-1.5620449980468756</v>
      </c>
      <c r="J12" s="160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</row>
    <row r="13" ht="14.25" customHeight="1" spans="1:26" x14ac:dyDescent="0.25">
      <c r="A13" t="s">
        <v>0</v>
      </c>
      <c r="B13" t="s">
        <v>0</v>
      </c>
      <c r="C13" s="134" t="s">
        <v>87</v>
      </c>
      <c r="D13" s="79">
        <f>'+DCF'!H19</f>
        <v>-1.7752500000000002</v>
      </c>
      <c r="E13" s="79">
        <f>'+DCF'!I19</f>
        <v>-1.9456875000000005</v>
      </c>
      <c r="F13" s="79">
        <f>'+DCF'!J19</f>
        <v>-2.1328143750000006</v>
      </c>
      <c r="G13" s="79">
        <f>'+DCF'!K19</f>
        <v>-2.3382818437500013</v>
      </c>
      <c r="H13" s="79">
        <f>'+DCF'!L19</f>
        <v>-2.563905360937501</v>
      </c>
      <c r="I13" s="79">
        <f>'+DCF'!M19</f>
        <v>-2.8116809964843763</v>
      </c>
      <c r="J13" s="160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</row>
    <row r="14" ht="14.25" customHeight="1" spans="1:26" x14ac:dyDescent="0.25">
      <c r="A14" t="s">
        <v>0</v>
      </c>
      <c r="B14" t="s">
        <v>0</v>
      </c>
      <c r="C14" s="161" t="s">
        <v>89</v>
      </c>
      <c r="D14" s="162">
        <f>+D10+D12+D13</f>
        <v>7.101000000000001</v>
      </c>
      <c r="E14" s="162">
        <f>+E10+E12+E13</f>
        <v>7.782750000000002</v>
      </c>
      <c r="F14" s="162">
        <f>+F10+F12+F13</f>
        <v>8.531257500000002</v>
      </c>
      <c r="G14" s="162">
        <f>+G10+G12+G13</f>
        <v>9.353127375000003</v>
      </c>
      <c r="H14" s="162">
        <f>+H10+H12+H13</f>
        <v>10.255621443750004</v>
      </c>
      <c r="I14" s="162">
        <f>+I10+I12+I13</f>
        <v>11.246723985937503</v>
      </c>
      <c r="J14" s="163">
        <f>+((I14/D14)^(1/(I$6-D$6))-1)</f>
        <v>0.09633001651321438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</row>
    <row r="15" ht="14.25" customHeight="1" spans="1:26" x14ac:dyDescent="0.25">
      <c r="A15" t="s">
        <v>0</v>
      </c>
      <c r="B15" t="s">
        <v>0</v>
      </c>
      <c r="C15" s="70" t="s">
        <v>85</v>
      </c>
      <c r="D15" s="71">
        <f>+D14/D7</f>
        <v>0.18000000000000002</v>
      </c>
      <c r="E15" s="71">
        <f>+E14/E7</f>
        <v>0.18000000000000002</v>
      </c>
      <c r="F15" s="71">
        <f>+F14/F7</f>
        <v>0.18000000000000002</v>
      </c>
      <c r="G15" s="71">
        <f>+G14/G7</f>
        <v>0.18</v>
      </c>
      <c r="H15" s="71">
        <f>+H14/H7</f>
        <v>0.18</v>
      </c>
      <c r="I15" s="71">
        <f>+I14/I7</f>
        <v>0.18</v>
      </c>
      <c r="J15" s="160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</row>
    <row r="16" ht="14.25" customHeight="1" spans="1:26" x14ac:dyDescent="0.25">
      <c r="A16" t="s">
        <v>0</v>
      </c>
      <c r="B16" t="s">
        <v>0</v>
      </c>
      <c r="C16" t="s">
        <v>133</v>
      </c>
      <c r="D16" s="79">
        <f>+D12*-1</f>
        <v>0.9862500000000001</v>
      </c>
      <c r="E16" s="79">
        <f>+E12*-1</f>
        <v>1.0809375</v>
      </c>
      <c r="F16" s="79">
        <f>+F12*-1</f>
        <v>1.1848968750000004</v>
      </c>
      <c r="G16" s="79">
        <f>+G12*-1</f>
        <v>1.2990454687500006</v>
      </c>
      <c r="H16" s="79">
        <f>+H12*-1</f>
        <v>1.4243918671875004</v>
      </c>
      <c r="I16" s="79">
        <f>+I12*-1</f>
        <v>1.5620449980468756</v>
      </c>
      <c r="J16" s="160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</row>
    <row r="17" ht="14.25" customHeight="1" spans="1:26" x14ac:dyDescent="0.25">
      <c r="A17" t="s">
        <v>0</v>
      </c>
      <c r="B17" t="s">
        <v>0</v>
      </c>
      <c r="C17" t="s">
        <v>134</v>
      </c>
      <c r="D17" s="79">
        <f>'+DCF'!H25</f>
        <v>0</v>
      </c>
      <c r="E17" s="79">
        <f>'+DCF'!I25</f>
        <v>0</v>
      </c>
      <c r="F17" s="79">
        <f>'+DCF'!J25</f>
        <v>0</v>
      </c>
      <c r="G17" s="79">
        <f>'+DCF'!K25</f>
        <v>0</v>
      </c>
      <c r="H17" s="79">
        <f>'+DCF'!L25</f>
        <v>0</v>
      </c>
      <c r="I17" s="79">
        <f>'+DCF'!M25</f>
        <v>0</v>
      </c>
      <c r="J17" s="160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</row>
    <row r="18" ht="14.25" customHeight="1" spans="1:26" x14ac:dyDescent="0.25">
      <c r="A18" t="s">
        <v>0</v>
      </c>
      <c r="B18" t="s">
        <v>0</v>
      </c>
      <c r="C18" t="s">
        <v>135</v>
      </c>
      <c r="D18" s="79">
        <f>'+DCF'!H27</f>
        <v>-1.9725000000000001</v>
      </c>
      <c r="E18" s="79">
        <f>'+DCF'!I27</f>
        <v>-2.161875</v>
      </c>
      <c r="F18" s="79">
        <f>'+DCF'!J27</f>
        <v>-2.369793750000001</v>
      </c>
      <c r="G18" s="79">
        <f>'+DCF'!K27</f>
        <v>-2.598090937500001</v>
      </c>
      <c r="H18" s="79">
        <f>'+DCF'!L27</f>
        <v>-2.848783734375001</v>
      </c>
      <c r="I18" s="79">
        <f>'+DCF'!M27</f>
        <v>-3.124089996093751</v>
      </c>
      <c r="J18" s="160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</row>
    <row r="19" ht="14.25" customHeight="1" spans="1:26" x14ac:dyDescent="0.25">
      <c r="A19" t="s">
        <v>0</v>
      </c>
      <c r="B19" t="s">
        <v>0</v>
      </c>
      <c r="C19" s="164" t="s">
        <v>90</v>
      </c>
      <c r="D19" s="165">
        <f>+D14+D16+D17+D18</f>
        <v>6.114750000000001</v>
      </c>
      <c r="E19" s="165">
        <f>+E14+E16+E17+E18</f>
        <v>6.701812500000001</v>
      </c>
      <c r="F19" s="165">
        <f>+F14+F16+F17+F18</f>
        <v>7.346360625000001</v>
      </c>
      <c r="G19" s="165">
        <f>+G14+G16+G17+G18</f>
        <v>8.054081906250001</v>
      </c>
      <c r="H19" s="165">
        <f>+H14+H16+H17+H18</f>
        <v>8.831229576562503</v>
      </c>
      <c r="I19" s="165">
        <f>+I14+I16+I17+I18</f>
        <v>9.684678987890628</v>
      </c>
      <c r="J19" s="166">
        <f>+((I19/D19)^(1/(I$6-D$6))-1)</f>
        <v>0.09633001651321438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</row>
    <row r="20" ht="14.25" customHeight="1" spans="1:26" x14ac:dyDescent="0.25">
      <c r="A20" t="s">
        <v>0</v>
      </c>
      <c r="B20" t="s">
        <v>0</v>
      </c>
      <c r="C20" s="70" t="s">
        <v>85</v>
      </c>
      <c r="D20" s="71">
        <f>+D19/D7</f>
        <v>0.155</v>
      </c>
      <c r="E20" s="71">
        <f>+E19/E7</f>
        <v>0.155</v>
      </c>
      <c r="F20" s="71">
        <f>+F19/F7</f>
        <v>0.15499999999999997</v>
      </c>
      <c r="G20" s="71">
        <f>+G19/G7</f>
        <v>0.15499999999999997</v>
      </c>
      <c r="H20" s="71">
        <f>+H19/H7</f>
        <v>0.155</v>
      </c>
      <c r="I20" s="71">
        <f>+I19/I7</f>
        <v>0.155</v>
      </c>
      <c r="J20" s="16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</row>
    <row r="21" ht="14.25" customHeight="1" spans="1:26" x14ac:dyDescent="0.25">
      <c r="A21" t="s">
        <v>0</v>
      </c>
      <c r="B21" t="s">
        <v>0</v>
      </c>
      <c r="C21" s="146" t="s">
        <v>136</v>
      </c>
      <c r="D21" s="167">
        <f>+D19/D10</f>
        <v>0.62</v>
      </c>
      <c r="E21" s="167">
        <f>+E19/E10</f>
        <v>0.62</v>
      </c>
      <c r="F21" s="167">
        <f>+F19/F10</f>
        <v>0.6199999999999999</v>
      </c>
      <c r="G21" s="167">
        <f>+G19/G10</f>
        <v>0.6199999999999999</v>
      </c>
      <c r="H21" s="167">
        <f>+H19/H10</f>
        <v>0.62</v>
      </c>
      <c r="I21" s="167">
        <f>+I19/I10</f>
        <v>0.62</v>
      </c>
      <c r="J21" s="168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</row>
    <row r="22" ht="14.25" customHeight="1" x14ac:dyDescent="0.25"/>
    <row r="23" ht="15" customHeight="1" spans="1:26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s="119" t="s">
        <v>137</v>
      </c>
      <c r="O23" s="119" t="s">
        <v>0</v>
      </c>
      <c r="P23" s="119" t="s">
        <v>0</v>
      </c>
      <c r="Q23" s="119" t="s">
        <v>0</v>
      </c>
      <c r="R23" s="119" t="s">
        <v>0</v>
      </c>
      <c r="S23" s="119" t="s">
        <v>0</v>
      </c>
      <c r="T23" s="119" t="s">
        <v>0</v>
      </c>
      <c r="U23" s="119" t="s">
        <v>0</v>
      </c>
      <c r="V23" s="119" t="s">
        <v>0</v>
      </c>
      <c r="W23" s="119" t="s">
        <v>0</v>
      </c>
      <c r="X23" s="119" t="s">
        <v>0</v>
      </c>
      <c r="Y23" s="119" t="s">
        <v>0</v>
      </c>
      <c r="Z23" s="119" t="s">
        <v>0</v>
      </c>
    </row>
    <row r="24" ht="14.25" customHeight="1" x14ac:dyDescent="0.25"/>
    <row r="25" ht="14.25" customHeight="1" spans="1:26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s="169" t="s">
        <v>138</v>
      </c>
      <c r="O25" s="170" t="s">
        <v>0</v>
      </c>
      <c r="P25" s="171">
        <f>'+DCF'!T80</f>
        <v>10</v>
      </c>
      <c r="Q25" s="171" t="s">
        <v>0</v>
      </c>
      <c r="R25" s="171" t="s">
        <v>0</v>
      </c>
      <c r="S25" s="170" t="s">
        <v>0</v>
      </c>
      <c r="T25" s="171">
        <f>'+DCF'!W80</f>
        <v>11</v>
      </c>
      <c r="U25" s="171" t="s">
        <v>0</v>
      </c>
      <c r="V25" s="171" t="s">
        <v>0</v>
      </c>
      <c r="W25" s="170" t="s">
        <v>0</v>
      </c>
      <c r="X25" s="171">
        <f>'+DCF'!Z80</f>
        <v>12</v>
      </c>
      <c r="Y25" s="171" t="s">
        <v>0</v>
      </c>
      <c r="Z25" s="171" t="s">
        <v>0</v>
      </c>
    </row>
    <row r="26" ht="14.25" customHeight="1" spans="1:26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s="172" t="s">
        <v>116</v>
      </c>
      <c r="O26" s="6" t="s">
        <v>0</v>
      </c>
      <c r="P26" s="173">
        <f>'+DCF'!T81</f>
        <v>0.12</v>
      </c>
      <c r="Q26" s="173">
        <f>'+DCF'!U81</f>
        <v>0.13999999999999999</v>
      </c>
      <c r="R26" s="173">
        <f>'+DCF'!V81</f>
        <v>0.15999999999999998</v>
      </c>
      <c r="S26" s="174" t="s">
        <v>0</v>
      </c>
      <c r="T26" s="173">
        <f>+P26</f>
        <v>0.12</v>
      </c>
      <c r="U26" s="173">
        <f>+Q26</f>
        <v>0.13999999999999999</v>
      </c>
      <c r="V26" s="173">
        <f>+R26</f>
        <v>0.15999999999999998</v>
      </c>
      <c r="W26" s="174" t="s">
        <v>0</v>
      </c>
      <c r="X26" s="173">
        <f>+T26</f>
        <v>0.12</v>
      </c>
      <c r="Y26" s="173">
        <f>+U26</f>
        <v>0.13999999999999999</v>
      </c>
      <c r="Z26" s="173">
        <f>+V26</f>
        <v>0.15999999999999998</v>
      </c>
    </row>
    <row r="27" ht="14.25" customHeight="1" spans="1:26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s="6" t="s">
        <v>117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</row>
    <row r="28" ht="14.25" customHeight="1" spans="1:26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s="134" t="s">
        <v>118</v>
      </c>
      <c r="O28" t="s">
        <v>0</v>
      </c>
      <c r="P28" s="107">
        <f>'+DCF'!T83</f>
        <v>32.8786327536365</v>
      </c>
      <c r="Q28" s="107">
        <f>'+DCF'!U83</f>
        <v>31.22699823385298</v>
      </c>
      <c r="R28" s="107">
        <f>'+DCF'!V83</f>
        <v>29.711289219957653</v>
      </c>
      <c r="S28" s="107" t="s">
        <v>0</v>
      </c>
      <c r="T28" s="107">
        <f>'+DCF'!W83</f>
        <v>32.8786327536365</v>
      </c>
      <c r="U28" s="107">
        <f>'+DCF'!X83</f>
        <v>31.22699823385298</v>
      </c>
      <c r="V28" s="107">
        <f>'+DCF'!Y83</f>
        <v>29.711289219957653</v>
      </c>
      <c r="W28" s="107" t="s">
        <v>0</v>
      </c>
      <c r="X28" s="107">
        <f>'+DCF'!Z83</f>
        <v>32.8786327536365</v>
      </c>
      <c r="Y28" s="107">
        <f>'+DCF'!AA83</f>
        <v>31.22699823385298</v>
      </c>
      <c r="Z28" s="107">
        <f>'+DCF'!AB83</f>
        <v>29.711289219957653</v>
      </c>
    </row>
    <row r="29" ht="14.25" customHeight="1" spans="1:26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s="134" t="s">
        <v>119</v>
      </c>
      <c r="O29" t="s">
        <v>0</v>
      </c>
      <c r="P29" s="107">
        <f>'+DCF'!T84</f>
        <v>80.8238198509348</v>
      </c>
      <c r="Q29" s="107">
        <f>'+DCF'!U84</f>
        <v>73.97845015861562</v>
      </c>
      <c r="R29" s="107">
        <f>'+DCF'!V84</f>
        <v>67.81715070181069</v>
      </c>
      <c r="S29" s="107" t="s">
        <v>0</v>
      </c>
      <c r="T29" s="107">
        <f>'+DCF'!W84</f>
        <v>88.90620183602829</v>
      </c>
      <c r="U29" s="107">
        <f>'+DCF'!X84</f>
        <v>81.37629517447718</v>
      </c>
      <c r="V29" s="107">
        <f>'+DCF'!Y84</f>
        <v>74.59886577199177</v>
      </c>
      <c r="W29" s="107" t="s">
        <v>0</v>
      </c>
      <c r="X29" s="107">
        <f>'+DCF'!Z84</f>
        <v>96.98858382112175</v>
      </c>
      <c r="Y29" s="107">
        <f>'+DCF'!AA84</f>
        <v>88.77414019033871</v>
      </c>
      <c r="Z29" s="107">
        <f>'+DCF'!AB84</f>
        <v>81.38058084217282</v>
      </c>
    </row>
    <row r="30" ht="14.25" customHeight="1" spans="1:26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s="175" t="s">
        <v>120</v>
      </c>
      <c r="O30" t="s">
        <v>0</v>
      </c>
      <c r="P30" s="176">
        <f>SUM(P28:P29)</f>
        <v>113.7024526045713</v>
      </c>
      <c r="Q30" s="176">
        <f>SUM(Q28:Q29)</f>
        <v>105.2054483924686</v>
      </c>
      <c r="R30" s="176">
        <f>SUM(R28:R29)</f>
        <v>97.52843992176834</v>
      </c>
      <c r="S30" s="107" t="s">
        <v>0</v>
      </c>
      <c r="T30" s="176">
        <f>SUM(T28:T29)</f>
        <v>121.7848345896648</v>
      </c>
      <c r="U30" s="176">
        <f>SUM(U28:U29)</f>
        <v>112.60329340833016</v>
      </c>
      <c r="V30" s="176">
        <f>SUM(V28:V29)</f>
        <v>104.31015499194942</v>
      </c>
      <c r="W30" s="107" t="s">
        <v>0</v>
      </c>
      <c r="X30" s="176">
        <f>SUM(X28:X29)</f>
        <v>129.86721657475826</v>
      </c>
      <c r="Y30" s="176">
        <f>SUM(Y28:Y29)</f>
        <v>120.0011384241917</v>
      </c>
      <c r="Z30" s="176">
        <f>SUM(Z28:Z29)</f>
        <v>111.09187006213047</v>
      </c>
    </row>
    <row r="31" ht="14.25" customHeight="1" x14ac:dyDescent="0.25"/>
    <row r="32" ht="14.25" customHeight="1" spans="1:26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s="177" t="s">
        <v>139</v>
      </c>
      <c r="O32" t="s">
        <v>0</v>
      </c>
      <c r="P32" s="178">
        <f>'+DCF'!T100</f>
        <v>0.05408148113254992</v>
      </c>
      <c r="Q32" s="178">
        <f>'+DCF'!U100</f>
        <v>0.07681953745406488</v>
      </c>
      <c r="R32" s="178">
        <f>'+DCF'!V100</f>
        <v>0.10027747247118023</v>
      </c>
      <c r="S32" s="144" t="s">
        <v>0</v>
      </c>
      <c r="T32" s="178">
        <f>'+DCF'!W100</f>
        <v>0.060910139539014994</v>
      </c>
      <c r="U32" s="178">
        <f>'+DCF'!X100</f>
        <v>0.08385345907864875</v>
      </c>
      <c r="V32" s="178">
        <f>'+DCF'!Y100</f>
        <v>0.10752326163660451</v>
      </c>
      <c r="W32" s="144" t="s">
        <v>0</v>
      </c>
      <c r="X32" s="178">
        <f>'+DCF'!Z100</f>
        <v>0.06666864106625904</v>
      </c>
      <c r="Y32" s="178">
        <f>'+DCF'!AA100</f>
        <v>0.08978564062278281</v>
      </c>
      <c r="Z32" s="178">
        <f>'+DCF'!AB100</f>
        <v>0.11363472185439989</v>
      </c>
    </row>
    <row r="33" ht="14.25" customHeight="1" x14ac:dyDescent="0.25"/>
    <row r="34" ht="14.25" customHeight="1" spans="1:26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s="6" t="s">
        <v>140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</row>
    <row r="35" ht="14.25" customHeight="1" spans="1:26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s="179" t="str">
        <f>'+DCF'!R89</f>
        <v>AV / 2021E Revenue</v>
      </c>
      <c r="O35" t="s">
        <v>0</v>
      </c>
      <c r="P35" s="180">
        <f>'+DCF'!T89</f>
        <v>2.88219144751765</v>
      </c>
      <c r="Q35" s="180">
        <f>'+DCF'!U89</f>
        <v>2.666804775474489</v>
      </c>
      <c r="R35" s="180">
        <f>'+DCF'!V89</f>
        <v>2.47220380029831</v>
      </c>
      <c r="S35" s="142" t="s">
        <v>0</v>
      </c>
      <c r="T35" s="180">
        <f>'+DCF'!W89</f>
        <v>3.0870680504351022</v>
      </c>
      <c r="U35" s="180">
        <f>'+DCF'!X89</f>
        <v>2.8543293639627416</v>
      </c>
      <c r="V35" s="180">
        <f>'+DCF'!Y89</f>
        <v>2.6441103926983374</v>
      </c>
      <c r="W35" s="142" t="s">
        <v>0</v>
      </c>
      <c r="X35" s="180">
        <f>'+DCF'!Z89</f>
        <v>3.291944653352554</v>
      </c>
      <c r="Y35" s="180">
        <f>'+DCF'!AA89</f>
        <v>3.0418539524509933</v>
      </c>
      <c r="Z35" s="180">
        <f>'+DCF'!AB89</f>
        <v>2.816016985098364</v>
      </c>
    </row>
    <row r="36" ht="14.25" customHeight="1" spans="1:26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s="181" t="str">
        <f>'+DCF'!R92</f>
        <v>AV / 2021E EBITDA</v>
      </c>
      <c r="O36" s="182" t="s">
        <v>0</v>
      </c>
      <c r="P36" s="154">
        <f>'+DCF'!T92</f>
        <v>11.5287657900706</v>
      </c>
      <c r="Q36" s="154">
        <f>'+DCF'!U92</f>
        <v>10.667219101897956</v>
      </c>
      <c r="R36" s="154">
        <f>'+DCF'!V92</f>
        <v>9.88881520119324</v>
      </c>
      <c r="S36" s="154" t="s">
        <v>0</v>
      </c>
      <c r="T36" s="154">
        <f>'+DCF'!W92</f>
        <v>12.348272201740409</v>
      </c>
      <c r="U36" s="154">
        <f>'+DCF'!X92</f>
        <v>11.417317455850966</v>
      </c>
      <c r="V36" s="154">
        <f>'+DCF'!Y92</f>
        <v>10.57644157079335</v>
      </c>
      <c r="W36" s="154" t="s">
        <v>0</v>
      </c>
      <c r="X36" s="154">
        <f>'+DCF'!Z92</f>
        <v>13.167778613410215</v>
      </c>
      <c r="Y36" s="154">
        <f>'+DCF'!AA92</f>
        <v>12.167415809803973</v>
      </c>
      <c r="Z36" s="154">
        <f>'+DCF'!AB92</f>
        <v>11.264067940393456</v>
      </c>
    </row>
    <row r="37" ht="14.25" customHeight="1" x14ac:dyDescent="0.25"/>
    <row r="38" ht="14.25" customHeight="1" x14ac:dyDescent="0.25"/>
    <row r="39" ht="15" customHeight="1" spans="1:26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s="119" t="s">
        <v>137</v>
      </c>
      <c r="O39" s="119" t="s">
        <v>0</v>
      </c>
      <c r="P39" s="119" t="s">
        <v>0</v>
      </c>
      <c r="Q39" s="119" t="s">
        <v>0</v>
      </c>
      <c r="R39" s="119" t="s">
        <v>0</v>
      </c>
      <c r="S39" s="119" t="s">
        <v>0</v>
      </c>
      <c r="T39" s="119" t="s">
        <v>0</v>
      </c>
      <c r="U39" s="119" t="s">
        <v>0</v>
      </c>
      <c r="V39" s="119" t="s">
        <v>0</v>
      </c>
      <c r="W39" s="119" t="s">
        <v>0</v>
      </c>
      <c r="X39" s="119" t="s">
        <v>0</v>
      </c>
      <c r="Y39" s="119" t="s">
        <v>0</v>
      </c>
      <c r="Z39" s="119" t="s">
        <v>0</v>
      </c>
    </row>
    <row r="40" ht="14.25" customHeight="1" x14ac:dyDescent="0.25"/>
    <row r="41" ht="14.25" customHeight="1" spans="1:26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s="169" t="s">
        <v>129</v>
      </c>
      <c r="O41" s="170" t="s">
        <v>0</v>
      </c>
      <c r="P41" s="183">
        <f>'+DCF'!T104</f>
        <v>0.02</v>
      </c>
      <c r="Q41" s="171" t="s">
        <v>0</v>
      </c>
      <c r="R41" s="171" t="s">
        <v>0</v>
      </c>
      <c r="S41" s="170" t="s">
        <v>0</v>
      </c>
      <c r="T41" s="183">
        <f>'+DCF'!W104</f>
        <v>0.025</v>
      </c>
      <c r="U41" s="171" t="s">
        <v>0</v>
      </c>
      <c r="V41" s="171" t="s">
        <v>0</v>
      </c>
      <c r="W41" s="170" t="s">
        <v>0</v>
      </c>
      <c r="X41" s="183">
        <f>'+DCF'!Z104</f>
        <v>0.030000000000000002</v>
      </c>
      <c r="Y41" s="171" t="s">
        <v>0</v>
      </c>
      <c r="Z41" s="171" t="s">
        <v>0</v>
      </c>
    </row>
    <row r="42" ht="14.25" customHeight="1" spans="1:26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s="172" t="s">
        <v>116</v>
      </c>
      <c r="O42" s="6" t="s">
        <v>0</v>
      </c>
      <c r="P42" s="173">
        <f>+P26</f>
        <v>0.12</v>
      </c>
      <c r="Q42" s="173">
        <f>+Q26</f>
        <v>0.13999999999999999</v>
      </c>
      <c r="R42" s="173">
        <f>+R26</f>
        <v>0.15999999999999998</v>
      </c>
      <c r="S42" s="174" t="s">
        <v>0</v>
      </c>
      <c r="T42" s="173">
        <f>+P42</f>
        <v>0.12</v>
      </c>
      <c r="U42" s="173">
        <f>+Q42</f>
        <v>0.13999999999999999</v>
      </c>
      <c r="V42" s="173">
        <f>+R42</f>
        <v>0.15999999999999998</v>
      </c>
      <c r="W42" s="174" t="s">
        <v>0</v>
      </c>
      <c r="X42" s="173">
        <f>+T42</f>
        <v>0.12</v>
      </c>
      <c r="Y42" s="173">
        <f>+U42</f>
        <v>0.13999999999999999</v>
      </c>
      <c r="Z42" s="173">
        <f>+V42</f>
        <v>0.15999999999999998</v>
      </c>
    </row>
    <row r="43" ht="14.25" customHeight="1" spans="1:26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s="6" t="s">
        <v>117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</row>
    <row r="44" ht="14.25" customHeight="1" spans="1:26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s="134" t="s">
        <v>118</v>
      </c>
      <c r="O44" t="s">
        <v>0</v>
      </c>
      <c r="P44" s="107">
        <f>'+DCF'!T107</f>
        <v>32.8786327536365</v>
      </c>
      <c r="Q44" s="107">
        <f>'+DCF'!U107</f>
        <v>31.22699823385298</v>
      </c>
      <c r="R44" s="107">
        <f>'+DCF'!V107</f>
        <v>29.711289219957653</v>
      </c>
      <c r="S44" t="s">
        <v>0</v>
      </c>
      <c r="T44" s="107">
        <f>'+DCF'!W107</f>
        <v>32.8786327536365</v>
      </c>
      <c r="U44" s="107">
        <f>'+DCF'!X107</f>
        <v>31.22699823385298</v>
      </c>
      <c r="V44" s="107">
        <f>'+DCF'!Y107</f>
        <v>29.711289219957653</v>
      </c>
      <c r="W44" t="s">
        <v>0</v>
      </c>
      <c r="X44" s="107">
        <f>'+DCF'!Z107</f>
        <v>32.8786327536365</v>
      </c>
      <c r="Y44" s="107">
        <f>'+DCF'!AA107</f>
        <v>31.22699823385298</v>
      </c>
      <c r="Z44" s="107">
        <f>'+DCF'!AB107</f>
        <v>29.711289219957653</v>
      </c>
    </row>
    <row r="45" ht="14.25" customHeight="1" spans="1:26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s="134" t="s">
        <v>119</v>
      </c>
      <c r="O45" t="s">
        <v>0</v>
      </c>
      <c r="P45" s="107">
        <f>'+DCF'!T108</f>
        <v>62.81755830218195</v>
      </c>
      <c r="Q45" s="107">
        <f>'+DCF'!U108</f>
        <v>48.34027052002128</v>
      </c>
      <c r="R45" s="107">
        <f>'+DCF'!V108</f>
        <v>38.31538257721221</v>
      </c>
      <c r="S45" s="107" t="s">
        <v>0</v>
      </c>
      <c r="T45" s="107">
        <f>'+DCF'!W108</f>
        <v>66.44788158899533</v>
      </c>
      <c r="U45" s="107">
        <f>'+DCF'!X108</f>
        <v>50.689286223040206</v>
      </c>
      <c r="V45" s="107">
        <f>'+DCF'!Y108</f>
        <v>39.929247638561726</v>
      </c>
      <c r="W45" s="107" t="s">
        <v>0</v>
      </c>
      <c r="X45" s="107">
        <f>'+DCF'!Z108</f>
        <v>70.48157412989913</v>
      </c>
      <c r="Y45" s="107">
        <f>'+DCF'!AA108</f>
        <v>53.25184880815178</v>
      </c>
      <c r="Z45" s="107">
        <f>'+DCF'!AB108</f>
        <v>41.667256166168926</v>
      </c>
    </row>
    <row r="46" ht="14.25" customHeight="1" spans="1:26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s="175" t="s">
        <v>120</v>
      </c>
      <c r="O46" t="s">
        <v>0</v>
      </c>
      <c r="P46" s="176">
        <f>SUM(P44:P45)</f>
        <v>95.69619105581845</v>
      </c>
      <c r="Q46" s="176">
        <f>SUM(Q44:Q45)</f>
        <v>79.56726875387426</v>
      </c>
      <c r="R46" s="176">
        <f>SUM(R44:R45)</f>
        <v>68.02667179716987</v>
      </c>
      <c r="S46" s="107" t="s">
        <v>0</v>
      </c>
      <c r="T46" s="176">
        <f>SUM(T44:T45)</f>
        <v>99.32651434263184</v>
      </c>
      <c r="U46" s="176">
        <f>SUM(U44:U45)</f>
        <v>81.91628445689318</v>
      </c>
      <c r="V46" s="176">
        <f>SUM(V44:V45)</f>
        <v>69.64053685851938</v>
      </c>
      <c r="W46" s="107" t="s">
        <v>0</v>
      </c>
      <c r="X46" s="176">
        <f>SUM(X44:X45)</f>
        <v>103.36020688353562</v>
      </c>
      <c r="Y46" s="176">
        <f>SUM(Y44:Y45)</f>
        <v>84.47884704200476</v>
      </c>
      <c r="Z46" s="176">
        <f>SUM(Z44:Z45)</f>
        <v>71.37854538612658</v>
      </c>
    </row>
    <row r="47" ht="14.25" customHeight="1" x14ac:dyDescent="0.25"/>
    <row r="48" ht="14.25" customHeight="1" spans="1:26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s="6" t="s">
        <v>140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</row>
    <row r="49" ht="14.25" customHeight="1" spans="1:26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s="179" t="str">
        <f>'+DCF'!R113</f>
        <v>AV / 2021E Revenue</v>
      </c>
      <c r="O49" t="s">
        <v>0</v>
      </c>
      <c r="P49" s="180">
        <f>'+DCF'!T113</f>
        <v>2.425758962124675</v>
      </c>
      <c r="Q49" s="180">
        <f>'+DCF'!U113</f>
        <v>2.016914290339018</v>
      </c>
      <c r="R49" s="180">
        <f>'+DCF'!V113</f>
        <v>1.724376978381999</v>
      </c>
      <c r="S49" s="142" t="s">
        <v>0</v>
      </c>
      <c r="T49" s="180">
        <f>'+DCF'!W113</f>
        <v>2.517782366099666</v>
      </c>
      <c r="U49" s="180">
        <f>'+DCF'!X113</f>
        <v>2.076458414623401</v>
      </c>
      <c r="V49" s="180">
        <f>'+DCF'!Y113</f>
        <v>1.765286105412405</v>
      </c>
      <c r="W49" s="142" t="s">
        <v>0</v>
      </c>
      <c r="X49" s="180">
        <f>'+DCF'!Z113</f>
        <v>2.620030592738545</v>
      </c>
      <c r="Y49" s="180">
        <f>'+DCF'!AA113</f>
        <v>2.141415641115456</v>
      </c>
      <c r="Z49" s="180">
        <f>'+DCF'!AB113</f>
        <v>1.8093420883682274</v>
      </c>
    </row>
    <row r="50" ht="14.25" customHeight="1" spans="1:26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s="181" t="str">
        <f>'+DCF'!R116</f>
        <v>AV / 2021E EBITDA</v>
      </c>
      <c r="O50" s="182" t="s">
        <v>0</v>
      </c>
      <c r="P50" s="154">
        <f>'+DCF'!T116</f>
        <v>9.7030358484987</v>
      </c>
      <c r="Q50" s="154">
        <f>'+DCF'!U116</f>
        <v>8.067657161356072</v>
      </c>
      <c r="R50" s="154">
        <f>'+DCF'!V116</f>
        <v>6.897507913527996</v>
      </c>
      <c r="S50" s="154" t="s">
        <v>0</v>
      </c>
      <c r="T50" s="154">
        <f>'+DCF'!W116</f>
        <v>10.071129464398664</v>
      </c>
      <c r="U50" s="154">
        <f>'+DCF'!X116</f>
        <v>8.305833658493604</v>
      </c>
      <c r="V50" s="154">
        <f>'+DCF'!Y116</f>
        <v>7.06114442164962</v>
      </c>
      <c r="W50" s="154" t="s">
        <v>0</v>
      </c>
      <c r="X50" s="154">
        <f>'+DCF'!Z116</f>
        <v>10.48012237095418</v>
      </c>
      <c r="Y50" s="154">
        <f>'+DCF'!AA116</f>
        <v>8.565662564461825</v>
      </c>
      <c r="Z50" s="154">
        <f>'+DCF'!AB116</f>
        <v>7.23736835347291</v>
      </c>
    </row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4.25" outlineLevelRow="0" outlineLevelCol="0" x14ac:dyDescent="55" defaultColWidth="9.2" customHeight="1"/>
  <cols>
    <col min="1" max="20" width="9.2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Financial Model&gt;&gt;&gt;</vt:lpstr>
      <vt:lpstr>Operational Assumptions</vt:lpstr>
      <vt:lpstr>Model</vt:lpstr>
      <vt:lpstr>DCF&gt;&gt;&gt;</vt:lpstr>
      <vt:lpstr>Control</vt:lpstr>
      <vt:lpstr>DCF</vt:lpstr>
      <vt:lpstr>DCF Output</vt:lpstr>
      <vt:lpstr>LBO&gt;&gt;&gt;</vt:lpstr>
      <vt:lpstr>LBO Control</vt:lpstr>
      <vt:lpstr>LBO</vt:lpstr>
      <vt:lpstr>LBO Output</vt:lpstr>
      <vt:lpstr>WACC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2025-08-09T21:03:27Z</dcterms:created>
  <dcterms:modified xsi:type="dcterms:W3CDTF">2025-08-09T21:03:27Z</dcterms:modified>
</cp:coreProperties>
</file>