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rive\MSU\Lab\Chang Publications\Zath Burst Size paper\Data\For Submission\SI\"/>
    </mc:Choice>
  </mc:AlternateContent>
  <xr:revisionPtr revIDLastSave="0" documentId="13_ncr:1_{7D433052-CB6C-4B33-90E7-EC45D7D868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ooled trials (best three)" sheetId="20" r:id="rId1"/>
    <sheet name="H3N2 (3-24-21)" sheetId="21" r:id="rId2"/>
    <sheet name="H3N2 (3-17-21)" sheetId="16" r:id="rId3"/>
    <sheet name="H3N2 (2-26-21)" sheetId="12" r:id="rId4"/>
    <sheet name="H1N1 (2-24-21)" sheetId="1" r:id="rId5"/>
    <sheet name="H1N1 (2-19-21)" sheetId="8" r:id="rId6"/>
    <sheet name="H1N1 (2-12-21)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0" l="1"/>
  <c r="M20" i="20"/>
  <c r="K20" i="20"/>
  <c r="K21" i="20"/>
  <c r="K22" i="20"/>
  <c r="K23" i="20"/>
  <c r="K24" i="20"/>
  <c r="K25" i="20"/>
  <c r="K26" i="20"/>
  <c r="K27" i="20"/>
  <c r="K19" i="20"/>
  <c r="J20" i="20"/>
  <c r="J21" i="20"/>
  <c r="J22" i="20"/>
  <c r="J23" i="20"/>
  <c r="J24" i="20"/>
  <c r="J25" i="20"/>
  <c r="J26" i="20"/>
  <c r="J27" i="20"/>
  <c r="J19" i="20"/>
  <c r="M3" i="20"/>
  <c r="H3" i="20"/>
  <c r="K3" i="20"/>
  <c r="K4" i="20"/>
  <c r="K5" i="20"/>
  <c r="K6" i="20"/>
  <c r="K7" i="20"/>
  <c r="K8" i="20"/>
  <c r="K9" i="20"/>
  <c r="K10" i="20"/>
  <c r="K2" i="20"/>
  <c r="J3" i="20"/>
  <c r="J4" i="20"/>
  <c r="J5" i="20"/>
  <c r="J6" i="20"/>
  <c r="J7" i="20"/>
  <c r="J8" i="20"/>
  <c r="J9" i="20"/>
  <c r="J10" i="20"/>
  <c r="J2" i="20"/>
  <c r="K34" i="21"/>
  <c r="K31" i="21"/>
  <c r="K7" i="21"/>
  <c r="K16" i="21" s="1"/>
  <c r="K19" i="21" s="1"/>
  <c r="K22" i="21" s="1"/>
  <c r="D7" i="21"/>
  <c r="C7" i="21"/>
  <c r="D6" i="21"/>
  <c r="C6" i="21"/>
  <c r="D5" i="21"/>
  <c r="C5" i="21"/>
  <c r="D4" i="21"/>
  <c r="C4" i="21"/>
  <c r="E5" i="21" l="1"/>
  <c r="F5" i="21" s="1"/>
  <c r="K37" i="21"/>
  <c r="K40" i="21"/>
  <c r="E7" i="21"/>
  <c r="F7" i="21" s="1"/>
  <c r="D33" i="20"/>
  <c r="F33" i="20"/>
  <c r="H20" i="20"/>
  <c r="F29" i="20" l="1"/>
  <c r="E29" i="20"/>
  <c r="D29" i="20"/>
  <c r="C29" i="20"/>
  <c r="F28" i="20"/>
  <c r="E28" i="20"/>
  <c r="D28" i="20"/>
  <c r="C28" i="20"/>
  <c r="F12" i="20"/>
  <c r="E12" i="20"/>
  <c r="D12" i="20"/>
  <c r="C12" i="20"/>
  <c r="F11" i="20"/>
  <c r="E11" i="20"/>
  <c r="D11" i="20"/>
  <c r="D36" i="20" s="1"/>
  <c r="C11" i="20"/>
  <c r="D13" i="20" l="1"/>
  <c r="F13" i="20"/>
  <c r="F36" i="20"/>
  <c r="C13" i="20"/>
  <c r="E13" i="20"/>
  <c r="E39" i="20"/>
  <c r="D30" i="20"/>
  <c r="C30" i="20"/>
  <c r="E30" i="20"/>
  <c r="F30" i="20"/>
  <c r="K34" i="16" l="1"/>
  <c r="K37" i="16" s="1"/>
  <c r="K31" i="16"/>
  <c r="K7" i="16"/>
  <c r="K16" i="16" s="1"/>
  <c r="K19" i="16" s="1"/>
  <c r="K22" i="16" s="1"/>
  <c r="K40" i="16" s="1"/>
  <c r="E7" i="16"/>
  <c r="F7" i="16" s="1"/>
  <c r="E5" i="16"/>
  <c r="F5" i="16" s="1"/>
  <c r="K43" i="16" l="1"/>
  <c r="K31" i="12" l="1"/>
  <c r="K34" i="12" l="1"/>
  <c r="K43" i="12" s="1"/>
  <c r="K7" i="12"/>
  <c r="K16" i="12" s="1"/>
  <c r="K19" i="12" s="1"/>
  <c r="K22" i="12" s="1"/>
  <c r="K40" i="12" s="1"/>
  <c r="K37" i="12"/>
  <c r="E5" i="12" l="1"/>
  <c r="F5" i="12" s="1"/>
  <c r="E7" i="12"/>
  <c r="F7" i="12" s="1"/>
  <c r="K34" i="8" l="1"/>
  <c r="K31" i="8"/>
  <c r="K7" i="8"/>
  <c r="K16" i="8" s="1"/>
  <c r="K19" i="8" s="1"/>
  <c r="K22" i="8" s="1"/>
  <c r="E7" i="8"/>
  <c r="F7" i="8" s="1"/>
  <c r="E5" i="8"/>
  <c r="F5" i="8" s="1"/>
  <c r="K34" i="7"/>
  <c r="K31" i="7"/>
  <c r="K7" i="7"/>
  <c r="K16" i="7" s="1"/>
  <c r="K19" i="7" s="1"/>
  <c r="K22" i="7" s="1"/>
  <c r="E7" i="7"/>
  <c r="F7" i="7" s="1"/>
  <c r="E5" i="7"/>
  <c r="F5" i="7" s="1"/>
  <c r="K37" i="8" l="1"/>
  <c r="K43" i="8"/>
  <c r="K37" i="7"/>
  <c r="K43" i="7"/>
  <c r="K40" i="7"/>
  <c r="K40" i="8"/>
  <c r="K34" i="1"/>
  <c r="K31" i="1"/>
  <c r="K7" i="1"/>
  <c r="K16" i="1" s="1"/>
  <c r="K19" i="1" s="1"/>
  <c r="K22" i="1" s="1"/>
  <c r="K37" i="1" l="1"/>
  <c r="K43" i="1"/>
  <c r="E5" i="1"/>
  <c r="F5" i="1" s="1"/>
  <c r="E7" i="1"/>
  <c r="F7" i="1" s="1"/>
  <c r="K40" i="1"/>
</calcChain>
</file>

<file path=xl/sharedStrings.xml><?xml version="1.0" encoding="utf-8"?>
<sst xmlns="http://schemas.openxmlformats.org/spreadsheetml/2006/main" count="322" uniqueCount="61">
  <si>
    <t>copies/uL</t>
  </si>
  <si>
    <t>samples</t>
  </si>
  <si>
    <t>avg</t>
  </si>
  <si>
    <t>std</t>
  </si>
  <si>
    <t>drop size</t>
  </si>
  <si>
    <t>MOI 0.1 drops 0hr (broken)</t>
  </si>
  <si>
    <t>Increase</t>
  </si>
  <si>
    <t>Decrease</t>
  </si>
  <si>
    <t>um</t>
  </si>
  <si>
    <t>MOI 0.1 drops 18hr (broken)</t>
  </si>
  <si>
    <t/>
  </si>
  <si>
    <t>MOI 0.1 bulk 0hr</t>
  </si>
  <si>
    <t>drop volume</t>
  </si>
  <si>
    <t>MOI 0.1 bulk 18hr</t>
  </si>
  <si>
    <t>pL</t>
  </si>
  <si>
    <t>mock drops 18hr (broken)</t>
  </si>
  <si>
    <t>mock bulk 18hr</t>
  </si>
  <si>
    <t>cell loading (from images)</t>
  </si>
  <si>
    <t>NTC (water)</t>
  </si>
  <si>
    <t>cell concentration (drops)</t>
  </si>
  <si>
    <t>cells/mL</t>
  </si>
  <si>
    <t>Expected cells/drop</t>
  </si>
  <si>
    <t>Expected cell loading (Poisson)</t>
  </si>
  <si>
    <t>cell correction factor in drops</t>
  </si>
  <si>
    <t>cell concentration (bulk)</t>
  </si>
  <si>
    <t>MOI</t>
  </si>
  <si>
    <t>PFU/cell</t>
  </si>
  <si>
    <t>virus concentration</t>
  </si>
  <si>
    <t>PFU/mL</t>
  </si>
  <si>
    <t>fraction of cells infected</t>
  </si>
  <si>
    <t>Bulk burst size</t>
  </si>
  <si>
    <t>copies/infected cell</t>
  </si>
  <si>
    <t>Drop burst size</t>
  </si>
  <si>
    <t>Virus</t>
  </si>
  <si>
    <t>H1N1</t>
  </si>
  <si>
    <t>H3N2</t>
  </si>
  <si>
    <t>note</t>
  </si>
  <si>
    <t>manual setting</t>
  </si>
  <si>
    <t>0.04 thresh</t>
  </si>
  <si>
    <t>3-10 baseline</t>
  </si>
  <si>
    <t>auto settings</t>
  </si>
  <si>
    <t>Drop burst size (loading corr)</t>
  </si>
  <si>
    <t>Drop burst size (no corr)</t>
  </si>
  <si>
    <t>infection conditions</t>
  </si>
  <si>
    <t>cell infected at 1e6/well = 5e5/mL</t>
  </si>
  <si>
    <t>bulk incubation at 1e6/well = 5e5/mL</t>
  </si>
  <si>
    <t>drop incubation at 2e6/mL</t>
  </si>
  <si>
    <t>Broken Drops 0 hpi</t>
  </si>
  <si>
    <t>Broken Drops 18 hpi</t>
  </si>
  <si>
    <t>Bulk 0 hpi</t>
  </si>
  <si>
    <t>Bulk 18 hpi</t>
  </si>
  <si>
    <t>Trial</t>
  </si>
  <si>
    <t>CV(%)</t>
  </si>
  <si>
    <t>p 18 hpi</t>
  </si>
  <si>
    <t>p drops 18 hpi</t>
  </si>
  <si>
    <t>p bulk 18 hpi</t>
  </si>
  <si>
    <t>drop ratio</t>
  </si>
  <si>
    <t>bulk ratio</t>
  </si>
  <si>
    <t>bulk drop rario</t>
  </si>
  <si>
    <t>bulk delta</t>
  </si>
  <si>
    <t>drop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</si>
</sst>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1"/>
    <xf numFmtId="2" fontId="0" fillId="0" borderId="0" xfId="0" applyNumberFormat="1"/>
    <xf numFmtId="0" fontId="0" fillId="0" borderId="0" xfId="1" applyFont="1"/>
    <xf numFmtId="1" fontId="0" fillId="0" borderId="0" xfId="0" applyNumberForma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5615975977954"/>
          <c:y val="3.3447747878493327E-2"/>
          <c:w val="0.78873681499624659"/>
          <c:h val="0.87804738376660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'Pooled trials (best three)'!$C$1</c:f>
              <c:strCache>
                <c:ptCount val="1"/>
                <c:pt idx="0">
                  <c:v>Bulk 0 hpi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('Pooled trials (best three)'!$C$12,'Pooled trials (best three)'!$C$29)</c:f>
                <c:numCache>
                  <c:formatCode>General</c:formatCode>
                  <c:ptCount val="2"/>
                  <c:pt idx="0">
                    <c:v>2924.5155358541165</c:v>
                  </c:pt>
                  <c:pt idx="1">
                    <c:v>5589.3604460054075</c:v>
                  </c:pt>
                </c:numCache>
              </c:numRef>
            </c:plus>
            <c:minus>
              <c:numRef>
                <c:f>('Pooled trials (best three)'!$C$12,'Pooled trials (best three)'!$C$29)</c:f>
                <c:numCache>
                  <c:formatCode>General</c:formatCode>
                  <c:ptCount val="2"/>
                  <c:pt idx="0">
                    <c:v>2924.5155358541165</c:v>
                  </c:pt>
                  <c:pt idx="1">
                    <c:v>5589.3604460054075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('Pooled trials (best three)'!$A$2,'Pooled trials (best three)'!$A$19)</c:f>
              <c:strCache>
                <c:ptCount val="2"/>
                <c:pt idx="0">
                  <c:v>H3N2</c:v>
                </c:pt>
                <c:pt idx="1">
                  <c:v>H1N1</c:v>
                </c:pt>
              </c:strCache>
            </c:strRef>
          </c:cat>
          <c:val>
            <c:numRef>
              <c:f>('Pooled trials (best three)'!$C$11,'Pooled trials (best three)'!$C$28)</c:f>
              <c:numCache>
                <c:formatCode>General</c:formatCode>
                <c:ptCount val="2"/>
                <c:pt idx="0">
                  <c:v>3225.544334140583</c:v>
                </c:pt>
                <c:pt idx="1">
                  <c:v>6117.912798113608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E-46A7-B197-2DE4350BDF15}"/>
            </c:ext>
          </c:extLst>
        </c:ser>
        <c:ser>
          <c:idx val="1"/>
          <c:order val="1"/>
          <c:tx>
            <c:strRef>
              <c:f>'Pooled trials (best three)'!$D$1</c:f>
              <c:strCache>
                <c:ptCount val="1"/>
                <c:pt idx="0">
                  <c:v>Bulk 18 hpi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('Pooled trials (best three)'!$D$12,'Pooled trials (best three)'!$D$29)</c:f>
                <c:numCache>
                  <c:formatCode>General</c:formatCode>
                  <c:ptCount val="2"/>
                  <c:pt idx="0">
                    <c:v>526321.5259523011</c:v>
                  </c:pt>
                  <c:pt idx="1">
                    <c:v>652395.44517465006</c:v>
                  </c:pt>
                </c:numCache>
              </c:numRef>
            </c:plus>
            <c:minus>
              <c:numRef>
                <c:f>('Pooled trials (best three)'!$D$12,'Pooled trials (best three)'!$D$29)</c:f>
                <c:numCache>
                  <c:formatCode>General</c:formatCode>
                  <c:ptCount val="2"/>
                  <c:pt idx="0">
                    <c:v>526321.5259523011</c:v>
                  </c:pt>
                  <c:pt idx="1">
                    <c:v>652395.44517465006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('Pooled trials (best three)'!$A$2,'Pooled trials (best three)'!$A$19)</c:f>
              <c:strCache>
                <c:ptCount val="2"/>
                <c:pt idx="0">
                  <c:v>H3N2</c:v>
                </c:pt>
                <c:pt idx="1">
                  <c:v>H1N1</c:v>
                </c:pt>
              </c:strCache>
            </c:strRef>
          </c:cat>
          <c:val>
            <c:numRef>
              <c:f>('Pooled trials (best three)'!$D$11,'Pooled trials (best three)'!$D$28)</c:f>
              <c:numCache>
                <c:formatCode>General</c:formatCode>
                <c:ptCount val="2"/>
                <c:pt idx="0">
                  <c:v>1396696.1243307488</c:v>
                </c:pt>
                <c:pt idx="1">
                  <c:v>798275.14310882846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E-46A7-B197-2DE4350BDF15}"/>
            </c:ext>
          </c:extLst>
        </c:ser>
        <c:ser>
          <c:idx val="2"/>
          <c:order val="2"/>
          <c:tx>
            <c:strRef>
              <c:f>'Pooled trials (best three)'!$E$1</c:f>
              <c:strCache>
                <c:ptCount val="1"/>
                <c:pt idx="0">
                  <c:v>Broken Drops 0 hpi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('Pooled trials (best three)'!$E$12,'Pooled trials (best three)'!$E$29)</c:f>
                <c:numCache>
                  <c:formatCode>General</c:formatCode>
                  <c:ptCount val="2"/>
                  <c:pt idx="0">
                    <c:v>4814.0154320185393</c:v>
                  </c:pt>
                  <c:pt idx="1">
                    <c:v>24064.394022564069</c:v>
                  </c:pt>
                </c:numCache>
              </c:numRef>
            </c:plus>
            <c:minus>
              <c:numRef>
                <c:f>('Pooled trials (best three)'!$E$12,'Pooled trials (best three)'!$E$29)</c:f>
                <c:numCache>
                  <c:formatCode>General</c:formatCode>
                  <c:ptCount val="2"/>
                  <c:pt idx="0">
                    <c:v>4814.0154320185393</c:v>
                  </c:pt>
                  <c:pt idx="1">
                    <c:v>24064.394022564069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('Pooled trials (best three)'!$A$2,'Pooled trials (best three)'!$A$19)</c:f>
              <c:strCache>
                <c:ptCount val="2"/>
                <c:pt idx="0">
                  <c:v>H3N2</c:v>
                </c:pt>
                <c:pt idx="1">
                  <c:v>H1N1</c:v>
                </c:pt>
              </c:strCache>
            </c:strRef>
          </c:cat>
          <c:val>
            <c:numRef>
              <c:f>('Pooled trials (best three)'!$E$11,'Pooled trials (best three)'!$E$28)</c:f>
              <c:numCache>
                <c:formatCode>General</c:formatCode>
                <c:ptCount val="2"/>
                <c:pt idx="0">
                  <c:v>5937.1873184240367</c:v>
                </c:pt>
                <c:pt idx="1">
                  <c:v>60286.436493449881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E-46A7-B197-2DE4350BDF15}"/>
            </c:ext>
          </c:extLst>
        </c:ser>
        <c:ser>
          <c:idx val="3"/>
          <c:order val="3"/>
          <c:tx>
            <c:strRef>
              <c:f>'Pooled trials (best three)'!$F$1</c:f>
              <c:strCache>
                <c:ptCount val="1"/>
                <c:pt idx="0">
                  <c:v>Broken Drops 18 hpi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('Pooled trials (best three)'!$F$12,'Pooled trials (best three)'!$F$29)</c:f>
                <c:numCache>
                  <c:formatCode>General</c:formatCode>
                  <c:ptCount val="2"/>
                  <c:pt idx="0">
                    <c:v>4406026.7657555072</c:v>
                  </c:pt>
                  <c:pt idx="1">
                    <c:v>582817.4511167804</c:v>
                  </c:pt>
                </c:numCache>
              </c:numRef>
            </c:plus>
            <c:minus>
              <c:numRef>
                <c:f>('Pooled trials (best three)'!$F$12,'Pooled trials (best three)'!$F$29)</c:f>
                <c:numCache>
                  <c:formatCode>General</c:formatCode>
                  <c:ptCount val="2"/>
                  <c:pt idx="0">
                    <c:v>4406026.7657555072</c:v>
                  </c:pt>
                  <c:pt idx="1">
                    <c:v>582817.4511167804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('Pooled trials (best three)'!$A$2,'Pooled trials (best three)'!$A$19)</c:f>
              <c:strCache>
                <c:ptCount val="2"/>
                <c:pt idx="0">
                  <c:v>H3N2</c:v>
                </c:pt>
                <c:pt idx="1">
                  <c:v>H1N1</c:v>
                </c:pt>
              </c:strCache>
            </c:strRef>
          </c:cat>
          <c:val>
            <c:numRef>
              <c:f>('Pooled trials (best three)'!$F$11,'Pooled trials (best three)'!$F$28)</c:f>
              <c:numCache>
                <c:formatCode>General</c:formatCode>
                <c:ptCount val="2"/>
                <c:pt idx="0">
                  <c:v>9470191.1447337791</c:v>
                </c:pt>
                <c:pt idx="1">
                  <c:v>1896035.8755517383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E-46A7-B197-2DE4350B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i="1">
                    <a:solidFill>
                      <a:sysClr val="windowText" lastClr="000000"/>
                    </a:solidFill>
                  </a:rPr>
                  <a:t>C</a:t>
                </a:r>
                <a:r>
                  <a:rPr lang="en-US" sz="1600" baseline="-25000">
                    <a:solidFill>
                      <a:sysClr val="windowText" lastClr="000000"/>
                    </a:solidFill>
                  </a:rPr>
                  <a:t>RNA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 (copies/uL)</a:t>
                </a:r>
              </a:p>
            </c:rich>
          </c:tx>
          <c:layout>
            <c:manualLayout>
              <c:xMode val="edge"/>
              <c:yMode val="edge"/>
              <c:x val="8.7447488832360244E-3"/>
              <c:y val="0.28925211399572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0751215075151099"/>
          <c:y val="4.5385696082595482E-2"/>
          <c:w val="0.37121192237333972"/>
          <c:h val="0.197163639688664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'H3N2 (3-24-21)'!$O$23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F-4DD9-A2D0-304CD213C07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F-4DD9-A2D0-304CD213C073}"/>
              </c:ext>
            </c:extLst>
          </c:dPt>
          <c:errBars>
            <c:errBarType val="both"/>
            <c:errValType val="cust"/>
            <c:noEndCap val="0"/>
            <c:plus>
              <c:numRef>
                <c:f>'H3N2 (3-24-21)'!$D$4:$D$10</c:f>
                <c:numCache>
                  <c:formatCode>General</c:formatCode>
                  <c:ptCount val="7"/>
                  <c:pt idx="0">
                    <c:v>7409.6557146244804</c:v>
                  </c:pt>
                  <c:pt idx="1">
                    <c:v>554768.89643263596</c:v>
                  </c:pt>
                  <c:pt idx="2">
                    <c:v>329.81861764592202</c:v>
                  </c:pt>
                  <c:pt idx="3">
                    <c:v>279833.470439111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'H3N2 (3-24-21)'!$D$4:$D$10</c:f>
                <c:numCache>
                  <c:formatCode>General</c:formatCode>
                  <c:ptCount val="7"/>
                  <c:pt idx="0">
                    <c:v>7409.6557146244804</c:v>
                  </c:pt>
                  <c:pt idx="1">
                    <c:v>554768.89643263596</c:v>
                  </c:pt>
                  <c:pt idx="2">
                    <c:v>329.81861764592202</c:v>
                  </c:pt>
                  <c:pt idx="3">
                    <c:v>279833.470439111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'H3N2 (3-24-21)'!$B$4:$B$10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'H3N2 (3-24-21)'!$C$4:$C$10</c:f>
              <c:numCache>
                <c:formatCode>#,##0.000</c:formatCode>
                <c:ptCount val="7"/>
                <c:pt idx="0">
                  <c:v>8024.58555394839</c:v>
                </c:pt>
                <c:pt idx="1">
                  <c:v>4668845.1931258896</c:v>
                </c:pt>
                <c:pt idx="2">
                  <c:v>1453.2885464768699</c:v>
                </c:pt>
                <c:pt idx="3">
                  <c:v>1402363.0456085501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F-4DD9-A2D0-304CD213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'H3N2 (3-17-21)'!$O$23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4-4DEA-BAF7-3B7AD5BD439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4-4DEA-BAF7-3B7AD5BD439B}"/>
              </c:ext>
            </c:extLst>
          </c:dPt>
          <c:errBars>
            <c:errBarType val="both"/>
            <c:errValType val="cust"/>
            <c:noEndCap val="0"/>
            <c:plus>
              <c:numRef>
                <c:f>'H3N2 (3-17-21)'!$D$4:$D$10</c:f>
                <c:numCache>
                  <c:formatCode>General</c:formatCode>
                  <c:ptCount val="7"/>
                  <c:pt idx="0">
                    <c:v>6576.85205778401</c:v>
                  </c:pt>
                  <c:pt idx="1">
                    <c:v>4821001.9795851698</c:v>
                  </c:pt>
                  <c:pt idx="2">
                    <c:v>655.90726640795799</c:v>
                  </c:pt>
                  <c:pt idx="3">
                    <c:v>159731.05553910299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'H3N2 (3-17-21)'!$D$4:$D$10</c:f>
                <c:numCache>
                  <c:formatCode>General</c:formatCode>
                  <c:ptCount val="7"/>
                  <c:pt idx="0">
                    <c:v>6576.85205778401</c:v>
                  </c:pt>
                  <c:pt idx="1">
                    <c:v>4821001.9795851698</c:v>
                  </c:pt>
                  <c:pt idx="2">
                    <c:v>655.90726640795799</c:v>
                  </c:pt>
                  <c:pt idx="3">
                    <c:v>159731.05553910299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'H3N2 (3-17-21)'!$B$4:$B$10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'H3N2 (3-17-21)'!$C$4:$C$10</c:f>
              <c:numCache>
                <c:formatCode>#,##0.000</c:formatCode>
                <c:ptCount val="7"/>
                <c:pt idx="0">
                  <c:v>7382.4171517230398</c:v>
                </c:pt>
                <c:pt idx="1">
                  <c:v>12730479.383487299</c:v>
                </c:pt>
                <c:pt idx="2">
                  <c:v>3117.4428335160801</c:v>
                </c:pt>
                <c:pt idx="3">
                  <c:v>854678.85922223201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4-4DEA-BAF7-3B7AD5BD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'H3N2 (2-26-21)'!$O$23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3-49F3-94DA-42F56C2DF60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3-49F3-94DA-42F56C2DF60F}"/>
              </c:ext>
            </c:extLst>
          </c:dPt>
          <c:errBars>
            <c:errBarType val="both"/>
            <c:errValType val="cust"/>
            <c:noEndCap val="0"/>
            <c:plus>
              <c:numRef>
                <c:f>'H3N2 (2-26-21)'!$D$4:$D$10</c:f>
                <c:numCache>
                  <c:formatCode>General</c:formatCode>
                  <c:ptCount val="7"/>
                  <c:pt idx="0">
                    <c:v>2383.20833325483</c:v>
                  </c:pt>
                  <c:pt idx="1">
                    <c:v>128712.83897258699</c:v>
                  </c:pt>
                  <c:pt idx="2">
                    <c:v>4878.2293882020103</c:v>
                  </c:pt>
                  <c:pt idx="3">
                    <c:v>363327.44452036102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'H3N2 (2-26-21)'!$D$4:$D$10</c:f>
                <c:numCache>
                  <c:formatCode>General</c:formatCode>
                  <c:ptCount val="7"/>
                  <c:pt idx="0">
                    <c:v>2383.20833325483</c:v>
                  </c:pt>
                  <c:pt idx="1">
                    <c:v>128712.83897258699</c:v>
                  </c:pt>
                  <c:pt idx="2">
                    <c:v>4878.2293882020103</c:v>
                  </c:pt>
                  <c:pt idx="3">
                    <c:v>363327.44452036102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'H3N2 (2-26-21)'!$B$4:$B$10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'H3N2 (2-26-21)'!$C$4:$C$10</c:f>
              <c:numCache>
                <c:formatCode>#,##0.000</c:formatCode>
                <c:ptCount val="7"/>
                <c:pt idx="0">
                  <c:v>3582.10193920846</c:v>
                </c:pt>
                <c:pt idx="1">
                  <c:v>11011248.857588001</c:v>
                </c:pt>
                <c:pt idx="2">
                  <c:v>4515.1496932075497</c:v>
                </c:pt>
                <c:pt idx="3">
                  <c:v>1933046.46816145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3-49F3-94DA-42F56C2D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'H1N1 (2-24-21)'!$O$23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8-4B94-ABD4-8D9E3D3BB08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8-4B94-ABD4-8D9E3D3BB087}"/>
              </c:ext>
            </c:extLst>
          </c:dPt>
          <c:errBars>
            <c:errBarType val="both"/>
            <c:errValType val="cust"/>
            <c:noEndCap val="0"/>
            <c:plus>
              <c:numRef>
                <c:f>'H1N1 (2-24-21)'!$D$4:$D$10</c:f>
                <c:numCache>
                  <c:formatCode>General</c:formatCode>
                  <c:ptCount val="7"/>
                  <c:pt idx="0">
                    <c:v>5402.2554779594702</c:v>
                  </c:pt>
                  <c:pt idx="1">
                    <c:v>434928.37363588199</c:v>
                  </c:pt>
                  <c:pt idx="2">
                    <c:v>1370.86963097486</c:v>
                  </c:pt>
                  <c:pt idx="3">
                    <c:v>68652.468251291197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'H1N1 (2-24-21)'!$D$4:$D$10</c:f>
                <c:numCache>
                  <c:formatCode>General</c:formatCode>
                  <c:ptCount val="7"/>
                  <c:pt idx="0">
                    <c:v>5402.2554779594702</c:v>
                  </c:pt>
                  <c:pt idx="1">
                    <c:v>434928.37363588199</c:v>
                  </c:pt>
                  <c:pt idx="2">
                    <c:v>1370.86963097486</c:v>
                  </c:pt>
                  <c:pt idx="3">
                    <c:v>68652.468251291197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'H1N1 (2-24-21)'!$B$4:$B$10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'H1N1 (2-24-21)'!$C$4:$C$10</c:f>
              <c:numCache>
                <c:formatCode>#,##0.000</c:formatCode>
                <c:ptCount val="7"/>
                <c:pt idx="0">
                  <c:v>57856.946561709301</c:v>
                </c:pt>
                <c:pt idx="1">
                  <c:v>1414736.5516327601</c:v>
                </c:pt>
                <c:pt idx="2">
                  <c:v>11955.4626998287</c:v>
                </c:pt>
                <c:pt idx="3">
                  <c:v>257268.571615414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8-4B94-ABD4-8D9E3D3B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'H1N1 (2-19-21)'!$O$23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3-44C2-8E2F-535AE0DE092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3-44C2-8E2F-535AE0DE0924}"/>
              </c:ext>
            </c:extLst>
          </c:dPt>
          <c:errBars>
            <c:errBarType val="both"/>
            <c:errValType val="cust"/>
            <c:noEndCap val="0"/>
            <c:plus>
              <c:numRef>
                <c:f>'H1N1 (2-19-21)'!$D$4:$D$10</c:f>
                <c:numCache>
                  <c:formatCode>General</c:formatCode>
                  <c:ptCount val="7"/>
                  <c:pt idx="0">
                    <c:v>15435.1780632386</c:v>
                  </c:pt>
                  <c:pt idx="1">
                    <c:v>521625.01371688402</c:v>
                  </c:pt>
                  <c:pt idx="2">
                    <c:v>238.39380187602299</c:v>
                  </c:pt>
                  <c:pt idx="3">
                    <c:v>123244.418133004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'H1N1 (2-19-21)'!$D$4:$D$10</c:f>
                <c:numCache>
                  <c:formatCode>General</c:formatCode>
                  <c:ptCount val="7"/>
                  <c:pt idx="0">
                    <c:v>15435.1780632386</c:v>
                  </c:pt>
                  <c:pt idx="1">
                    <c:v>521625.01371688402</c:v>
                  </c:pt>
                  <c:pt idx="2">
                    <c:v>238.39380187602299</c:v>
                  </c:pt>
                  <c:pt idx="3">
                    <c:v>123244.418133004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'H1N1 (2-19-21)'!$B$4:$B$10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'H1N1 (2-19-21)'!$C$4:$C$10</c:f>
              <c:numCache>
                <c:formatCode>#,##0.000</c:formatCode>
                <c:ptCount val="7"/>
                <c:pt idx="0">
                  <c:v>39144.317197301702</c:v>
                </c:pt>
                <c:pt idx="1">
                  <c:v>1829036.4383781201</c:v>
                </c:pt>
                <c:pt idx="2">
                  <c:v>6538.4571427112696</c:v>
                </c:pt>
                <c:pt idx="3">
                  <c:v>1532541.8618836701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3-44C2-8E2F-535AE0DE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'H1N1 (2-12-21)'!$O$23</c:f>
              <c:strCache>
                <c:ptCount val="1"/>
              </c:strCache>
            </c:strRef>
          </c:tx>
          <c:spPr>
            <a:solidFill>
              <a:schemeClr val="bg2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9-4C27-8DC7-EF46120E85D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 w="63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9-4C27-8DC7-EF46120E85DA}"/>
              </c:ext>
            </c:extLst>
          </c:dPt>
          <c:errBars>
            <c:errBarType val="both"/>
            <c:errValType val="cust"/>
            <c:noEndCap val="0"/>
            <c:plus>
              <c:numRef>
                <c:f>'H1N1 (2-12-21)'!$D$4:$D$10</c:f>
                <c:numCache>
                  <c:formatCode>General</c:formatCode>
                  <c:ptCount val="7"/>
                  <c:pt idx="0">
                    <c:v>23155.616288925099</c:v>
                  </c:pt>
                  <c:pt idx="1">
                    <c:v>303801.14774833102</c:v>
                  </c:pt>
                  <c:pt idx="2">
                    <c:v>0</c:v>
                  </c:pt>
                  <c:pt idx="3">
                    <c:v>615466.57561606995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'H1N1 (2-12-21)'!$D$4:$D$10</c:f>
                <c:numCache>
                  <c:formatCode>General</c:formatCode>
                  <c:ptCount val="7"/>
                  <c:pt idx="0">
                    <c:v>23155.616288925099</c:v>
                  </c:pt>
                  <c:pt idx="1">
                    <c:v>303801.14774833102</c:v>
                  </c:pt>
                  <c:pt idx="2">
                    <c:v>0</c:v>
                  </c:pt>
                  <c:pt idx="3">
                    <c:v>615466.57561606995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'H1N1 (2-12-21)'!$B$4:$B$10</c:f>
              <c:strCache>
                <c:ptCount val="7"/>
                <c:pt idx="0">
                  <c:v>MOI 0.1 drops 0hr (broken)</c:v>
                </c:pt>
                <c:pt idx="1">
                  <c:v>MOI 0.1 drops 18hr (broken)</c:v>
                </c:pt>
                <c:pt idx="2">
                  <c:v>MOI 0.1 bulk 0hr</c:v>
                </c:pt>
                <c:pt idx="3">
                  <c:v>MOI 0.1 bulk 18hr</c:v>
                </c:pt>
                <c:pt idx="4">
                  <c:v>mock drops 18hr (broken)</c:v>
                </c:pt>
                <c:pt idx="5">
                  <c:v>mock bulk 18hr</c:v>
                </c:pt>
                <c:pt idx="6">
                  <c:v>NTC (water)</c:v>
                </c:pt>
              </c:strCache>
            </c:strRef>
          </c:cat>
          <c:val>
            <c:numRef>
              <c:f>'H1N1 (2-12-21)'!$C$4:$C$10</c:f>
              <c:numCache>
                <c:formatCode>#,##0.000</c:formatCode>
                <c:ptCount val="7"/>
                <c:pt idx="0">
                  <c:v>83858.045721338494</c:v>
                </c:pt>
                <c:pt idx="1">
                  <c:v>2444334.6366443201</c:v>
                </c:pt>
                <c:pt idx="2">
                  <c:v>0</c:v>
                </c:pt>
                <c:pt idx="3">
                  <c:v>605014.99582739896</c:v>
                </c:pt>
                <c:pt idx="4">
                  <c:v>0</c:v>
                </c:pt>
                <c:pt idx="5" formatCode="General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C27-8DC7-EF46120E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213903"/>
        <c:axId val="1746954607"/>
      </c:barChart>
      <c:catAx>
        <c:axId val="18302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6954607"/>
        <c:crosses val="autoZero"/>
        <c:auto val="1"/>
        <c:lblAlgn val="ctr"/>
        <c:lblOffset val="100"/>
        <c:noMultiLvlLbl val="0"/>
      </c:catAx>
      <c:valAx>
        <c:axId val="1746954607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M</a:t>
                </a:r>
                <a:r>
                  <a:rPr lang="en-US" sz="1200" baseline="0"/>
                  <a:t> gene </a:t>
                </a:r>
                <a:r>
                  <a:rPr lang="en-US" sz="1200"/>
                  <a:t>C</a:t>
                </a:r>
                <a:r>
                  <a:rPr lang="en-US" sz="1200" baseline="-25000"/>
                  <a:t>RNA</a:t>
                </a:r>
                <a:r>
                  <a:rPr lang="en-US" sz="1200"/>
                  <a:t> (copies/uL)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" sourceLinked="0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213903"/>
        <c:crosses val="autoZero"/>
        <c:crossBetween val="between"/>
      </c:valAx>
      <c:spPr>
        <a:noFill/>
        <a:ln w="63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6</xdr:row>
      <xdr:rowOff>38100</xdr:rowOff>
    </xdr:from>
    <xdr:to>
      <xdr:col>21</xdr:col>
      <xdr:colOff>180975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F8056-5CCB-4964-9EF2-CDC941BF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988695</xdr:colOff>
      <xdr:row>13</xdr:row>
      <xdr:rowOff>70485</xdr:rowOff>
    </xdr:from>
    <xdr:to>
      <xdr:col>7</xdr:col>
      <xdr:colOff>436245</xdr:colOff>
      <xdr:row>39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2DA2F-D2F0-409F-8E06-AC601E5F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1224915</xdr:colOff>
      <xdr:row>12</xdr:row>
      <xdr:rowOff>123825</xdr:rowOff>
    </xdr:from>
    <xdr:to>
      <xdr:col>8</xdr:col>
      <xdr:colOff>62865</xdr:colOff>
      <xdr:row>39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1043940</xdr:colOff>
      <xdr:row>12</xdr:row>
      <xdr:rowOff>114300</xdr:rowOff>
    </xdr:from>
    <xdr:to>
      <xdr:col>7</xdr:col>
      <xdr:colOff>567690</xdr:colOff>
      <xdr:row>39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15</xdr:row>
      <xdr:rowOff>60960</xdr:rowOff>
    </xdr:from>
    <xdr:to>
      <xdr:col>7</xdr:col>
      <xdr:colOff>140970</xdr:colOff>
      <xdr:row>41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15</xdr:row>
      <xdr:rowOff>60960</xdr:rowOff>
    </xdr:from>
    <xdr:to>
      <xdr:col>7</xdr:col>
      <xdr:colOff>140970</xdr:colOff>
      <xdr:row>41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15</xdr:row>
      <xdr:rowOff>60960</xdr:rowOff>
    </xdr:from>
    <xdr:to>
      <xdr:col>7</xdr:col>
      <xdr:colOff>140970</xdr:colOff>
      <xdr:row>41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MSU/Lab/PCR%20Chip/PCR%20Drop%20Detection/3-24-21%20MOI%200.1%20(H3N2)%20burst%20size%20rep3/QS7%20data/PCR%20results%203-24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M gene"/>
      <sheetName val="B actin"/>
    </sheetNames>
    <sheetDataSet>
      <sheetData sheetId="0">
        <row r="5">
          <cell r="D5">
            <v>1453.2885464768699</v>
          </cell>
          <cell r="E5">
            <v>329.81861764592202</v>
          </cell>
        </row>
        <row r="7">
          <cell r="D7">
            <v>1402363.0456085501</v>
          </cell>
          <cell r="E7">
            <v>279833.470439111</v>
          </cell>
        </row>
        <row r="11">
          <cell r="D11">
            <v>8024.58555394839</v>
          </cell>
          <cell r="E11">
            <v>7409.6557146244804</v>
          </cell>
        </row>
        <row r="13">
          <cell r="D13">
            <v>4668845.1931258896</v>
          </cell>
          <cell r="E13">
            <v>554768.89643263596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E4C4-38AF-4D0D-A600-B56D3A6445C3}">
  <dimension ref="A1:M39"/>
  <sheetViews>
    <sheetView tabSelected="1" workbookViewId="0">
      <selection activeCell="E16" sqref="E16"/>
    </sheetView>
  </sheetViews>
  <sheetFormatPr defaultRowHeight="12.75"/>
  <cols>
    <col min="2" max="2" width="6.42578125" bestFit="1" customWidth="1"/>
    <col min="3" max="3" width="9.28515625" bestFit="1" customWidth="1"/>
    <col min="4" max="4" width="10.28515625" bestFit="1" customWidth="1"/>
    <col min="5" max="5" width="17" bestFit="1" customWidth="1"/>
    <col min="6" max="6" width="18.140625" bestFit="1" customWidth="1"/>
    <col min="8" max="8" width="12.42578125" bestFit="1" customWidth="1"/>
    <col min="10" max="10" width="10" bestFit="1" customWidth="1"/>
    <col min="13" max="13" width="12.42578125" bestFit="1" customWidth="1"/>
  </cols>
  <sheetData>
    <row r="1" spans="1:13">
      <c r="A1" t="s">
        <v>33</v>
      </c>
      <c r="B1" t="s">
        <v>51</v>
      </c>
      <c r="C1" s="4" t="s">
        <v>49</v>
      </c>
      <c r="D1" s="2" t="s">
        <v>50</v>
      </c>
      <c r="E1" s="4" t="s">
        <v>47</v>
      </c>
      <c r="F1" s="4" t="s">
        <v>48</v>
      </c>
      <c r="J1" t="s">
        <v>59</v>
      </c>
      <c r="K1" t="s">
        <v>60</v>
      </c>
    </row>
    <row r="2" spans="1:13" ht="15">
      <c r="A2" t="s">
        <v>35</v>
      </c>
      <c r="B2">
        <v>1</v>
      </c>
      <c r="C2" s="12">
        <v>1792.7162928096029</v>
      </c>
      <c r="D2" s="12">
        <v>1564666.8184901469</v>
      </c>
      <c r="E2" s="12">
        <v>1513.2643453403127</v>
      </c>
      <c r="F2" s="12">
        <v>11079649.009630483</v>
      </c>
      <c r="H2" t="s">
        <v>53</v>
      </c>
      <c r="J2">
        <f>D2-C2</f>
        <v>1562874.1021973372</v>
      </c>
      <c r="K2">
        <f>F2-E2</f>
        <v>11078135.745285142</v>
      </c>
      <c r="M2" t="s">
        <v>53</v>
      </c>
    </row>
    <row r="3" spans="1:13" ht="15">
      <c r="A3" t="s">
        <v>35</v>
      </c>
      <c r="B3">
        <v>1</v>
      </c>
      <c r="C3" s="12">
        <v>1605.7236725486837</v>
      </c>
      <c r="D3" s="12">
        <v>1943370.9507844392</v>
      </c>
      <c r="E3" s="12">
        <v>3045.0197920309411</v>
      </c>
      <c r="F3" s="12">
        <v>10862776.915751984</v>
      </c>
      <c r="H3">
        <f>TTEST(D2:D10,F2:F10,2,2)</f>
        <v>5.2576780921302815E-5</v>
      </c>
      <c r="J3">
        <f t="shared" ref="J3:J10" si="0">D3-C3</f>
        <v>1941765.2271118904</v>
      </c>
      <c r="K3">
        <f t="shared" ref="K3:K10" si="1">F3-E3</f>
        <v>10859731.895959953</v>
      </c>
      <c r="M3">
        <f>TTEST(J2:J10,K2:K10,2,2)</f>
        <v>5.2554117033087958E-5</v>
      </c>
    </row>
    <row r="4" spans="1:13" ht="15">
      <c r="A4" t="s">
        <v>35</v>
      </c>
      <c r="B4">
        <v>1</v>
      </c>
      <c r="C4" s="12">
        <v>10147.009114264372</v>
      </c>
      <c r="D4" s="12">
        <v>2291101.635209782</v>
      </c>
      <c r="E4" s="12">
        <v>6188.0216802541427</v>
      </c>
      <c r="F4" s="12">
        <v>11091320.647381751</v>
      </c>
      <c r="J4">
        <f t="shared" si="0"/>
        <v>2280954.6260955175</v>
      </c>
      <c r="K4">
        <f t="shared" si="1"/>
        <v>11085132.625701496</v>
      </c>
    </row>
    <row r="5" spans="1:13" ht="15">
      <c r="A5" t="s">
        <v>35</v>
      </c>
      <c r="B5">
        <v>2</v>
      </c>
      <c r="C5" s="12">
        <v>2642.9710884842398</v>
      </c>
      <c r="D5" s="12">
        <v>1018817.870646101</v>
      </c>
      <c r="F5" s="12">
        <v>11140125.062537035</v>
      </c>
      <c r="J5">
        <f t="shared" si="0"/>
        <v>1016174.8995576167</v>
      </c>
      <c r="K5">
        <f t="shared" si="1"/>
        <v>11140125.062537035</v>
      </c>
    </row>
    <row r="6" spans="1:13" ht="15">
      <c r="A6" t="s">
        <v>35</v>
      </c>
      <c r="B6">
        <v>2</v>
      </c>
      <c r="C6" s="12">
        <v>3865.9240135914861</v>
      </c>
      <c r="D6" s="12">
        <v>845463.99509360944</v>
      </c>
      <c r="E6" s="12">
        <v>2731.8804628032653</v>
      </c>
      <c r="F6" s="12">
        <v>8905576.4648361932</v>
      </c>
      <c r="J6">
        <f t="shared" si="0"/>
        <v>841598.07108001795</v>
      </c>
      <c r="K6">
        <f t="shared" si="1"/>
        <v>8902844.5843733903</v>
      </c>
    </row>
    <row r="7" spans="1:13" ht="15">
      <c r="A7" t="s">
        <v>35</v>
      </c>
      <c r="B7">
        <v>2</v>
      </c>
      <c r="C7" s="12">
        <v>2843.4333984725213</v>
      </c>
      <c r="D7" s="12">
        <v>699754.71192698786</v>
      </c>
      <c r="E7" s="12">
        <v>12032.953840642816</v>
      </c>
      <c r="F7" s="12">
        <v>18145736.623088885</v>
      </c>
      <c r="H7" s="4"/>
      <c r="J7">
        <f t="shared" si="0"/>
        <v>696911.27852851537</v>
      </c>
      <c r="K7">
        <f t="shared" si="1"/>
        <v>18133703.669248242</v>
      </c>
    </row>
    <row r="8" spans="1:13" ht="15">
      <c r="A8" t="s">
        <v>35</v>
      </c>
      <c r="B8">
        <v>3</v>
      </c>
      <c r="C8" s="13">
        <v>1686.5055275758843</v>
      </c>
      <c r="D8" s="13">
        <v>1422865.6082686044</v>
      </c>
      <c r="F8" s="13">
        <v>4795589.9740262274</v>
      </c>
      <c r="J8">
        <f t="shared" si="0"/>
        <v>1421179.1027410284</v>
      </c>
      <c r="K8">
        <f t="shared" si="1"/>
        <v>4795589.9740262274</v>
      </c>
    </row>
    <row r="9" spans="1:13" ht="15">
      <c r="A9" t="s">
        <v>35</v>
      </c>
      <c r="B9">
        <v>3</v>
      </c>
      <c r="C9" s="13">
        <v>1220.0715653778752</v>
      </c>
      <c r="D9" s="13">
        <v>1112842.1725373722</v>
      </c>
      <c r="E9" s="13">
        <v>2785.1677518797628</v>
      </c>
      <c r="F9" s="13">
        <v>5149274.5577620594</v>
      </c>
      <c r="J9">
        <f t="shared" si="0"/>
        <v>1111622.1009719945</v>
      </c>
      <c r="K9">
        <f t="shared" si="1"/>
        <v>5146489.39001018</v>
      </c>
    </row>
    <row r="10" spans="1:13" ht="15">
      <c r="A10" t="s">
        <v>35</v>
      </c>
      <c r="B10">
        <v>3</v>
      </c>
      <c r="D10" s="13">
        <v>1671381.356019696</v>
      </c>
      <c r="E10" s="13">
        <v>13264.003356017018</v>
      </c>
      <c r="F10" s="13">
        <v>4061671.0475893873</v>
      </c>
      <c r="J10">
        <f t="shared" si="0"/>
        <v>1671381.356019696</v>
      </c>
      <c r="K10">
        <f t="shared" si="1"/>
        <v>4048407.0442333701</v>
      </c>
    </row>
    <row r="11" spans="1:13">
      <c r="B11" t="s">
        <v>2</v>
      </c>
      <c r="C11">
        <f>AVERAGE(C2:C10)</f>
        <v>3225.544334140583</v>
      </c>
      <c r="D11">
        <f t="shared" ref="D11:F11" si="2">AVERAGE(D2:D10)</f>
        <v>1396696.1243307488</v>
      </c>
      <c r="E11">
        <f t="shared" si="2"/>
        <v>5937.1873184240367</v>
      </c>
      <c r="F11">
        <f t="shared" si="2"/>
        <v>9470191.1447337791</v>
      </c>
    </row>
    <row r="12" spans="1:13">
      <c r="B12" t="s">
        <v>3</v>
      </c>
      <c r="C12">
        <f>_xlfn.STDEV.S(C2:C10)</f>
        <v>2924.5155358541165</v>
      </c>
      <c r="D12">
        <f t="shared" ref="D12:F12" si="3">_xlfn.STDEV.S(D2:D10)</f>
        <v>526321.5259523011</v>
      </c>
      <c r="E12">
        <f t="shared" si="3"/>
        <v>4814.0154320185393</v>
      </c>
      <c r="F12">
        <f t="shared" si="3"/>
        <v>4406026.7657555072</v>
      </c>
    </row>
    <row r="13" spans="1:13">
      <c r="B13" t="s">
        <v>52</v>
      </c>
      <c r="C13">
        <f>C12/C11*100</f>
        <v>90.667348915336703</v>
      </c>
      <c r="D13">
        <f t="shared" ref="D13:F13" si="4">D12/D11*100</f>
        <v>37.683324008971333</v>
      </c>
      <c r="E13">
        <f t="shared" si="4"/>
        <v>81.082424620154455</v>
      </c>
      <c r="F13">
        <f t="shared" si="4"/>
        <v>46.525214733449474</v>
      </c>
    </row>
    <row r="15" spans="1:13">
      <c r="E15" t="s">
        <v>58</v>
      </c>
    </row>
    <row r="16" spans="1:13">
      <c r="E16">
        <f>F11/D11</f>
        <v>6.7804234434112045</v>
      </c>
    </row>
    <row r="18" spans="1:13">
      <c r="J18" t="s">
        <v>59</v>
      </c>
      <c r="K18" t="s">
        <v>60</v>
      </c>
    </row>
    <row r="19" spans="1:13" ht="15">
      <c r="A19" t="s">
        <v>34</v>
      </c>
      <c r="B19">
        <v>1</v>
      </c>
      <c r="C19">
        <v>0</v>
      </c>
      <c r="D19" s="12">
        <v>210322.22815800866</v>
      </c>
      <c r="E19" s="12">
        <v>90451.943065240339</v>
      </c>
      <c r="F19" s="12">
        <v>2117604.5534989168</v>
      </c>
      <c r="H19" t="s">
        <v>53</v>
      </c>
      <c r="J19">
        <f>D19-C19</f>
        <v>210322.22815800866</v>
      </c>
      <c r="K19">
        <f>F19-E19</f>
        <v>2027152.6104336765</v>
      </c>
      <c r="M19" t="s">
        <v>53</v>
      </c>
    </row>
    <row r="20" spans="1:13" ht="15">
      <c r="A20" t="s">
        <v>34</v>
      </c>
      <c r="B20">
        <v>1</v>
      </c>
      <c r="C20">
        <v>0</v>
      </c>
      <c r="D20" s="12">
        <v>290538.8322272643</v>
      </c>
      <c r="E20" s="12">
        <v>103001.52828596365</v>
      </c>
      <c r="F20" s="12">
        <v>2718292.2952809627</v>
      </c>
      <c r="H20">
        <f>TTEST(D19:D27,F19:F27,2,2)</f>
        <v>1.6948628268899926E-3</v>
      </c>
      <c r="J20">
        <f t="shared" ref="J20:J27" si="5">D20-C20</f>
        <v>290538.8322272643</v>
      </c>
      <c r="K20">
        <f t="shared" ref="K20:K27" si="6">F20-E20</f>
        <v>2615290.7669949993</v>
      </c>
      <c r="M20">
        <f>TTEST(J19:J27,K19:K27,2,2)</f>
        <v>2.4483306360730517E-3</v>
      </c>
    </row>
    <row r="21" spans="1:13" ht="15">
      <c r="A21" t="s">
        <v>34</v>
      </c>
      <c r="B21">
        <v>1</v>
      </c>
      <c r="C21">
        <v>0</v>
      </c>
      <c r="D21" s="12">
        <v>1314183.9270969257</v>
      </c>
      <c r="E21" s="12">
        <v>58120.66581281153</v>
      </c>
      <c r="F21" s="12">
        <v>2497107.0611530859</v>
      </c>
      <c r="J21">
        <f t="shared" si="5"/>
        <v>1314183.9270969257</v>
      </c>
      <c r="K21">
        <f t="shared" si="6"/>
        <v>2438986.3953402746</v>
      </c>
    </row>
    <row r="22" spans="1:13" ht="15">
      <c r="A22" t="s">
        <v>34</v>
      </c>
      <c r="B22">
        <v>2</v>
      </c>
      <c r="C22" s="12">
        <v>6369.8872688118945</v>
      </c>
      <c r="D22" s="12">
        <v>1546334.9917353678</v>
      </c>
      <c r="E22" s="12">
        <v>26870.689432478153</v>
      </c>
      <c r="F22" s="12">
        <v>2431106.0595852453</v>
      </c>
      <c r="J22">
        <f t="shared" si="5"/>
        <v>1539965.1044665559</v>
      </c>
      <c r="K22">
        <f t="shared" si="6"/>
        <v>2404235.3701527673</v>
      </c>
    </row>
    <row r="23" spans="1:13" ht="15">
      <c r="A23" t="s">
        <v>34</v>
      </c>
      <c r="B23">
        <v>2</v>
      </c>
      <c r="D23" s="12">
        <v>1648309.4676745147</v>
      </c>
      <c r="E23" s="12">
        <v>34089.023683794032</v>
      </c>
      <c r="F23" s="12">
        <v>1512942.3001078088</v>
      </c>
      <c r="J23">
        <f t="shared" si="5"/>
        <v>1648309.4676745147</v>
      </c>
      <c r="K23">
        <f t="shared" si="6"/>
        <v>1478853.2764240147</v>
      </c>
    </row>
    <row r="24" spans="1:13" ht="15">
      <c r="A24" t="s">
        <v>34</v>
      </c>
      <c r="B24">
        <v>2</v>
      </c>
      <c r="C24" s="12">
        <v>6707.027016610652</v>
      </c>
      <c r="D24" s="12">
        <v>1402981.1262411317</v>
      </c>
      <c r="E24" s="12">
        <v>56473.238475633196</v>
      </c>
      <c r="F24" s="12">
        <v>1543060.9554413168</v>
      </c>
      <c r="J24">
        <f t="shared" si="5"/>
        <v>1396274.0992245211</v>
      </c>
      <c r="K24">
        <f t="shared" si="6"/>
        <v>1486587.7169656837</v>
      </c>
    </row>
    <row r="25" spans="1:13" ht="15">
      <c r="A25" t="s">
        <v>34</v>
      </c>
      <c r="B25">
        <v>3</v>
      </c>
      <c r="C25" s="12">
        <v>10874.255514150558</v>
      </c>
      <c r="D25" s="12">
        <v>221577.9194938459</v>
      </c>
      <c r="E25" s="12">
        <v>63300.213973045808</v>
      </c>
      <c r="F25" s="12">
        <v>1106743.1886403575</v>
      </c>
      <c r="J25">
        <f t="shared" si="5"/>
        <v>210703.66397969535</v>
      </c>
      <c r="K25">
        <f t="shared" si="6"/>
        <v>1043442.9746673116</v>
      </c>
    </row>
    <row r="26" spans="1:13" ht="15">
      <c r="A26" t="s">
        <v>34</v>
      </c>
      <c r="B26">
        <v>3</v>
      </c>
      <c r="C26" s="12">
        <v>13497.328901256415</v>
      </c>
      <c r="D26" s="12">
        <v>213813.04604795919</v>
      </c>
      <c r="E26" s="12">
        <v>57773.966710879809</v>
      </c>
      <c r="F26" s="12">
        <v>1912270.3584269867</v>
      </c>
      <c r="J26">
        <f t="shared" si="5"/>
        <v>200315.71714670278</v>
      </c>
      <c r="K26">
        <f t="shared" si="6"/>
        <v>1854496.391716107</v>
      </c>
    </row>
    <row r="27" spans="1:13" ht="15">
      <c r="A27" t="s">
        <v>34</v>
      </c>
      <c r="B27">
        <v>3</v>
      </c>
      <c r="C27" s="12">
        <v>11494.803684079343</v>
      </c>
      <c r="D27" s="12">
        <v>336414.74930443818</v>
      </c>
      <c r="E27" s="12">
        <v>52496.659001202446</v>
      </c>
      <c r="F27" s="12">
        <v>1225196.1078309629</v>
      </c>
      <c r="J27">
        <f t="shared" si="5"/>
        <v>324919.94562035886</v>
      </c>
      <c r="K27">
        <f t="shared" si="6"/>
        <v>1172699.4488297603</v>
      </c>
    </row>
    <row r="28" spans="1:13">
      <c r="B28" t="s">
        <v>2</v>
      </c>
      <c r="C28">
        <f>AVERAGE(C19:C27)</f>
        <v>6117.912798113608</v>
      </c>
      <c r="D28">
        <f>AVERAGE(D19:D27)</f>
        <v>798275.14310882846</v>
      </c>
      <c r="E28">
        <f>AVERAGE(E19:E27)</f>
        <v>60286.436493449881</v>
      </c>
      <c r="F28">
        <f>AVERAGE(F19:F27)</f>
        <v>1896035.8755517383</v>
      </c>
    </row>
    <row r="29" spans="1:13">
      <c r="B29" t="s">
        <v>3</v>
      </c>
      <c r="C29">
        <f>_xlfn.STDEV.S(C19:C27)</f>
        <v>5589.3604460054075</v>
      </c>
      <c r="D29">
        <f>_xlfn.STDEV.S(D19:D27)</f>
        <v>652395.44517465006</v>
      </c>
      <c r="E29">
        <f>_xlfn.STDEV.S(E19:E27)</f>
        <v>24064.394022564069</v>
      </c>
      <c r="F29">
        <f>_xlfn.STDEV.S(F19:F27)</f>
        <v>582817.4511167804</v>
      </c>
    </row>
    <row r="30" spans="1:13">
      <c r="B30" t="s">
        <v>52</v>
      </c>
      <c r="C30">
        <f>C29/C28*100</f>
        <v>91.360577217263156</v>
      </c>
      <c r="D30">
        <f t="shared" ref="D30:F30" si="7">D29/D28*100</f>
        <v>81.725636931890449</v>
      </c>
      <c r="E30">
        <f t="shared" si="7"/>
        <v>39.916763076846756</v>
      </c>
      <c r="F30">
        <f t="shared" si="7"/>
        <v>30.738735412755997</v>
      </c>
    </row>
    <row r="32" spans="1:13">
      <c r="D32" t="s">
        <v>55</v>
      </c>
      <c r="F32" t="s">
        <v>54</v>
      </c>
    </row>
    <row r="33" spans="4:6">
      <c r="D33">
        <f>TTEST(D2:D10,D19:D27,2,2)</f>
        <v>4.7949531316073483E-2</v>
      </c>
      <c r="F33">
        <f>TTEST(F2:F7,F19:F27,2,2)</f>
        <v>4.073792954560523E-7</v>
      </c>
    </row>
    <row r="35" spans="4:6">
      <c r="D35" t="s">
        <v>57</v>
      </c>
      <c r="F35" t="s">
        <v>56</v>
      </c>
    </row>
    <row r="36" spans="4:6">
      <c r="D36">
        <f>D11/D28</f>
        <v>1.7496425090870429</v>
      </c>
      <c r="F36">
        <f>F11/F28</f>
        <v>4.994732044285815</v>
      </c>
    </row>
    <row r="38" spans="4:6">
      <c r="E38" t="s">
        <v>58</v>
      </c>
    </row>
    <row r="39" spans="4:6">
      <c r="E39">
        <f>F28/D28</f>
        <v>2.3751658709649344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F719-ED30-4929-A2CF-5AC4E3222B8D}">
  <dimension ref="B1:O54"/>
  <sheetViews>
    <sheetView topLeftCell="B1" zoomScaleNormal="100" workbookViewId="0">
      <selection activeCell="K37" sqref="K37"/>
    </sheetView>
  </sheetViews>
  <sheetFormatPr defaultRowHeight="12.75"/>
  <cols>
    <col min="2" max="2" width="24.5703125" bestFit="1" customWidth="1"/>
    <col min="3" max="3" width="13.855468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</row>
    <row r="4" spans="2:15">
      <c r="B4" s="2" t="s">
        <v>5</v>
      </c>
      <c r="C4" s="1">
        <f>[1]Results!D11</f>
        <v>8024.58555394839</v>
      </c>
      <c r="D4" s="1">
        <f>[1]Results!E11</f>
        <v>7409.6557146244804</v>
      </c>
      <c r="E4" t="s">
        <v>6</v>
      </c>
      <c r="F4" t="s">
        <v>7</v>
      </c>
      <c r="K4">
        <v>100</v>
      </c>
      <c r="L4" t="s">
        <v>8</v>
      </c>
    </row>
    <row r="5" spans="2:15">
      <c r="B5" s="2" t="s">
        <v>9</v>
      </c>
      <c r="C5" s="1">
        <f>[1]Results!D13</f>
        <v>4668845.1931258896</v>
      </c>
      <c r="D5" s="1">
        <f>[1]Results!E13</f>
        <v>554768.89643263596</v>
      </c>
      <c r="E5">
        <f>C5/C4</f>
        <v>581.81761060901727</v>
      </c>
      <c r="F5" s="3">
        <f>1/E5</f>
        <v>1.7187516874115421E-3</v>
      </c>
      <c r="H5" t="s">
        <v>10</v>
      </c>
      <c r="I5" t="s">
        <v>10</v>
      </c>
    </row>
    <row r="6" spans="2:15">
      <c r="B6" s="4" t="s">
        <v>11</v>
      </c>
      <c r="C6" s="1">
        <f>[1]Results!D5</f>
        <v>1453.2885464768699</v>
      </c>
      <c r="D6" s="1">
        <f>[1]Results!E5</f>
        <v>329.81861764592202</v>
      </c>
      <c r="F6" s="1"/>
      <c r="H6" t="s">
        <v>10</v>
      </c>
      <c r="I6" t="s">
        <v>10</v>
      </c>
      <c r="K6" t="s">
        <v>12</v>
      </c>
    </row>
    <row r="7" spans="2:15">
      <c r="B7" s="2" t="s">
        <v>13</v>
      </c>
      <c r="C7" s="1">
        <f>[1]Results!D7</f>
        <v>1402363.0456085501</v>
      </c>
      <c r="D7" s="1">
        <f>[1]Results!E7</f>
        <v>279833.470439111</v>
      </c>
      <c r="E7">
        <f>C7/C6</f>
        <v>964.95843788779882</v>
      </c>
      <c r="F7" s="3">
        <f>1/E7</f>
        <v>1.0363140636283816E-3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0.19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0.29272191957369559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1:13">
      <c r="K33" t="s">
        <v>29</v>
      </c>
    </row>
    <row r="34" spans="11:13">
      <c r="K34">
        <f>1-_xlfn.POISSON.DIST(0,K28,FALSE)</f>
        <v>9.5162581964040482E-2</v>
      </c>
    </row>
    <row r="36" spans="11:13">
      <c r="K36" s="8" t="s">
        <v>30</v>
      </c>
      <c r="L36" s="8"/>
      <c r="M36" s="8"/>
    </row>
    <row r="37" spans="11:13">
      <c r="K37" s="9">
        <f>(C7*1000 - C6*1000)/(K25*K34)</f>
        <v>29442.449503764859</v>
      </c>
      <c r="L37" s="8" t="s">
        <v>31</v>
      </c>
      <c r="M37" s="8"/>
    </row>
    <row r="38" spans="11:13">
      <c r="K38" s="8"/>
      <c r="L38" s="8"/>
      <c r="M38" s="8"/>
    </row>
    <row r="39" spans="11:13">
      <c r="K39" s="8" t="s">
        <v>32</v>
      </c>
      <c r="L39" s="8"/>
      <c r="M39" s="8"/>
    </row>
    <row r="40" spans="11:13">
      <c r="K40" s="9">
        <f>(C5*1000 - C4*1000)/(K13*K22*K34)</f>
        <v>83658.665109094291</v>
      </c>
      <c r="L40" s="8" t="s">
        <v>31</v>
      </c>
      <c r="M40" s="8"/>
    </row>
    <row r="41" spans="11:13">
      <c r="K41" s="10"/>
    </row>
    <row r="42" spans="11:13">
      <c r="K42" s="8"/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54"/>
  <sheetViews>
    <sheetView topLeftCell="B1" zoomScaleNormal="100" workbookViewId="0">
      <selection activeCell="H59" sqref="H59"/>
    </sheetView>
  </sheetViews>
  <sheetFormatPr defaultRowHeight="12.75"/>
  <cols>
    <col min="2" max="2" width="24.5703125" bestFit="1" customWidth="1"/>
    <col min="3" max="3" width="13.855468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  <c r="O3" t="s">
        <v>43</v>
      </c>
    </row>
    <row r="4" spans="2:15">
      <c r="B4" s="2" t="s">
        <v>5</v>
      </c>
      <c r="C4" s="1">
        <v>7382.4171517230398</v>
      </c>
      <c r="D4" s="1">
        <v>6576.85205778401</v>
      </c>
      <c r="E4" t="s">
        <v>6</v>
      </c>
      <c r="F4" t="s">
        <v>7</v>
      </c>
      <c r="G4" t="s">
        <v>36</v>
      </c>
      <c r="K4">
        <v>100</v>
      </c>
      <c r="L4" t="s">
        <v>8</v>
      </c>
      <c r="O4" t="s">
        <v>44</v>
      </c>
    </row>
    <row r="5" spans="2:15">
      <c r="B5" s="2" t="s">
        <v>9</v>
      </c>
      <c r="C5" s="1">
        <v>12730479.383487299</v>
      </c>
      <c r="D5" s="1">
        <v>4821001.9795851698</v>
      </c>
      <c r="E5">
        <f>C5/C4</f>
        <v>1724.4324076858802</v>
      </c>
      <c r="F5" s="3">
        <f>1/E5</f>
        <v>5.7990095497100999E-4</v>
      </c>
      <c r="G5" t="s">
        <v>37</v>
      </c>
      <c r="H5" t="s">
        <v>10</v>
      </c>
      <c r="I5" t="s">
        <v>10</v>
      </c>
    </row>
    <row r="6" spans="2:15">
      <c r="B6" s="4" t="s">
        <v>11</v>
      </c>
      <c r="C6" s="1">
        <v>3117.4428335160801</v>
      </c>
      <c r="D6" s="1">
        <v>655.90726640795799</v>
      </c>
      <c r="F6" s="1"/>
      <c r="G6" t="s">
        <v>38</v>
      </c>
      <c r="H6" t="s">
        <v>10</v>
      </c>
      <c r="I6" t="s">
        <v>10</v>
      </c>
      <c r="K6" t="s">
        <v>12</v>
      </c>
      <c r="O6" t="s">
        <v>45</v>
      </c>
    </row>
    <row r="7" spans="2:15">
      <c r="B7" s="2" t="s">
        <v>13</v>
      </c>
      <c r="C7" s="1">
        <v>854678.85922223201</v>
      </c>
      <c r="D7" s="1">
        <v>159731.05553910299</v>
      </c>
      <c r="E7">
        <f>C7/C6</f>
        <v>274.16023480317125</v>
      </c>
      <c r="F7" s="3">
        <f>1/E7</f>
        <v>3.6475019826195192E-3</v>
      </c>
      <c r="G7" t="s">
        <v>39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  <c r="O8" t="s">
        <v>46</v>
      </c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0.26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0.40056683731137294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1:13">
      <c r="K33" t="s">
        <v>29</v>
      </c>
    </row>
    <row r="34" spans="11:13">
      <c r="K34">
        <f>1-_xlfn.POISSON.DIST(0,K28,FALSE)</f>
        <v>9.5162581964040482E-2</v>
      </c>
    </row>
    <row r="36" spans="11:13">
      <c r="K36" s="8" t="s">
        <v>30</v>
      </c>
      <c r="L36" s="8"/>
      <c r="M36" s="8"/>
    </row>
    <row r="37" spans="11:13">
      <c r="K37" s="9">
        <f>(C7*1000 - C6*1000)/(K25*K34)</f>
        <v>17896.980069550849</v>
      </c>
      <c r="L37" s="8" t="s">
        <v>31</v>
      </c>
      <c r="M37" s="8"/>
    </row>
    <row r="38" spans="11:13">
      <c r="K38" s="8"/>
      <c r="L38" s="8"/>
      <c r="M38" s="8"/>
    </row>
    <row r="39" spans="11:13">
      <c r="K39" s="8" t="s">
        <v>41</v>
      </c>
      <c r="L39" s="8"/>
      <c r="M39" s="8"/>
    </row>
    <row r="40" spans="11:13">
      <c r="K40" s="9">
        <f>(C$5*1000 - C$4*1000)/(K$13*K$22*K$34)</f>
        <v>166886.66389010957</v>
      </c>
      <c r="L40" s="8" t="s">
        <v>31</v>
      </c>
      <c r="M40" s="8"/>
    </row>
    <row r="41" spans="11:13">
      <c r="K41" s="10"/>
    </row>
    <row r="42" spans="11:13">
      <c r="K42" s="8" t="s">
        <v>42</v>
      </c>
      <c r="L42" s="8"/>
    </row>
    <row r="43" spans="11:13">
      <c r="K43" s="9">
        <f>(C$5*1000 - C$4*1000)/(K$13*K$34)</f>
        <v>66849.263143907287</v>
      </c>
      <c r="L43" s="8" t="s">
        <v>31</v>
      </c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54"/>
  <sheetViews>
    <sheetView topLeftCell="B1" zoomScaleNormal="100" workbookViewId="0">
      <selection activeCell="H53" sqref="H53"/>
    </sheetView>
  </sheetViews>
  <sheetFormatPr defaultRowHeight="12.75"/>
  <cols>
    <col min="2" max="2" width="24.5703125" bestFit="1" customWidth="1"/>
    <col min="3" max="3" width="12.71093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  <c r="O3" t="s">
        <v>43</v>
      </c>
    </row>
    <row r="4" spans="2:15">
      <c r="B4" s="2" t="s">
        <v>5</v>
      </c>
      <c r="C4" s="1">
        <v>3582.10193920846</v>
      </c>
      <c r="D4" s="1">
        <v>2383.20833325483</v>
      </c>
      <c r="E4" t="s">
        <v>6</v>
      </c>
      <c r="F4" t="s">
        <v>7</v>
      </c>
      <c r="G4" t="s">
        <v>36</v>
      </c>
      <c r="K4">
        <v>100</v>
      </c>
      <c r="L4" t="s">
        <v>8</v>
      </c>
      <c r="O4" t="s">
        <v>44</v>
      </c>
    </row>
    <row r="5" spans="2:15">
      <c r="B5" s="2" t="s">
        <v>9</v>
      </c>
      <c r="C5" s="1">
        <v>11011248.857588001</v>
      </c>
      <c r="D5" s="1">
        <v>128712.83897258699</v>
      </c>
      <c r="E5">
        <f>C5/C4</f>
        <v>3073.963009556664</v>
      </c>
      <c r="F5" s="3">
        <f>1/E5</f>
        <v>3.2531295818820637E-4</v>
      </c>
      <c r="G5" t="s">
        <v>37</v>
      </c>
      <c r="H5" t="s">
        <v>10</v>
      </c>
      <c r="I5" t="s">
        <v>10</v>
      </c>
    </row>
    <row r="6" spans="2:15">
      <c r="B6" s="4" t="s">
        <v>11</v>
      </c>
      <c r="C6" s="1">
        <v>4515.1496932075497</v>
      </c>
      <c r="D6" s="1">
        <v>4878.2293882020103</v>
      </c>
      <c r="F6" s="1"/>
      <c r="G6" t="s">
        <v>38</v>
      </c>
      <c r="H6" t="s">
        <v>10</v>
      </c>
      <c r="I6" t="s">
        <v>10</v>
      </c>
      <c r="K6" t="s">
        <v>12</v>
      </c>
      <c r="O6" t="s">
        <v>45</v>
      </c>
    </row>
    <row r="7" spans="2:15">
      <c r="B7" s="2" t="s">
        <v>13</v>
      </c>
      <c r="C7" s="1">
        <v>1933046.46816145</v>
      </c>
      <c r="D7" s="1">
        <v>363327.44452036102</v>
      </c>
      <c r="E7">
        <f>C7/C6</f>
        <v>428.1245583218348</v>
      </c>
      <c r="F7" s="3">
        <f>1/E7</f>
        <v>2.3357688330699973E-3</v>
      </c>
      <c r="G7" t="s">
        <v>39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  <c r="O8" t="s">
        <v>46</v>
      </c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0.26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0.40056683731137294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1:13">
      <c r="K33" t="s">
        <v>29</v>
      </c>
    </row>
    <row r="34" spans="11:13">
      <c r="K34">
        <f>1-_xlfn.POISSON.DIST(0,K28,FALSE)</f>
        <v>9.5162581964040482E-2</v>
      </c>
    </row>
    <row r="36" spans="11:13">
      <c r="K36" s="8" t="s">
        <v>30</v>
      </c>
      <c r="L36" s="8"/>
      <c r="M36" s="8"/>
    </row>
    <row r="37" spans="11:13">
      <c r="K37" s="9">
        <f>(C7*1000 - C6*1000)/(K25*K34)</f>
        <v>40531.294520717929</v>
      </c>
      <c r="L37" s="8" t="s">
        <v>31</v>
      </c>
      <c r="M37" s="8"/>
    </row>
    <row r="38" spans="11:13">
      <c r="K38" s="8"/>
      <c r="L38" s="8"/>
      <c r="M38" s="8"/>
    </row>
    <row r="39" spans="11:13">
      <c r="K39" s="8" t="s">
        <v>41</v>
      </c>
      <c r="L39" s="8"/>
      <c r="M39" s="8"/>
    </row>
    <row r="40" spans="11:13">
      <c r="K40" s="9">
        <f>(C$5*1000 - C$4*1000)/(K$13*K$22*K$34)</f>
        <v>144385.66230572265</v>
      </c>
      <c r="L40" s="8" t="s">
        <v>31</v>
      </c>
      <c r="M40" s="8"/>
    </row>
    <row r="41" spans="11:13">
      <c r="K41" s="10"/>
    </row>
    <row r="42" spans="11:13">
      <c r="K42" s="8" t="s">
        <v>42</v>
      </c>
      <c r="L42" s="8"/>
    </row>
    <row r="43" spans="11:13">
      <c r="K43" s="9">
        <f>(C$5*1000 - C$4*1000)/(K$13*K$34)</f>
        <v>57836.108102911232</v>
      </c>
      <c r="L43" s="8" t="s">
        <v>31</v>
      </c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54"/>
  <sheetViews>
    <sheetView topLeftCell="B1" zoomScaleNormal="100" workbookViewId="0">
      <selection activeCell="K42" sqref="K42:L43"/>
    </sheetView>
  </sheetViews>
  <sheetFormatPr defaultRowHeight="12.75"/>
  <cols>
    <col min="2" max="2" width="24.5703125" bestFit="1" customWidth="1"/>
    <col min="3" max="3" width="12.71093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</row>
    <row r="4" spans="2:15">
      <c r="B4" s="2" t="s">
        <v>5</v>
      </c>
      <c r="C4" s="1">
        <v>57856.946561709301</v>
      </c>
      <c r="D4" s="1">
        <v>5402.2554779594702</v>
      </c>
      <c r="E4" t="s">
        <v>6</v>
      </c>
      <c r="F4" t="s">
        <v>7</v>
      </c>
      <c r="G4" t="s">
        <v>36</v>
      </c>
      <c r="K4">
        <v>100</v>
      </c>
      <c r="L4" t="s">
        <v>8</v>
      </c>
    </row>
    <row r="5" spans="2:15">
      <c r="B5" s="2" t="s">
        <v>9</v>
      </c>
      <c r="C5" s="1">
        <v>1414736.5516327601</v>
      </c>
      <c r="D5" s="1">
        <v>434928.37363588199</v>
      </c>
      <c r="E5">
        <f>C5/C4</f>
        <v>24.452319655753428</v>
      </c>
      <c r="F5" s="3">
        <f>1/E5</f>
        <v>4.0895915564587687E-2</v>
      </c>
      <c r="G5" t="s">
        <v>40</v>
      </c>
      <c r="H5" t="s">
        <v>10</v>
      </c>
      <c r="I5" t="s">
        <v>10</v>
      </c>
    </row>
    <row r="6" spans="2:15">
      <c r="B6" s="4" t="s">
        <v>11</v>
      </c>
      <c r="C6" s="1">
        <v>11955.4626998287</v>
      </c>
      <c r="D6" s="1">
        <v>1370.86963097486</v>
      </c>
      <c r="F6" s="1"/>
      <c r="H6" t="s">
        <v>10</v>
      </c>
      <c r="I6" t="s">
        <v>10</v>
      </c>
      <c r="K6" t="s">
        <v>12</v>
      </c>
    </row>
    <row r="7" spans="2:15">
      <c r="B7" s="2" t="s">
        <v>13</v>
      </c>
      <c r="C7" s="1">
        <v>257268.571615414</v>
      </c>
      <c r="D7" s="1">
        <v>68652.468251291197</v>
      </c>
      <c r="E7">
        <f>C7/C6</f>
        <v>21.518913828328884</v>
      </c>
      <c r="F7" s="3">
        <f>1/E7</f>
        <v>4.6470746989261867E-2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0.25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0.38516042049170474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0:13">
      <c r="K33" t="s">
        <v>29</v>
      </c>
    </row>
    <row r="34" spans="10:13">
      <c r="K34">
        <f>1-_xlfn.POISSON.DIST(0,K28,FALSE)</f>
        <v>9.5162581964040482E-2</v>
      </c>
    </row>
    <row r="36" spans="10:13">
      <c r="K36" s="8" t="s">
        <v>30</v>
      </c>
      <c r="L36" s="8"/>
      <c r="M36" s="8"/>
    </row>
    <row r="37" spans="10:13">
      <c r="J37" s="11"/>
      <c r="K37" s="9">
        <f>(C$7*1000 - C$6*1000)/(K$25*K$34)</f>
        <v>5155.6631577794487</v>
      </c>
      <c r="L37" s="8" t="s">
        <v>31</v>
      </c>
      <c r="M37" s="8"/>
    </row>
    <row r="38" spans="10:13">
      <c r="J38" s="11"/>
      <c r="K38" s="9"/>
      <c r="L38" s="8"/>
      <c r="M38" s="8"/>
    </row>
    <row r="39" spans="10:13">
      <c r="K39" s="8" t="s">
        <v>32</v>
      </c>
      <c r="L39" s="8"/>
    </row>
    <row r="40" spans="10:13">
      <c r="K40" s="9">
        <f>(C5*1000 - C4*1000)/(K13*K22*K34)</f>
        <v>18509.873471655112</v>
      </c>
      <c r="L40" s="8" t="s">
        <v>31</v>
      </c>
      <c r="M40" s="8"/>
    </row>
    <row r="41" spans="10:13">
      <c r="J41" s="11"/>
      <c r="M41" s="8"/>
    </row>
    <row r="42" spans="10:13">
      <c r="J42" s="11"/>
      <c r="K42" s="8" t="s">
        <v>42</v>
      </c>
      <c r="L42" s="8"/>
    </row>
    <row r="43" spans="10:13">
      <c r="K43" s="9">
        <f>(C$5*1000 - C$4*1000)/(K$13*K$34)</f>
        <v>7129.2706495909333</v>
      </c>
      <c r="L43" s="8" t="s">
        <v>31</v>
      </c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54"/>
  <sheetViews>
    <sheetView topLeftCell="B1" zoomScaleNormal="100" workbookViewId="0">
      <selection activeCell="K66" sqref="K66"/>
    </sheetView>
  </sheetViews>
  <sheetFormatPr defaultRowHeight="12.75"/>
  <cols>
    <col min="2" max="2" width="24.5703125" bestFit="1" customWidth="1"/>
    <col min="3" max="3" width="12.71093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</row>
    <row r="4" spans="2:15">
      <c r="B4" s="2" t="s">
        <v>5</v>
      </c>
      <c r="C4" s="1">
        <v>39144.317197301702</v>
      </c>
      <c r="D4" s="1">
        <v>15435.1780632386</v>
      </c>
      <c r="E4" t="s">
        <v>6</v>
      </c>
      <c r="F4" t="s">
        <v>7</v>
      </c>
      <c r="G4" t="s">
        <v>36</v>
      </c>
      <c r="K4">
        <v>100</v>
      </c>
      <c r="L4" t="s">
        <v>8</v>
      </c>
    </row>
    <row r="5" spans="2:15">
      <c r="B5" s="2" t="s">
        <v>9</v>
      </c>
      <c r="C5" s="1">
        <v>1829036.4383781201</v>
      </c>
      <c r="D5" s="1">
        <v>521625.01371688402</v>
      </c>
      <c r="E5">
        <f>C5/C4</f>
        <v>46.725465388988809</v>
      </c>
      <c r="F5" s="3">
        <f>1/E5</f>
        <v>2.1401605990973332E-2</v>
      </c>
      <c r="G5" t="s">
        <v>40</v>
      </c>
      <c r="H5" t="s">
        <v>10</v>
      </c>
      <c r="I5" t="s">
        <v>10</v>
      </c>
    </row>
    <row r="6" spans="2:15">
      <c r="B6" s="4" t="s">
        <v>11</v>
      </c>
      <c r="C6" s="1">
        <v>6538.4571427112696</v>
      </c>
      <c r="D6" s="1">
        <v>238.39380187602299</v>
      </c>
      <c r="F6" s="1"/>
      <c r="H6" t="s">
        <v>10</v>
      </c>
      <c r="I6" t="s">
        <v>10</v>
      </c>
      <c r="K6" t="s">
        <v>12</v>
      </c>
    </row>
    <row r="7" spans="2:15">
      <c r="B7" s="2" t="s">
        <v>13</v>
      </c>
      <c r="C7" s="1">
        <v>1532541.8618836701</v>
      </c>
      <c r="D7" s="1">
        <v>123244.418133004</v>
      </c>
      <c r="E7">
        <f>C7/C6</f>
        <v>234.38891292452192</v>
      </c>
      <c r="F7" s="3">
        <f>1/E7</f>
        <v>4.2664134046392407E-3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0.22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0.33894117003270013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1:13">
      <c r="K33" t="s">
        <v>29</v>
      </c>
    </row>
    <row r="34" spans="11:13">
      <c r="K34">
        <f>1-_xlfn.POISSON.DIST(0,K28,FALSE)</f>
        <v>9.5162581964040482E-2</v>
      </c>
    </row>
    <row r="36" spans="11:13">
      <c r="K36" s="8" t="s">
        <v>30</v>
      </c>
      <c r="L36" s="8"/>
      <c r="M36" s="8"/>
    </row>
    <row r="37" spans="11:13">
      <c r="K37" s="9">
        <f>(C7*1000 - C6*1000)/(K25*K34)</f>
        <v>32071.500651749797</v>
      </c>
      <c r="L37" s="8" t="s">
        <v>31</v>
      </c>
      <c r="M37" s="8"/>
    </row>
    <row r="38" spans="11:13">
      <c r="K38" s="8"/>
      <c r="L38" s="8"/>
      <c r="M38" s="8"/>
    </row>
    <row r="39" spans="11:13">
      <c r="K39" s="8" t="s">
        <v>32</v>
      </c>
      <c r="L39" s="8"/>
      <c r="M39" s="8"/>
    </row>
    <row r="40" spans="11:13">
      <c r="K40" s="9">
        <f>(C5*1000 - C4*1000)/(K13*K22*K34)</f>
        <v>27746.379339061907</v>
      </c>
      <c r="L40" s="8" t="s">
        <v>31</v>
      </c>
      <c r="M40" s="8"/>
    </row>
    <row r="41" spans="11:13">
      <c r="K41" s="10"/>
    </row>
    <row r="42" spans="11:13">
      <c r="K42" s="8" t="s">
        <v>42</v>
      </c>
      <c r="L42" s="8"/>
    </row>
    <row r="43" spans="11:13">
      <c r="K43" s="9">
        <f>(C$5*1000 - C$4*1000)/(K$13*K$34)</f>
        <v>9404.3902773527789</v>
      </c>
      <c r="L43" s="8" t="s">
        <v>31</v>
      </c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54"/>
  <sheetViews>
    <sheetView topLeftCell="B1" zoomScaleNormal="100" workbookViewId="0">
      <selection activeCell="K42" sqref="K42:L43"/>
    </sheetView>
  </sheetViews>
  <sheetFormatPr defaultRowHeight="12.75"/>
  <cols>
    <col min="2" max="2" width="24.5703125" bestFit="1" customWidth="1"/>
    <col min="3" max="3" width="12.7109375" bestFit="1" customWidth="1"/>
    <col min="4" max="4" width="11.140625" bestFit="1" customWidth="1"/>
    <col min="7" max="7" width="12.42578125" bestFit="1" customWidth="1"/>
    <col min="11" max="11" width="28.7109375" customWidth="1"/>
    <col min="12" max="12" width="12.42578125" bestFit="1" customWidth="1"/>
    <col min="15" max="15" width="29.5703125" customWidth="1"/>
    <col min="16" max="16" width="14.85546875" bestFit="1" customWidth="1"/>
    <col min="17" max="17" width="12" bestFit="1" customWidth="1"/>
    <col min="18" max="18" width="13.7109375" bestFit="1" customWidth="1"/>
    <col min="19" max="19" width="11.140625" bestFit="1" customWidth="1"/>
    <col min="20" max="20" width="12.42578125" bestFit="1" customWidth="1"/>
  </cols>
  <sheetData>
    <row r="1" spans="2:15">
      <c r="I1" s="1"/>
    </row>
    <row r="2" spans="2:15">
      <c r="C2" t="s">
        <v>0</v>
      </c>
      <c r="D2" t="s">
        <v>0</v>
      </c>
    </row>
    <row r="3" spans="2:15">
      <c r="B3" t="s">
        <v>1</v>
      </c>
      <c r="C3" t="s">
        <v>2</v>
      </c>
      <c r="D3" t="s">
        <v>3</v>
      </c>
      <c r="K3" t="s">
        <v>4</v>
      </c>
    </row>
    <row r="4" spans="2:15">
      <c r="B4" s="2" t="s">
        <v>5</v>
      </c>
      <c r="C4" s="1">
        <v>83858.045721338494</v>
      </c>
      <c r="D4" s="1">
        <v>23155.616288925099</v>
      </c>
      <c r="E4" t="s">
        <v>6</v>
      </c>
      <c r="F4" t="s">
        <v>7</v>
      </c>
      <c r="G4" t="s">
        <v>36</v>
      </c>
      <c r="K4">
        <v>100</v>
      </c>
      <c r="L4" t="s">
        <v>8</v>
      </c>
    </row>
    <row r="5" spans="2:15">
      <c r="B5" s="2" t="s">
        <v>9</v>
      </c>
      <c r="C5" s="1">
        <v>2444334.6366443201</v>
      </c>
      <c r="D5" s="1">
        <v>303801.14774833102</v>
      </c>
      <c r="E5">
        <f>C5/C4</f>
        <v>29.14848081204849</v>
      </c>
      <c r="F5" s="3">
        <f>1/E5</f>
        <v>3.4307105280994649E-2</v>
      </c>
      <c r="G5" t="s">
        <v>40</v>
      </c>
      <c r="H5" t="s">
        <v>10</v>
      </c>
      <c r="I5" t="s">
        <v>10</v>
      </c>
    </row>
    <row r="6" spans="2:15">
      <c r="B6" s="4" t="s">
        <v>11</v>
      </c>
      <c r="C6" s="1">
        <v>0</v>
      </c>
      <c r="D6" s="1">
        <v>0</v>
      </c>
      <c r="F6" s="1"/>
      <c r="H6" t="s">
        <v>10</v>
      </c>
      <c r="I6" t="s">
        <v>10</v>
      </c>
      <c r="K6" t="s">
        <v>12</v>
      </c>
    </row>
    <row r="7" spans="2:15">
      <c r="B7" s="2" t="s">
        <v>13</v>
      </c>
      <c r="C7" s="1">
        <v>605014.99582739896</v>
      </c>
      <c r="D7" s="1">
        <v>615466.57561606995</v>
      </c>
      <c r="E7" t="e">
        <f>C7/C6</f>
        <v>#DIV/0!</v>
      </c>
      <c r="F7" s="3" t="e">
        <f>1/E7</f>
        <v>#DIV/0!</v>
      </c>
      <c r="I7" s="1"/>
      <c r="K7" s="5">
        <f>((4/3*PI()*(K4/2)^3)/1000)</f>
        <v>523.59877559829886</v>
      </c>
      <c r="L7" t="s">
        <v>14</v>
      </c>
    </row>
    <row r="8" spans="2:15">
      <c r="B8" s="4" t="s">
        <v>15</v>
      </c>
      <c r="C8" s="1">
        <v>0</v>
      </c>
      <c r="D8">
        <v>0</v>
      </c>
      <c r="I8" s="1"/>
    </row>
    <row r="9" spans="2:15">
      <c r="B9" s="4" t="s">
        <v>16</v>
      </c>
      <c r="C9">
        <v>0</v>
      </c>
      <c r="D9">
        <v>0</v>
      </c>
      <c r="I9" s="1"/>
      <c r="K9" t="s">
        <v>17</v>
      </c>
      <c r="O9" s="6"/>
    </row>
    <row r="10" spans="2:15">
      <c r="B10" t="s">
        <v>18</v>
      </c>
      <c r="C10" s="1">
        <v>0</v>
      </c>
      <c r="D10">
        <v>0</v>
      </c>
      <c r="H10" t="s">
        <v>10</v>
      </c>
      <c r="I10" s="1"/>
      <c r="K10">
        <v>0.27</v>
      </c>
    </row>
    <row r="11" spans="2:15">
      <c r="H11" t="s">
        <v>10</v>
      </c>
      <c r="I11" s="1"/>
    </row>
    <row r="12" spans="2:15">
      <c r="H12" s="1"/>
      <c r="K12" t="s">
        <v>19</v>
      </c>
    </row>
    <row r="13" spans="2:15">
      <c r="H13" s="1"/>
      <c r="K13" s="7">
        <v>2000000</v>
      </c>
      <c r="L13" t="s">
        <v>20</v>
      </c>
    </row>
    <row r="14" spans="2:15">
      <c r="H14" s="1"/>
    </row>
    <row r="15" spans="2:15">
      <c r="K15" t="s">
        <v>21</v>
      </c>
    </row>
    <row r="16" spans="2:15">
      <c r="K16" s="3">
        <f>K7*K13*0.000000001</f>
        <v>1.0471975511965979</v>
      </c>
    </row>
    <row r="18" spans="11:12">
      <c r="K18" t="s">
        <v>22</v>
      </c>
    </row>
    <row r="19" spans="11:12">
      <c r="K19">
        <f>1-_xlfn.POISSON.DIST(0,K16,TRUE)</f>
        <v>0.64908019282158902</v>
      </c>
    </row>
    <row r="21" spans="11:12">
      <c r="K21" t="s">
        <v>23</v>
      </c>
    </row>
    <row r="22" spans="11:12">
      <c r="K22">
        <f>K10/(K19)</f>
        <v>0.41597325413104114</v>
      </c>
    </row>
    <row r="24" spans="11:12">
      <c r="K24" t="s">
        <v>24</v>
      </c>
    </row>
    <row r="25" spans="11:12">
      <c r="K25" s="7">
        <v>500000</v>
      </c>
      <c r="L25" t="s">
        <v>20</v>
      </c>
    </row>
    <row r="27" spans="11:12">
      <c r="K27" t="s">
        <v>25</v>
      </c>
    </row>
    <row r="28" spans="11:12">
      <c r="K28">
        <v>0.1</v>
      </c>
      <c r="L28" t="s">
        <v>26</v>
      </c>
    </row>
    <row r="30" spans="11:12">
      <c r="K30" t="s">
        <v>27</v>
      </c>
    </row>
    <row r="31" spans="11:12">
      <c r="K31" s="7">
        <f>K28*K13</f>
        <v>200000</v>
      </c>
      <c r="L31" t="s">
        <v>28</v>
      </c>
    </row>
    <row r="33" spans="11:13">
      <c r="K33" t="s">
        <v>29</v>
      </c>
    </row>
    <row r="34" spans="11:13">
      <c r="K34">
        <f>1-_xlfn.POISSON.DIST(0,K28,FALSE)</f>
        <v>9.5162581964040482E-2</v>
      </c>
    </row>
    <row r="36" spans="11:13">
      <c r="K36" s="8" t="s">
        <v>30</v>
      </c>
      <c r="L36" s="8"/>
      <c r="M36" s="8"/>
    </row>
    <row r="37" spans="11:13">
      <c r="K37" s="9">
        <f>(C7*1000 - C6*1000)/(K25*K34)</f>
        <v>12715.396815441994</v>
      </c>
      <c r="L37" s="8" t="s">
        <v>31</v>
      </c>
      <c r="M37" s="8"/>
    </row>
    <row r="38" spans="11:13">
      <c r="K38" s="8"/>
      <c r="L38" s="8"/>
      <c r="M38" s="8"/>
    </row>
    <row r="39" spans="11:13">
      <c r="K39" s="8" t="s">
        <v>32</v>
      </c>
      <c r="L39" s="8"/>
      <c r="M39" s="8"/>
    </row>
    <row r="40" spans="11:13">
      <c r="K40" s="9">
        <f>(C5*1000 - C4*1000)/(K13*K22*K34)</f>
        <v>29815.224078656291</v>
      </c>
      <c r="L40" s="8" t="s">
        <v>31</v>
      </c>
      <c r="M40" s="8"/>
    </row>
    <row r="41" spans="11:13">
      <c r="K41" s="10"/>
    </row>
    <row r="42" spans="11:13">
      <c r="K42" s="8" t="s">
        <v>42</v>
      </c>
      <c r="L42" s="8"/>
    </row>
    <row r="43" spans="11:13">
      <c r="K43" s="9">
        <f>(C$5*1000 - C$4*1000)/(K$13*K$34)</f>
        <v>12402.335782644832</v>
      </c>
      <c r="L43" s="8" t="s">
        <v>31</v>
      </c>
    </row>
    <row r="52" spans="11:11">
      <c r="K52" s="1"/>
    </row>
    <row r="53" spans="11:11">
      <c r="K53" s="8"/>
    </row>
    <row r="54" spans="11:11">
      <c r="K54" s="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Pooled trials (best three)</vt:lpstr>
      <vt:lpstr>H3N2 (3-24-21)</vt:lpstr>
      <vt:lpstr>H3N2 (3-17-21)</vt:lpstr>
      <vt:lpstr>H3N2 (2-26-21)</vt:lpstr>
      <vt:lpstr>H1N1 (2-24-21)</vt:lpstr>
      <vt:lpstr>H1N1 (2-19-21)</vt:lpstr>
      <vt:lpstr>H1N1 (2-12-21)</vt:lpstr>
    </vt:vector>
  </TitlesOfParts>
  <Company>Montana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Zath, Geoffrey</dc:creator>
  <cp:lastModifiedBy>Geoffrey Zath</cp:lastModifiedBy>
  <dcterms:created xsi:type="dcterms:W3CDTF">2021-03-02T19:42:24Z</dcterms:created>
  <dcterms:modified xsi:type="dcterms:W3CDTF">2023-12-03T19:03:48Z</dcterms:modified>
</cp:coreProperties>
</file>